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7.xml" ContentType="application/vnd.openxmlformats-officedocument.drawingml.chart+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975" yWindow="75" windowWidth="7410" windowHeight="5040" tabRatio="743" firstSheet="4" activeTab="4"/>
  </bookViews>
  <sheets>
    <sheet name="MarketCapH" sheetId="7" state="hidden" r:id="rId1"/>
    <sheet name="PricesH" sheetId="6" state="hidden" r:id="rId2"/>
    <sheet name="ControlsH" sheetId="2" state="hidden" r:id="rId3"/>
    <sheet name="DataH" sheetId="16" state="hidden" r:id="rId4"/>
    <sheet name="Overview" sheetId="3" r:id="rId5"/>
    <sheet name="Peers" sheetId="4" r:id="rId6"/>
    <sheet name="Indices" sheetId="5" r:id="rId7"/>
    <sheet name="Financials" sheetId="8" r:id="rId8"/>
    <sheet name="Ratings" sheetId="11" r:id="rId9"/>
    <sheet name="EST Brokers" sheetId="9" r:id="rId10"/>
    <sheet name="EST Detail" sheetId="10" r:id="rId11"/>
    <sheet name="VAL Graphs" sheetId="13" r:id="rId12"/>
    <sheet name="Owners" sheetId="14" r:id="rId13"/>
    <sheet name="Help" sheetId="15" r:id="rId14"/>
  </sheets>
  <functionGroups builtInGroupCount="17"/>
  <definedNames>
    <definedName name="Benchmark">ControlsH!$B$3</definedName>
    <definedName name="BestConsOv">DataH!$D$19</definedName>
    <definedName name="Broker_Name">OFFSET(Ratings!$M$27,0,0,ControlsH!$E$5, 1)</definedName>
    <definedName name="calCODE">ControlsH!$C$4</definedName>
    <definedName name="Chart_Benchmark_100_Size">OFFSET(Indices!$S$10, 0, 0, ControlsH!$E$3, 1)</definedName>
    <definedName name="Chart_Date_Size">OFFSET(Indices!$U$10, 0, 0, ControlsH!$E$3, 1)</definedName>
    <definedName name="Chart_Date_VAL1_Size">OFFSET('VAL Graphs'!$B$11, 0, 0, ControlsH!$I$3, 1)</definedName>
    <definedName name="Chart_Date_VAL2_Size">OFFSET('VAL Graphs'!$B$11, 0, 0, ControlsH!$I$5, 1)</definedName>
    <definedName name="Chart_Peer_100_Size">OFFSET(Indices!$R$10, 0, 0, ControlsH!$E$3, 1)</definedName>
    <definedName name="Chart_Price_100_Size">OFFSET(Indices!$Q$10, 0, 0, ControlsH!$E$3, 1)</definedName>
    <definedName name="Chart_Price_Size">OFFSET(Indices!$AA$10, 0, 0, ControlsH!$E$3, 1)</definedName>
    <definedName name="Chart_VAL1_FY1_Size">OFFSET('VAL Graphs'!$C$11, 0, 0, ControlsH!$F$3, 1)</definedName>
    <definedName name="Chart_VAL1_FY2_Size">OFFSET('VAL Graphs'!$D$11, 0, 0, ControlsH!$G$3, 1)</definedName>
    <definedName name="Chart_VAL1_FY3_Size">OFFSET('VAL Graphs'!$E$11, 0, 0, ControlsH!$H$3, 1)</definedName>
    <definedName name="Chart_VAL2_FY1_Size">OFFSET('VAL Graphs'!$G$11, 0, 0, ControlsH!$F$5, 1)</definedName>
    <definedName name="Chart_VAL2_FY2_Size">OFFSET('VAL Graphs'!$H$11, 0, 0, ControlsH!$G$5, 1)</definedName>
    <definedName name="Chart_VAL2_FY3_Size">OFFSET('VAL Graphs'!$I$11, 0, 0, ControlsH!$H$5, 1)</definedName>
    <definedName name="Chart_Volume_Size">OFFSET(Indices!$V$10, 0, 0, ControlsH!$E$3, 1)</definedName>
    <definedName name="compNAME">ControlsH!$B$6</definedName>
    <definedName name="CURRENCY">ControlsH!$B$9</definedName>
    <definedName name="currPRICE">Overview!$F$19</definedName>
    <definedName name="custBenchmark">Overview!$C$9</definedName>
    <definedName name="custED">Indices!$F$10</definedName>
    <definedName name="custSD">Indices!$F$9</definedName>
    <definedName name="dayCODE">ControlsH!$C$5</definedName>
    <definedName name="defaultED">ControlsH!$G$22</definedName>
    <definedName name="defaultSD">ControlsH!$G$27</definedName>
    <definedName name="ED">ControlsH!$B$5</definedName>
    <definedName name="ESTBrokersItem">'EST Brokers'!$E$8</definedName>
    <definedName name="ESTBrokersPeriod">'EST Brokers'!$K$8</definedName>
    <definedName name="ESTDetailBroker">'EST Detail'!$B$9</definedName>
    <definedName name="ESTDetailBroker2">'EST Detail'!$I$9</definedName>
    <definedName name="ESTDetailPeriod">'EST Detail'!$M$9</definedName>
    <definedName name="EstDetPerO">DataH!$DS$2</definedName>
    <definedName name="EstDetPerT">DataH!$DS$1</definedName>
    <definedName name="FinancialsPeriod">Financials!$G$9</definedName>
    <definedName name="firstTD">ControlsH!$G$32</definedName>
    <definedName name="fundTICKER">ControlsH!$B$15</definedName>
    <definedName name="GraphValRatio1">'VAL Graphs'!$P$8</definedName>
    <definedName name="GraphValRatio2">'VAL Graphs'!$P$25</definedName>
    <definedName name="HLPBRD_IB">Help!$D$197:$R$200</definedName>
    <definedName name="HLPBRD_IR">Help!$S$10:$T$196</definedName>
    <definedName name="HLPBRD_OBR">Help!$U$201:$X$209</definedName>
    <definedName name="Index1">Indices!$R$10</definedName>
    <definedName name="Lang">Overview!$E$11</definedName>
    <definedName name="locCURR">ControlsH!$B$7</definedName>
    <definedName name="newCrncy">ControlsH!$B$21:$B$199</definedName>
    <definedName name="newEstBrokerPeriod">DataH!$M$108:$M$110</definedName>
    <definedName name="newEstBrokersItem">DataH!$M$85:$M$100</definedName>
    <definedName name="newEstDetailBroker">DataH!$AO$3:$AO$25</definedName>
    <definedName name="newEstDetailBroker2">DataH!$AR$3:$AR$60</definedName>
    <definedName name="newEstDetailPeriod">DataH!$DR$3:$DR$5</definedName>
    <definedName name="newFinancialsPeriod">DataH!$A$17:$A$19</definedName>
    <definedName name="newIndicesSD">ControlsH!$F$21:$F$31</definedName>
    <definedName name="newOverviewCon">DataH!$C$19:$C$20</definedName>
    <definedName name="newOverviewYear">DataH!$A$4:$A$10</definedName>
    <definedName name="newOwners">DataH!$J$57:$J$71</definedName>
    <definedName name="newPeersRatio">DataH!$B$24:$B$34</definedName>
    <definedName name="newPeriod">DataH!$C$15:$C$17</definedName>
    <definedName name="newValRatio1">DataH!$P$4:$P$9</definedName>
    <definedName name="newValRatio2">DataH!$P$23:$P$28</definedName>
    <definedName name="outED">ControlsH!$B$11</definedName>
    <definedName name="outSD">ControlsH!$B$10</definedName>
    <definedName name="OverviewValRatioPeriod">Overview!$E$30</definedName>
    <definedName name="Peer1">Peers!$C$18</definedName>
    <definedName name="PeerDate1">Peers!$S$11</definedName>
    <definedName name="peerHist1">Indices!$AF$10</definedName>
    <definedName name="PeerIndex">ControlsH!$F$35:$F$36</definedName>
    <definedName name="Peers">Peers!$C$18:$C$199</definedName>
    <definedName name="peersWEIGHT">ControlsH!$B$13</definedName>
    <definedName name="PERIODICITY">ControlsH!$C$3</definedName>
    <definedName name="salesGEOG">OFFSET(Overview!$X$16, 0, 0, DataH!$I$20, 1)</definedName>
    <definedName name="salesPROD">OFFSET(Overview!$R$16, 0, 0, DataH!$G$20, 1)</definedName>
    <definedName name="SD">ControlsH!$B$4</definedName>
    <definedName name="shBroker1">DataH!$AN$6</definedName>
    <definedName name="shBrokerRange">DataH!$AT$8:$DP$157</definedName>
    <definedName name="shOverviewYear">DataH!$D$4</definedName>
    <definedName name="shPeer1">DataH!$H$23</definedName>
    <definedName name="shPeerRange">DataH!$H$23:$N$52</definedName>
    <definedName name="shPeerRangeD">Peers!$S$13:$Y$47</definedName>
    <definedName name="shPeersDate1">DataH!$H$22</definedName>
    <definedName name="startingDate">Indices!$U$10</definedName>
    <definedName name="Target_Price">OFFSET(Ratings!$T$27,0,0,ControlsH!$E$5, 1)</definedName>
    <definedName name="TICKER">Overview!$E$8</definedName>
    <definedName name="Top20OwnerType">Owners!$E$24</definedName>
    <definedName name="ValuationRatioType">Peers!$U$9</definedName>
    <definedName name="ViewConsolidatedOrParent">Overview!$P$13</definedName>
    <definedName name="ViewYear">Overview!$V$13</definedName>
  </definedNames>
  <calcPr calcId="145621"/>
</workbook>
</file>

<file path=xl/calcChain.xml><?xml version="1.0" encoding="utf-8"?>
<calcChain xmlns="http://schemas.openxmlformats.org/spreadsheetml/2006/main">
  <c r="B18" i="8" l="1"/>
  <c r="G56" i="16"/>
  <c r="F56" i="16"/>
  <c r="E56" i="16"/>
  <c r="A56" i="16"/>
  <c r="C56" i="16"/>
  <c r="B56" i="16"/>
  <c r="H56" i="16"/>
  <c r="A84" i="16"/>
  <c r="B84" i="16"/>
  <c r="J74" i="16"/>
  <c r="M27" i="11"/>
  <c r="P27" i="11"/>
  <c r="T27" i="11"/>
  <c r="U27" i="11"/>
  <c r="R27" i="11"/>
  <c r="K27" i="11"/>
  <c r="G77" i="16"/>
  <c r="B77" i="16"/>
  <c r="F77" i="16"/>
  <c r="A77" i="16"/>
  <c r="E77" i="16"/>
  <c r="C77" i="16"/>
  <c r="M74" i="16"/>
  <c r="C18" i="4"/>
  <c r="K12" i="16"/>
  <c r="C41" i="16"/>
  <c r="J27" i="11"/>
  <c r="D41" i="16"/>
  <c r="A41" i="16"/>
  <c r="H27" i="11"/>
  <c r="B4" i="16"/>
  <c r="V3" i="16"/>
  <c r="AC10" i="5"/>
  <c r="C84" i="16"/>
  <c r="D84" i="16"/>
  <c r="AQ5" i="16"/>
  <c r="AN5" i="16"/>
  <c r="G84" i="16"/>
  <c r="H84" i="16"/>
  <c r="A4" i="7"/>
  <c r="L84" i="16"/>
  <c r="K84" i="16"/>
  <c r="A4" i="6"/>
  <c r="AA10" i="5"/>
  <c r="E4" i="7"/>
  <c r="D4" i="6"/>
  <c r="AM10" i="5"/>
  <c r="H4" i="7"/>
  <c r="DP8" i="16"/>
  <c r="DN8" i="16"/>
  <c r="DL8" i="16"/>
  <c r="DO8" i="16"/>
  <c r="DM8" i="16"/>
  <c r="DK8" i="16"/>
  <c r="DI8" i="16"/>
  <c r="DJ8" i="16"/>
  <c r="DH8" i="16"/>
  <c r="DG8" i="16"/>
  <c r="DF8" i="16"/>
  <c r="DD8" i="16"/>
  <c r="DB8" i="16"/>
  <c r="DE8" i="16"/>
  <c r="DC8" i="16"/>
  <c r="DA8" i="16"/>
  <c r="CY8" i="16"/>
  <c r="CZ8" i="16"/>
  <c r="CX8" i="16"/>
  <c r="CW8" i="16"/>
  <c r="CV8" i="16"/>
  <c r="CT8" i="16"/>
  <c r="CU8" i="16"/>
  <c r="CS8" i="16"/>
  <c r="CR8" i="16"/>
  <c r="CP8" i="16"/>
  <c r="CN8" i="16"/>
  <c r="CQ8" i="16"/>
  <c r="CO8" i="16"/>
  <c r="CM8" i="16"/>
  <c r="CL8" i="16"/>
  <c r="CH8" i="16"/>
  <c r="CK8" i="16"/>
  <c r="CI8" i="16"/>
  <c r="CJ8" i="16"/>
  <c r="CG8" i="16"/>
  <c r="CE8" i="16"/>
  <c r="CF8" i="16"/>
  <c r="CD8" i="16"/>
  <c r="CC8" i="16"/>
  <c r="CB8" i="16"/>
  <c r="BZ8" i="16"/>
  <c r="CA8" i="16"/>
  <c r="BY8" i="16"/>
  <c r="BX8" i="16"/>
  <c r="BW8" i="16"/>
  <c r="BV8" i="16"/>
  <c r="BT8" i="16"/>
  <c r="BU8" i="16"/>
  <c r="BS8" i="16"/>
  <c r="BR8" i="16"/>
  <c r="BN8" i="16"/>
  <c r="BQ8" i="16"/>
  <c r="BO8" i="16"/>
  <c r="BP8" i="16"/>
  <c r="BM8" i="16"/>
  <c r="BK8" i="16"/>
  <c r="BL8" i="16"/>
  <c r="BJ8" i="16"/>
  <c r="BI8" i="16"/>
  <c r="BG8" i="16"/>
  <c r="BE8" i="16"/>
  <c r="BH8" i="16"/>
  <c r="BF8" i="16"/>
  <c r="BD8" i="16"/>
  <c r="BC8" i="16"/>
  <c r="BA8" i="16"/>
  <c r="BB8" i="16"/>
  <c r="AZ8" i="16"/>
  <c r="AY8" i="16"/>
  <c r="AX8" i="16"/>
  <c r="AW8" i="16"/>
  <c r="AV8" i="16"/>
  <c r="AU8" i="16"/>
  <c r="AT8" i="16"/>
  <c r="C4" i="7"/>
  <c r="G4" i="6"/>
  <c r="C4" i="6"/>
  <c r="AH10" i="5"/>
  <c r="U10" i="5"/>
  <c r="F3" i="16"/>
  <c r="Y10" i="5"/>
  <c r="X10" i="5"/>
  <c r="H3" i="16"/>
  <c r="H4" i="6"/>
  <c r="B4" i="7"/>
  <c r="F4" i="7"/>
  <c r="E4" i="6"/>
  <c r="AF10" i="5"/>
  <c r="G3" i="16"/>
  <c r="I3" i="16"/>
  <c r="AJ10" i="5"/>
  <c r="Z10" i="5"/>
  <c r="AK10" i="5"/>
  <c r="D4" i="7"/>
  <c r="AI10" i="5"/>
  <c r="AG10" i="5"/>
  <c r="G4" i="7"/>
  <c r="AA3" i="16"/>
  <c r="AL10" i="5"/>
  <c r="B4" i="6"/>
  <c r="F4" i="6"/>
  <c r="L21" i="2"/>
  <c r="J21" i="2"/>
  <c r="H21" i="2"/>
  <c r="I84" i="16"/>
  <c r="F84" i="16"/>
  <c r="E84" i="16"/>
  <c r="J84" i="16"/>
  <c r="C18" i="16" l="1"/>
  <c r="C14" i="16"/>
  <c r="J56" i="16"/>
  <c r="P22" i="16"/>
  <c r="P3" i="16"/>
  <c r="DR2" i="16"/>
  <c r="AQ3" i="16"/>
  <c r="AN3" i="16"/>
  <c r="M107" i="16"/>
  <c r="M84" i="16"/>
  <c r="A16" i="16"/>
  <c r="A3" i="16"/>
  <c r="D178" i="15" l="1"/>
  <c r="D177" i="15"/>
  <c r="M176" i="15"/>
  <c r="D174" i="15"/>
  <c r="D161" i="15"/>
  <c r="M156" i="15"/>
  <c r="D156" i="15"/>
  <c r="D154" i="15"/>
  <c r="D137" i="15"/>
  <c r="M136" i="15"/>
  <c r="D136" i="15"/>
  <c r="D134" i="15"/>
  <c r="D117" i="15"/>
  <c r="M116" i="15"/>
  <c r="D116" i="15"/>
  <c r="D114" i="15"/>
  <c r="D97" i="15"/>
  <c r="M96" i="15"/>
  <c r="D96" i="15"/>
  <c r="D94" i="15"/>
  <c r="D77" i="15"/>
  <c r="M76" i="15"/>
  <c r="D76" i="15"/>
  <c r="D74" i="15"/>
  <c r="D70" i="15"/>
  <c r="D69" i="15"/>
  <c r="D62" i="15"/>
  <c r="M56" i="15"/>
  <c r="D56" i="15"/>
  <c r="D54" i="15"/>
  <c r="D42" i="15"/>
  <c r="D41" i="15"/>
  <c r="D37" i="15"/>
  <c r="M36" i="15"/>
  <c r="D36" i="15"/>
  <c r="D34" i="15"/>
  <c r="D27" i="15"/>
  <c r="D26" i="15"/>
  <c r="D19" i="15"/>
  <c r="M16" i="15"/>
  <c r="D16" i="15"/>
  <c r="D14" i="15"/>
  <c r="D11" i="15"/>
  <c r="D10" i="15"/>
  <c r="M53" i="14"/>
  <c r="L53" i="14"/>
  <c r="K53" i="14"/>
  <c r="G53" i="14"/>
  <c r="E53" i="14"/>
  <c r="B53" i="14"/>
  <c r="M52" i="14"/>
  <c r="L52" i="14"/>
  <c r="K52" i="14"/>
  <c r="G52" i="14"/>
  <c r="E52" i="14"/>
  <c r="B52" i="14"/>
  <c r="M51" i="14"/>
  <c r="L51" i="14"/>
  <c r="K51" i="14"/>
  <c r="G51" i="14"/>
  <c r="E51" i="14"/>
  <c r="B51" i="14"/>
  <c r="M50" i="14"/>
  <c r="L50" i="14"/>
  <c r="K50" i="14"/>
  <c r="G50" i="14"/>
  <c r="E50" i="14"/>
  <c r="B50" i="14"/>
  <c r="M48" i="14"/>
  <c r="L48" i="14"/>
  <c r="K48" i="14"/>
  <c r="I48" i="14"/>
  <c r="G48" i="14"/>
  <c r="E48" i="14"/>
  <c r="B48" i="14"/>
  <c r="B47" i="14"/>
  <c r="N45" i="14"/>
  <c r="M45" i="14"/>
  <c r="L45" i="14"/>
  <c r="K45" i="14"/>
  <c r="G45" i="14"/>
  <c r="E45" i="14"/>
  <c r="B45" i="14"/>
  <c r="N44" i="14"/>
  <c r="M44" i="14"/>
  <c r="L44" i="14"/>
  <c r="K44" i="14"/>
  <c r="G44" i="14"/>
  <c r="E44" i="14"/>
  <c r="B44" i="14"/>
  <c r="N43" i="14"/>
  <c r="M43" i="14"/>
  <c r="L43" i="14"/>
  <c r="K43" i="14"/>
  <c r="G43" i="14"/>
  <c r="E43" i="14"/>
  <c r="B43" i="14"/>
  <c r="N42" i="14"/>
  <c r="M42" i="14"/>
  <c r="L42" i="14"/>
  <c r="K42" i="14"/>
  <c r="G42" i="14"/>
  <c r="E42" i="14"/>
  <c r="B42" i="14"/>
  <c r="N41" i="14"/>
  <c r="M41" i="14"/>
  <c r="L41" i="14"/>
  <c r="K41" i="14"/>
  <c r="G41" i="14"/>
  <c r="E41" i="14"/>
  <c r="B41" i="14"/>
  <c r="N40" i="14"/>
  <c r="M40" i="14"/>
  <c r="L40" i="14"/>
  <c r="K40" i="14"/>
  <c r="G40" i="14"/>
  <c r="E40" i="14"/>
  <c r="B40" i="14"/>
  <c r="N39" i="14"/>
  <c r="M39" i="14"/>
  <c r="L39" i="14"/>
  <c r="K39" i="14"/>
  <c r="G39" i="14"/>
  <c r="E39" i="14"/>
  <c r="B39" i="14"/>
  <c r="N38" i="14"/>
  <c r="M38" i="14"/>
  <c r="L38" i="14"/>
  <c r="K38" i="14"/>
  <c r="G38" i="14"/>
  <c r="E38" i="14"/>
  <c r="B38" i="14"/>
  <c r="N37" i="14"/>
  <c r="M37" i="14"/>
  <c r="L37" i="14"/>
  <c r="K37" i="14"/>
  <c r="G37" i="14"/>
  <c r="E37" i="14"/>
  <c r="B37" i="14"/>
  <c r="N36" i="14"/>
  <c r="M36" i="14"/>
  <c r="L36" i="14"/>
  <c r="K36" i="14"/>
  <c r="G36" i="14"/>
  <c r="E36" i="14"/>
  <c r="B36" i="14"/>
  <c r="N35" i="14"/>
  <c r="M35" i="14"/>
  <c r="L35" i="14"/>
  <c r="K35" i="14"/>
  <c r="G35" i="14"/>
  <c r="E35" i="14"/>
  <c r="B35" i="14"/>
  <c r="N34" i="14"/>
  <c r="M34" i="14"/>
  <c r="L34" i="14"/>
  <c r="K34" i="14"/>
  <c r="G34" i="14"/>
  <c r="E34" i="14"/>
  <c r="B34" i="14"/>
  <c r="N33" i="14"/>
  <c r="M33" i="14"/>
  <c r="L33" i="14"/>
  <c r="K33" i="14"/>
  <c r="G33" i="14"/>
  <c r="E33" i="14"/>
  <c r="B33" i="14"/>
  <c r="N32" i="14"/>
  <c r="M32" i="14"/>
  <c r="L32" i="14"/>
  <c r="K32" i="14"/>
  <c r="G32" i="14"/>
  <c r="E32" i="14"/>
  <c r="B32" i="14"/>
  <c r="N31" i="14"/>
  <c r="M31" i="14"/>
  <c r="L31" i="14"/>
  <c r="K31" i="14"/>
  <c r="G31" i="14"/>
  <c r="E31" i="14"/>
  <c r="B31" i="14"/>
  <c r="N30" i="14"/>
  <c r="M30" i="14"/>
  <c r="L30" i="14"/>
  <c r="K30" i="14"/>
  <c r="G30" i="14"/>
  <c r="E30" i="14"/>
  <c r="B30" i="14"/>
  <c r="N29" i="14"/>
  <c r="M29" i="14"/>
  <c r="L29" i="14"/>
  <c r="K29" i="14"/>
  <c r="G29" i="14"/>
  <c r="E29" i="14"/>
  <c r="B29" i="14"/>
  <c r="N28" i="14"/>
  <c r="M28" i="14"/>
  <c r="L28" i="14"/>
  <c r="K28" i="14"/>
  <c r="G28" i="14"/>
  <c r="E28" i="14"/>
  <c r="B28" i="14"/>
  <c r="N27" i="14"/>
  <c r="M27" i="14"/>
  <c r="L27" i="14"/>
  <c r="K27" i="14"/>
  <c r="G27" i="14"/>
  <c r="E27" i="14"/>
  <c r="B27" i="14"/>
  <c r="N25" i="14"/>
  <c r="M25" i="14"/>
  <c r="L25" i="14"/>
  <c r="K25" i="14"/>
  <c r="I25" i="14"/>
  <c r="G25" i="14"/>
  <c r="E25" i="14"/>
  <c r="B25" i="14"/>
  <c r="B24" i="14"/>
  <c r="L23" i="14"/>
  <c r="B23" i="14" l="1"/>
  <c r="L22" i="14"/>
  <c r="O22" i="14" l="1"/>
  <c r="L21" i="14"/>
  <c r="O21" i="14" l="1"/>
  <c r="L20" i="14"/>
  <c r="O20" i="14" l="1"/>
  <c r="L18" i="14"/>
  <c r="L16" i="14"/>
  <c r="E16" i="14"/>
  <c r="B16" i="14" l="1"/>
  <c r="L15" i="14"/>
  <c r="O15" i="14" l="1"/>
  <c r="B15" i="14"/>
  <c r="L14" i="14"/>
  <c r="E14" i="14"/>
  <c r="E15" i="14" l="1"/>
  <c r="O14" i="14"/>
  <c r="B14" i="14"/>
  <c r="L13" i="14"/>
  <c r="E13" i="14"/>
  <c r="O13" i="14" l="1"/>
  <c r="B13" i="14"/>
  <c r="L12" i="14"/>
  <c r="O12" i="14" l="1"/>
  <c r="B12" i="14"/>
  <c r="L11" i="14"/>
  <c r="E11" i="14"/>
  <c r="O11" i="14" l="1"/>
  <c r="B11" i="14"/>
  <c r="L10" i="14"/>
  <c r="E10" i="14"/>
  <c r="O10" i="14" l="1"/>
  <c r="B10" i="14"/>
  <c r="E9" i="14"/>
  <c r="E12" i="14" l="1"/>
  <c r="B9" i="14"/>
  <c r="L8" i="14"/>
  <c r="B8" i="14"/>
  <c r="I602" i="13"/>
  <c r="H602" i="13"/>
  <c r="G602" i="13"/>
  <c r="E602" i="13"/>
  <c r="D602" i="13"/>
  <c r="C602" i="13"/>
  <c r="B602" i="13"/>
  <c r="I601" i="13"/>
  <c r="H601" i="13"/>
  <c r="G601" i="13"/>
  <c r="E601" i="13"/>
  <c r="D601" i="13"/>
  <c r="C601" i="13"/>
  <c r="B601" i="13"/>
  <c r="I600" i="13"/>
  <c r="H600" i="13"/>
  <c r="G600" i="13"/>
  <c r="E600" i="13"/>
  <c r="D600" i="13"/>
  <c r="C600" i="13"/>
  <c r="B600" i="13"/>
  <c r="I599" i="13"/>
  <c r="H599" i="13"/>
  <c r="G599" i="13"/>
  <c r="E599" i="13"/>
  <c r="D599" i="13"/>
  <c r="C599" i="13"/>
  <c r="B599" i="13"/>
  <c r="I598" i="13"/>
  <c r="H598" i="13"/>
  <c r="G598" i="13"/>
  <c r="E598" i="13"/>
  <c r="D598" i="13"/>
  <c r="C598" i="13"/>
  <c r="B598" i="13"/>
  <c r="I597" i="13"/>
  <c r="H597" i="13"/>
  <c r="G597" i="13"/>
  <c r="E597" i="13"/>
  <c r="D597" i="13"/>
  <c r="C597" i="13"/>
  <c r="B597" i="13"/>
  <c r="I596" i="13"/>
  <c r="H596" i="13"/>
  <c r="G596" i="13"/>
  <c r="E596" i="13"/>
  <c r="D596" i="13"/>
  <c r="C596" i="13"/>
  <c r="B596" i="13"/>
  <c r="I595" i="13"/>
  <c r="H595" i="13"/>
  <c r="G595" i="13"/>
  <c r="E595" i="13"/>
  <c r="D595" i="13"/>
  <c r="C595" i="13"/>
  <c r="B595" i="13"/>
  <c r="I594" i="13"/>
  <c r="H594" i="13"/>
  <c r="G594" i="13"/>
  <c r="E594" i="13"/>
  <c r="D594" i="13"/>
  <c r="C594" i="13"/>
  <c r="B594" i="13"/>
  <c r="I593" i="13"/>
  <c r="H593" i="13"/>
  <c r="G593" i="13"/>
  <c r="E593" i="13"/>
  <c r="D593" i="13"/>
  <c r="C593" i="13"/>
  <c r="B593" i="13"/>
  <c r="I592" i="13"/>
  <c r="H592" i="13"/>
  <c r="G592" i="13"/>
  <c r="E592" i="13"/>
  <c r="D592" i="13"/>
  <c r="C592" i="13"/>
  <c r="B592" i="13"/>
  <c r="I591" i="13"/>
  <c r="H591" i="13"/>
  <c r="G591" i="13"/>
  <c r="E591" i="13"/>
  <c r="D591" i="13"/>
  <c r="C591" i="13"/>
  <c r="B591" i="13"/>
  <c r="I590" i="13"/>
  <c r="H590" i="13"/>
  <c r="G590" i="13"/>
  <c r="E590" i="13"/>
  <c r="D590" i="13"/>
  <c r="C590" i="13"/>
  <c r="B590" i="13"/>
  <c r="I589" i="13"/>
  <c r="H589" i="13"/>
  <c r="G589" i="13"/>
  <c r="E589" i="13"/>
  <c r="D589" i="13"/>
  <c r="C589" i="13"/>
  <c r="B589" i="13"/>
  <c r="I588" i="13"/>
  <c r="H588" i="13"/>
  <c r="G588" i="13"/>
  <c r="E588" i="13"/>
  <c r="D588" i="13"/>
  <c r="C588" i="13"/>
  <c r="B588" i="13"/>
  <c r="I587" i="13"/>
  <c r="H587" i="13"/>
  <c r="G587" i="13"/>
  <c r="E587" i="13"/>
  <c r="D587" i="13"/>
  <c r="C587" i="13"/>
  <c r="B587" i="13"/>
  <c r="I586" i="13"/>
  <c r="H586" i="13"/>
  <c r="G586" i="13"/>
  <c r="E586" i="13"/>
  <c r="D586" i="13"/>
  <c r="C586" i="13"/>
  <c r="B586" i="13"/>
  <c r="I585" i="13"/>
  <c r="H585" i="13"/>
  <c r="G585" i="13"/>
  <c r="E585" i="13"/>
  <c r="D585" i="13"/>
  <c r="C585" i="13"/>
  <c r="B585" i="13"/>
  <c r="I584" i="13"/>
  <c r="H584" i="13"/>
  <c r="G584" i="13"/>
  <c r="E584" i="13"/>
  <c r="D584" i="13"/>
  <c r="C584" i="13"/>
  <c r="B584" i="13"/>
  <c r="I583" i="13"/>
  <c r="H583" i="13"/>
  <c r="G583" i="13"/>
  <c r="E583" i="13"/>
  <c r="D583" i="13"/>
  <c r="C583" i="13"/>
  <c r="B583" i="13"/>
  <c r="I582" i="13"/>
  <c r="H582" i="13"/>
  <c r="G582" i="13"/>
  <c r="E582" i="13"/>
  <c r="D582" i="13"/>
  <c r="C582" i="13"/>
  <c r="B582" i="13"/>
  <c r="I581" i="13"/>
  <c r="H581" i="13"/>
  <c r="G581" i="13"/>
  <c r="E581" i="13"/>
  <c r="D581" i="13"/>
  <c r="C581" i="13"/>
  <c r="B581" i="13"/>
  <c r="I580" i="13"/>
  <c r="H580" i="13"/>
  <c r="G580" i="13"/>
  <c r="E580" i="13"/>
  <c r="D580" i="13"/>
  <c r="C580" i="13"/>
  <c r="B580" i="13"/>
  <c r="I579" i="13"/>
  <c r="H579" i="13"/>
  <c r="G579" i="13"/>
  <c r="E579" i="13"/>
  <c r="D579" i="13"/>
  <c r="C579" i="13"/>
  <c r="B579" i="13"/>
  <c r="I578" i="13"/>
  <c r="H578" i="13"/>
  <c r="G578" i="13"/>
  <c r="E578" i="13"/>
  <c r="D578" i="13"/>
  <c r="C578" i="13"/>
  <c r="B578" i="13"/>
  <c r="I577" i="13"/>
  <c r="H577" i="13"/>
  <c r="G577" i="13"/>
  <c r="E577" i="13"/>
  <c r="D577" i="13"/>
  <c r="C577" i="13"/>
  <c r="B577" i="13"/>
  <c r="I576" i="13"/>
  <c r="H576" i="13"/>
  <c r="G576" i="13"/>
  <c r="E576" i="13"/>
  <c r="D576" i="13"/>
  <c r="C576" i="13"/>
  <c r="B576" i="13"/>
  <c r="I575" i="13"/>
  <c r="H575" i="13"/>
  <c r="G575" i="13"/>
  <c r="E575" i="13"/>
  <c r="D575" i="13"/>
  <c r="C575" i="13"/>
  <c r="B575" i="13"/>
  <c r="I574" i="13"/>
  <c r="H574" i="13"/>
  <c r="G574" i="13"/>
  <c r="E574" i="13"/>
  <c r="D574" i="13"/>
  <c r="C574" i="13"/>
  <c r="B574" i="13"/>
  <c r="I573" i="13"/>
  <c r="H573" i="13"/>
  <c r="G573" i="13"/>
  <c r="E573" i="13"/>
  <c r="D573" i="13"/>
  <c r="C573" i="13"/>
  <c r="B573" i="13"/>
  <c r="I572" i="13"/>
  <c r="H572" i="13"/>
  <c r="G572" i="13"/>
  <c r="E572" i="13"/>
  <c r="D572" i="13"/>
  <c r="C572" i="13"/>
  <c r="B572" i="13"/>
  <c r="I571" i="13"/>
  <c r="H571" i="13"/>
  <c r="G571" i="13"/>
  <c r="E571" i="13"/>
  <c r="D571" i="13"/>
  <c r="C571" i="13"/>
  <c r="B571" i="13"/>
  <c r="I570" i="13"/>
  <c r="H570" i="13"/>
  <c r="G570" i="13"/>
  <c r="E570" i="13"/>
  <c r="D570" i="13"/>
  <c r="C570" i="13"/>
  <c r="B570" i="13"/>
  <c r="I569" i="13"/>
  <c r="H569" i="13"/>
  <c r="G569" i="13"/>
  <c r="E569" i="13"/>
  <c r="D569" i="13"/>
  <c r="C569" i="13"/>
  <c r="B569" i="13"/>
  <c r="I568" i="13"/>
  <c r="H568" i="13"/>
  <c r="G568" i="13"/>
  <c r="E568" i="13"/>
  <c r="D568" i="13"/>
  <c r="C568" i="13"/>
  <c r="B568" i="13"/>
  <c r="I567" i="13"/>
  <c r="H567" i="13"/>
  <c r="G567" i="13"/>
  <c r="E567" i="13"/>
  <c r="D567" i="13"/>
  <c r="C567" i="13"/>
  <c r="B567" i="13"/>
  <c r="I566" i="13"/>
  <c r="H566" i="13"/>
  <c r="G566" i="13"/>
  <c r="E566" i="13"/>
  <c r="D566" i="13"/>
  <c r="C566" i="13"/>
  <c r="B566" i="13"/>
  <c r="I565" i="13"/>
  <c r="H565" i="13"/>
  <c r="G565" i="13"/>
  <c r="E565" i="13"/>
  <c r="D565" i="13"/>
  <c r="C565" i="13"/>
  <c r="B565" i="13"/>
  <c r="I564" i="13"/>
  <c r="H564" i="13"/>
  <c r="G564" i="13"/>
  <c r="E564" i="13"/>
  <c r="D564" i="13"/>
  <c r="C564" i="13"/>
  <c r="B564" i="13"/>
  <c r="I563" i="13"/>
  <c r="H563" i="13"/>
  <c r="G563" i="13"/>
  <c r="E563" i="13"/>
  <c r="D563" i="13"/>
  <c r="C563" i="13"/>
  <c r="B563" i="13"/>
  <c r="I562" i="13"/>
  <c r="H562" i="13"/>
  <c r="G562" i="13"/>
  <c r="E562" i="13"/>
  <c r="D562" i="13"/>
  <c r="C562" i="13"/>
  <c r="B562" i="13"/>
  <c r="I561" i="13"/>
  <c r="H561" i="13"/>
  <c r="G561" i="13"/>
  <c r="E561" i="13"/>
  <c r="D561" i="13"/>
  <c r="C561" i="13"/>
  <c r="B561" i="13"/>
  <c r="I560" i="13"/>
  <c r="H560" i="13"/>
  <c r="G560" i="13"/>
  <c r="E560" i="13"/>
  <c r="D560" i="13"/>
  <c r="C560" i="13"/>
  <c r="B560" i="13"/>
  <c r="I559" i="13"/>
  <c r="H559" i="13"/>
  <c r="G559" i="13"/>
  <c r="E559" i="13"/>
  <c r="D559" i="13"/>
  <c r="C559" i="13"/>
  <c r="B559" i="13"/>
  <c r="I558" i="13"/>
  <c r="H558" i="13"/>
  <c r="G558" i="13"/>
  <c r="E558" i="13"/>
  <c r="D558" i="13"/>
  <c r="C558" i="13"/>
  <c r="B558" i="13"/>
  <c r="I557" i="13"/>
  <c r="H557" i="13"/>
  <c r="G557" i="13"/>
  <c r="E557" i="13"/>
  <c r="D557" i="13"/>
  <c r="C557" i="13"/>
  <c r="B557" i="13"/>
  <c r="I556" i="13"/>
  <c r="H556" i="13"/>
  <c r="G556" i="13"/>
  <c r="E556" i="13"/>
  <c r="D556" i="13"/>
  <c r="C556" i="13"/>
  <c r="B556" i="13"/>
  <c r="I555" i="13"/>
  <c r="H555" i="13"/>
  <c r="G555" i="13"/>
  <c r="E555" i="13"/>
  <c r="D555" i="13"/>
  <c r="C555" i="13"/>
  <c r="B555" i="13"/>
  <c r="I554" i="13"/>
  <c r="H554" i="13"/>
  <c r="G554" i="13"/>
  <c r="E554" i="13"/>
  <c r="D554" i="13"/>
  <c r="C554" i="13"/>
  <c r="B554" i="13"/>
  <c r="I553" i="13"/>
  <c r="H553" i="13"/>
  <c r="G553" i="13"/>
  <c r="E553" i="13"/>
  <c r="D553" i="13"/>
  <c r="C553" i="13"/>
  <c r="B553" i="13"/>
  <c r="I552" i="13"/>
  <c r="H552" i="13"/>
  <c r="G552" i="13"/>
  <c r="E552" i="13"/>
  <c r="D552" i="13"/>
  <c r="C552" i="13"/>
  <c r="B552" i="13"/>
  <c r="I551" i="13"/>
  <c r="H551" i="13"/>
  <c r="G551" i="13"/>
  <c r="E551" i="13"/>
  <c r="D551" i="13"/>
  <c r="C551" i="13"/>
  <c r="B551" i="13"/>
  <c r="I550" i="13"/>
  <c r="H550" i="13"/>
  <c r="G550" i="13"/>
  <c r="E550" i="13"/>
  <c r="D550" i="13"/>
  <c r="C550" i="13"/>
  <c r="B550" i="13"/>
  <c r="I549" i="13"/>
  <c r="H549" i="13"/>
  <c r="G549" i="13"/>
  <c r="E549" i="13"/>
  <c r="D549" i="13"/>
  <c r="C549" i="13"/>
  <c r="B549" i="13"/>
  <c r="I548" i="13"/>
  <c r="H548" i="13"/>
  <c r="G548" i="13"/>
  <c r="E548" i="13"/>
  <c r="D548" i="13"/>
  <c r="C548" i="13"/>
  <c r="B548" i="13"/>
  <c r="I547" i="13"/>
  <c r="H547" i="13"/>
  <c r="G547" i="13"/>
  <c r="E547" i="13"/>
  <c r="D547" i="13"/>
  <c r="C547" i="13"/>
  <c r="B547" i="13"/>
  <c r="I546" i="13"/>
  <c r="H546" i="13"/>
  <c r="G546" i="13"/>
  <c r="E546" i="13"/>
  <c r="D546" i="13"/>
  <c r="C546" i="13"/>
  <c r="B546" i="13"/>
  <c r="I545" i="13"/>
  <c r="H545" i="13"/>
  <c r="G545" i="13"/>
  <c r="E545" i="13"/>
  <c r="D545" i="13"/>
  <c r="C545" i="13"/>
  <c r="B545" i="13"/>
  <c r="I544" i="13"/>
  <c r="H544" i="13"/>
  <c r="G544" i="13"/>
  <c r="E544" i="13"/>
  <c r="D544" i="13"/>
  <c r="C544" i="13"/>
  <c r="B544" i="13"/>
  <c r="I543" i="13"/>
  <c r="H543" i="13"/>
  <c r="G543" i="13"/>
  <c r="E543" i="13"/>
  <c r="D543" i="13"/>
  <c r="C543" i="13"/>
  <c r="B543" i="13"/>
  <c r="I542" i="13"/>
  <c r="H542" i="13"/>
  <c r="G542" i="13"/>
  <c r="E542" i="13"/>
  <c r="D542" i="13"/>
  <c r="C542" i="13"/>
  <c r="B542" i="13"/>
  <c r="I541" i="13"/>
  <c r="H541" i="13"/>
  <c r="G541" i="13"/>
  <c r="E541" i="13"/>
  <c r="D541" i="13"/>
  <c r="C541" i="13"/>
  <c r="B541" i="13"/>
  <c r="I540" i="13"/>
  <c r="H540" i="13"/>
  <c r="G540" i="13"/>
  <c r="E540" i="13"/>
  <c r="D540" i="13"/>
  <c r="C540" i="13"/>
  <c r="B540" i="13"/>
  <c r="I539" i="13"/>
  <c r="H539" i="13"/>
  <c r="G539" i="13"/>
  <c r="E539" i="13"/>
  <c r="D539" i="13"/>
  <c r="C539" i="13"/>
  <c r="B539" i="13"/>
  <c r="I538" i="13"/>
  <c r="H538" i="13"/>
  <c r="G538" i="13"/>
  <c r="E538" i="13"/>
  <c r="D538" i="13"/>
  <c r="C538" i="13"/>
  <c r="B538" i="13"/>
  <c r="I537" i="13"/>
  <c r="H537" i="13"/>
  <c r="G537" i="13"/>
  <c r="E537" i="13"/>
  <c r="D537" i="13"/>
  <c r="C537" i="13"/>
  <c r="B537" i="13"/>
  <c r="I536" i="13"/>
  <c r="H536" i="13"/>
  <c r="G536" i="13"/>
  <c r="E536" i="13"/>
  <c r="D536" i="13"/>
  <c r="C536" i="13"/>
  <c r="B536" i="13"/>
  <c r="I535" i="13"/>
  <c r="H535" i="13"/>
  <c r="G535" i="13"/>
  <c r="E535" i="13"/>
  <c r="D535" i="13"/>
  <c r="C535" i="13"/>
  <c r="B535" i="13"/>
  <c r="I534" i="13"/>
  <c r="H534" i="13"/>
  <c r="G534" i="13"/>
  <c r="E534" i="13"/>
  <c r="D534" i="13"/>
  <c r="C534" i="13"/>
  <c r="B534" i="13"/>
  <c r="I533" i="13"/>
  <c r="H533" i="13"/>
  <c r="G533" i="13"/>
  <c r="E533" i="13"/>
  <c r="D533" i="13"/>
  <c r="C533" i="13"/>
  <c r="B533" i="13"/>
  <c r="I532" i="13"/>
  <c r="H532" i="13"/>
  <c r="G532" i="13"/>
  <c r="E532" i="13"/>
  <c r="D532" i="13"/>
  <c r="C532" i="13"/>
  <c r="B532" i="13"/>
  <c r="I531" i="13"/>
  <c r="H531" i="13"/>
  <c r="G531" i="13"/>
  <c r="E531" i="13"/>
  <c r="D531" i="13"/>
  <c r="C531" i="13"/>
  <c r="B531" i="13"/>
  <c r="I530" i="13"/>
  <c r="H530" i="13"/>
  <c r="G530" i="13"/>
  <c r="E530" i="13"/>
  <c r="D530" i="13"/>
  <c r="C530" i="13"/>
  <c r="B530" i="13"/>
  <c r="I529" i="13"/>
  <c r="H529" i="13"/>
  <c r="G529" i="13"/>
  <c r="E529" i="13"/>
  <c r="D529" i="13"/>
  <c r="C529" i="13"/>
  <c r="B529" i="13"/>
  <c r="I528" i="13"/>
  <c r="H528" i="13"/>
  <c r="G528" i="13"/>
  <c r="E528" i="13"/>
  <c r="D528" i="13"/>
  <c r="C528" i="13"/>
  <c r="B528" i="13"/>
  <c r="I527" i="13"/>
  <c r="H527" i="13"/>
  <c r="G527" i="13"/>
  <c r="E527" i="13"/>
  <c r="D527" i="13"/>
  <c r="C527" i="13"/>
  <c r="B527" i="13"/>
  <c r="I526" i="13"/>
  <c r="H526" i="13"/>
  <c r="G526" i="13"/>
  <c r="E526" i="13"/>
  <c r="D526" i="13"/>
  <c r="C526" i="13"/>
  <c r="B526" i="13"/>
  <c r="I525" i="13"/>
  <c r="H525" i="13"/>
  <c r="G525" i="13"/>
  <c r="E525" i="13"/>
  <c r="D525" i="13"/>
  <c r="C525" i="13"/>
  <c r="B525" i="13"/>
  <c r="I524" i="13"/>
  <c r="H524" i="13"/>
  <c r="G524" i="13"/>
  <c r="E524" i="13"/>
  <c r="D524" i="13"/>
  <c r="C524" i="13"/>
  <c r="B524" i="13"/>
  <c r="I523" i="13"/>
  <c r="H523" i="13"/>
  <c r="G523" i="13"/>
  <c r="E523" i="13"/>
  <c r="D523" i="13"/>
  <c r="C523" i="13"/>
  <c r="B523" i="13"/>
  <c r="I522" i="13"/>
  <c r="H522" i="13"/>
  <c r="G522" i="13"/>
  <c r="E522" i="13"/>
  <c r="D522" i="13"/>
  <c r="C522" i="13"/>
  <c r="B522" i="13"/>
  <c r="I521" i="13"/>
  <c r="H521" i="13"/>
  <c r="G521" i="13"/>
  <c r="E521" i="13"/>
  <c r="D521" i="13"/>
  <c r="C521" i="13"/>
  <c r="B521" i="13"/>
  <c r="I520" i="13"/>
  <c r="H520" i="13"/>
  <c r="G520" i="13"/>
  <c r="E520" i="13"/>
  <c r="D520" i="13"/>
  <c r="C520" i="13"/>
  <c r="B520" i="13"/>
  <c r="I519" i="13"/>
  <c r="H519" i="13"/>
  <c r="G519" i="13"/>
  <c r="E519" i="13"/>
  <c r="D519" i="13"/>
  <c r="C519" i="13"/>
  <c r="B519" i="13"/>
  <c r="I518" i="13"/>
  <c r="H518" i="13"/>
  <c r="G518" i="13"/>
  <c r="E518" i="13"/>
  <c r="D518" i="13"/>
  <c r="C518" i="13"/>
  <c r="B518" i="13"/>
  <c r="I517" i="13"/>
  <c r="H517" i="13"/>
  <c r="G517" i="13"/>
  <c r="E517" i="13"/>
  <c r="D517" i="13"/>
  <c r="C517" i="13"/>
  <c r="B517" i="13"/>
  <c r="I516" i="13"/>
  <c r="H516" i="13"/>
  <c r="G516" i="13"/>
  <c r="E516" i="13"/>
  <c r="D516" i="13"/>
  <c r="C516" i="13"/>
  <c r="B516" i="13"/>
  <c r="I515" i="13"/>
  <c r="H515" i="13"/>
  <c r="G515" i="13"/>
  <c r="E515" i="13"/>
  <c r="D515" i="13"/>
  <c r="C515" i="13"/>
  <c r="B515" i="13"/>
  <c r="I514" i="13"/>
  <c r="H514" i="13"/>
  <c r="G514" i="13"/>
  <c r="E514" i="13"/>
  <c r="D514" i="13"/>
  <c r="C514" i="13"/>
  <c r="B514" i="13"/>
  <c r="I513" i="13"/>
  <c r="H513" i="13"/>
  <c r="G513" i="13"/>
  <c r="E513" i="13"/>
  <c r="D513" i="13"/>
  <c r="C513" i="13"/>
  <c r="B513" i="13"/>
  <c r="I512" i="13"/>
  <c r="H512" i="13"/>
  <c r="G512" i="13"/>
  <c r="E512" i="13"/>
  <c r="D512" i="13"/>
  <c r="C512" i="13"/>
  <c r="B512" i="13"/>
  <c r="I511" i="13"/>
  <c r="H511" i="13"/>
  <c r="G511" i="13"/>
  <c r="E511" i="13"/>
  <c r="D511" i="13"/>
  <c r="C511" i="13"/>
  <c r="B511" i="13"/>
  <c r="I510" i="13"/>
  <c r="H510" i="13"/>
  <c r="G510" i="13"/>
  <c r="E510" i="13"/>
  <c r="D510" i="13"/>
  <c r="C510" i="13"/>
  <c r="B510" i="13"/>
  <c r="I509" i="13"/>
  <c r="H509" i="13"/>
  <c r="G509" i="13"/>
  <c r="E509" i="13"/>
  <c r="D509" i="13"/>
  <c r="C509" i="13"/>
  <c r="B509" i="13"/>
  <c r="I508" i="13"/>
  <c r="H508" i="13"/>
  <c r="G508" i="13"/>
  <c r="E508" i="13"/>
  <c r="D508" i="13"/>
  <c r="C508" i="13"/>
  <c r="B508" i="13"/>
  <c r="I507" i="13"/>
  <c r="H507" i="13"/>
  <c r="G507" i="13"/>
  <c r="E507" i="13"/>
  <c r="D507" i="13"/>
  <c r="C507" i="13"/>
  <c r="B507" i="13"/>
  <c r="I506" i="13"/>
  <c r="H506" i="13"/>
  <c r="G506" i="13"/>
  <c r="E506" i="13"/>
  <c r="D506" i="13"/>
  <c r="C506" i="13"/>
  <c r="B506" i="13"/>
  <c r="I505" i="13"/>
  <c r="H505" i="13"/>
  <c r="G505" i="13"/>
  <c r="E505" i="13"/>
  <c r="D505" i="13"/>
  <c r="C505" i="13"/>
  <c r="B505" i="13"/>
  <c r="I504" i="13"/>
  <c r="H504" i="13"/>
  <c r="G504" i="13"/>
  <c r="E504" i="13"/>
  <c r="D504" i="13"/>
  <c r="C504" i="13"/>
  <c r="B504" i="13"/>
  <c r="I503" i="13"/>
  <c r="H503" i="13"/>
  <c r="G503" i="13"/>
  <c r="E503" i="13"/>
  <c r="D503" i="13"/>
  <c r="C503" i="13"/>
  <c r="B503" i="13"/>
  <c r="I502" i="13"/>
  <c r="H502" i="13"/>
  <c r="G502" i="13"/>
  <c r="E502" i="13"/>
  <c r="D502" i="13"/>
  <c r="C502" i="13"/>
  <c r="B502" i="13"/>
  <c r="I501" i="13"/>
  <c r="H501" i="13"/>
  <c r="G501" i="13"/>
  <c r="E501" i="13"/>
  <c r="D501" i="13"/>
  <c r="C501" i="13"/>
  <c r="B501" i="13"/>
  <c r="I500" i="13"/>
  <c r="H500" i="13"/>
  <c r="G500" i="13"/>
  <c r="E500" i="13"/>
  <c r="D500" i="13"/>
  <c r="C500" i="13"/>
  <c r="B500" i="13"/>
  <c r="I499" i="13"/>
  <c r="H499" i="13"/>
  <c r="G499" i="13"/>
  <c r="E499" i="13"/>
  <c r="D499" i="13"/>
  <c r="C499" i="13"/>
  <c r="B499" i="13"/>
  <c r="I498" i="13"/>
  <c r="H498" i="13"/>
  <c r="G498" i="13"/>
  <c r="E498" i="13"/>
  <c r="D498" i="13"/>
  <c r="C498" i="13"/>
  <c r="B498" i="13"/>
  <c r="I497" i="13"/>
  <c r="H497" i="13"/>
  <c r="G497" i="13"/>
  <c r="E497" i="13"/>
  <c r="D497" i="13"/>
  <c r="C497" i="13"/>
  <c r="B497" i="13"/>
  <c r="I496" i="13"/>
  <c r="H496" i="13"/>
  <c r="G496" i="13"/>
  <c r="E496" i="13"/>
  <c r="D496" i="13"/>
  <c r="C496" i="13"/>
  <c r="B496" i="13"/>
  <c r="I495" i="13"/>
  <c r="H495" i="13"/>
  <c r="G495" i="13"/>
  <c r="E495" i="13"/>
  <c r="D495" i="13"/>
  <c r="C495" i="13"/>
  <c r="B495" i="13"/>
  <c r="I494" i="13"/>
  <c r="H494" i="13"/>
  <c r="G494" i="13"/>
  <c r="E494" i="13"/>
  <c r="D494" i="13"/>
  <c r="C494" i="13"/>
  <c r="B494" i="13"/>
  <c r="I493" i="13"/>
  <c r="H493" i="13"/>
  <c r="G493" i="13"/>
  <c r="E493" i="13"/>
  <c r="D493" i="13"/>
  <c r="C493" i="13"/>
  <c r="B493" i="13"/>
  <c r="I492" i="13"/>
  <c r="H492" i="13"/>
  <c r="G492" i="13"/>
  <c r="E492" i="13"/>
  <c r="D492" i="13"/>
  <c r="C492" i="13"/>
  <c r="B492" i="13"/>
  <c r="I491" i="13"/>
  <c r="H491" i="13"/>
  <c r="G491" i="13"/>
  <c r="E491" i="13"/>
  <c r="D491" i="13"/>
  <c r="C491" i="13"/>
  <c r="B491" i="13"/>
  <c r="I490" i="13"/>
  <c r="H490" i="13"/>
  <c r="G490" i="13"/>
  <c r="E490" i="13"/>
  <c r="D490" i="13"/>
  <c r="C490" i="13"/>
  <c r="B490" i="13"/>
  <c r="I489" i="13"/>
  <c r="H489" i="13"/>
  <c r="G489" i="13"/>
  <c r="E489" i="13"/>
  <c r="D489" i="13"/>
  <c r="C489" i="13"/>
  <c r="B489" i="13"/>
  <c r="I488" i="13"/>
  <c r="H488" i="13"/>
  <c r="G488" i="13"/>
  <c r="E488" i="13"/>
  <c r="D488" i="13"/>
  <c r="C488" i="13"/>
  <c r="B488" i="13"/>
  <c r="I487" i="13"/>
  <c r="H487" i="13"/>
  <c r="G487" i="13"/>
  <c r="E487" i="13"/>
  <c r="D487" i="13"/>
  <c r="C487" i="13"/>
  <c r="B487" i="13"/>
  <c r="I486" i="13"/>
  <c r="H486" i="13"/>
  <c r="G486" i="13"/>
  <c r="E486" i="13"/>
  <c r="D486" i="13"/>
  <c r="C486" i="13"/>
  <c r="B486" i="13"/>
  <c r="I485" i="13"/>
  <c r="H485" i="13"/>
  <c r="G485" i="13"/>
  <c r="E485" i="13"/>
  <c r="D485" i="13"/>
  <c r="C485" i="13"/>
  <c r="B485" i="13"/>
  <c r="I484" i="13"/>
  <c r="H484" i="13"/>
  <c r="G484" i="13"/>
  <c r="E484" i="13"/>
  <c r="D484" i="13"/>
  <c r="C484" i="13"/>
  <c r="B484" i="13"/>
  <c r="I483" i="13"/>
  <c r="H483" i="13"/>
  <c r="G483" i="13"/>
  <c r="E483" i="13"/>
  <c r="D483" i="13"/>
  <c r="C483" i="13"/>
  <c r="B483" i="13"/>
  <c r="I482" i="13"/>
  <c r="H482" i="13"/>
  <c r="G482" i="13"/>
  <c r="E482" i="13"/>
  <c r="D482" i="13"/>
  <c r="C482" i="13"/>
  <c r="B482" i="13"/>
  <c r="I481" i="13"/>
  <c r="H481" i="13"/>
  <c r="G481" i="13"/>
  <c r="E481" i="13"/>
  <c r="D481" i="13"/>
  <c r="C481" i="13"/>
  <c r="B481" i="13"/>
  <c r="I480" i="13"/>
  <c r="H480" i="13"/>
  <c r="G480" i="13"/>
  <c r="E480" i="13"/>
  <c r="D480" i="13"/>
  <c r="C480" i="13"/>
  <c r="B480" i="13"/>
  <c r="I479" i="13"/>
  <c r="H479" i="13"/>
  <c r="G479" i="13"/>
  <c r="E479" i="13"/>
  <c r="D479" i="13"/>
  <c r="C479" i="13"/>
  <c r="B479" i="13"/>
  <c r="I478" i="13"/>
  <c r="H478" i="13"/>
  <c r="G478" i="13"/>
  <c r="E478" i="13"/>
  <c r="D478" i="13"/>
  <c r="C478" i="13"/>
  <c r="B478" i="13"/>
  <c r="I477" i="13"/>
  <c r="H477" i="13"/>
  <c r="G477" i="13"/>
  <c r="E477" i="13"/>
  <c r="D477" i="13"/>
  <c r="C477" i="13"/>
  <c r="B477" i="13"/>
  <c r="I476" i="13"/>
  <c r="H476" i="13"/>
  <c r="G476" i="13"/>
  <c r="E476" i="13"/>
  <c r="D476" i="13"/>
  <c r="C476" i="13"/>
  <c r="B476" i="13"/>
  <c r="I475" i="13"/>
  <c r="H475" i="13"/>
  <c r="G475" i="13"/>
  <c r="E475" i="13"/>
  <c r="D475" i="13"/>
  <c r="C475" i="13"/>
  <c r="B475" i="13"/>
  <c r="I474" i="13"/>
  <c r="H474" i="13"/>
  <c r="G474" i="13"/>
  <c r="E474" i="13"/>
  <c r="D474" i="13"/>
  <c r="C474" i="13"/>
  <c r="B474" i="13"/>
  <c r="I473" i="13"/>
  <c r="H473" i="13"/>
  <c r="G473" i="13"/>
  <c r="E473" i="13"/>
  <c r="D473" i="13"/>
  <c r="C473" i="13"/>
  <c r="B473" i="13"/>
  <c r="I472" i="13"/>
  <c r="H472" i="13"/>
  <c r="G472" i="13"/>
  <c r="E472" i="13"/>
  <c r="D472" i="13"/>
  <c r="C472" i="13"/>
  <c r="B472" i="13"/>
  <c r="I471" i="13"/>
  <c r="H471" i="13"/>
  <c r="G471" i="13"/>
  <c r="E471" i="13"/>
  <c r="D471" i="13"/>
  <c r="C471" i="13"/>
  <c r="B471" i="13"/>
  <c r="I470" i="13"/>
  <c r="H470" i="13"/>
  <c r="G470" i="13"/>
  <c r="E470" i="13"/>
  <c r="D470" i="13"/>
  <c r="C470" i="13"/>
  <c r="B470" i="13"/>
  <c r="I469" i="13"/>
  <c r="H469" i="13"/>
  <c r="G469" i="13"/>
  <c r="E469" i="13"/>
  <c r="D469" i="13"/>
  <c r="C469" i="13"/>
  <c r="B469" i="13"/>
  <c r="I468" i="13"/>
  <c r="H468" i="13"/>
  <c r="G468" i="13"/>
  <c r="E468" i="13"/>
  <c r="D468" i="13"/>
  <c r="C468" i="13"/>
  <c r="B468" i="13"/>
  <c r="I467" i="13"/>
  <c r="H467" i="13"/>
  <c r="G467" i="13"/>
  <c r="E467" i="13"/>
  <c r="D467" i="13"/>
  <c r="C467" i="13"/>
  <c r="B467" i="13"/>
  <c r="I466" i="13"/>
  <c r="H466" i="13"/>
  <c r="G466" i="13"/>
  <c r="E466" i="13"/>
  <c r="D466" i="13"/>
  <c r="C466" i="13"/>
  <c r="B466" i="13"/>
  <c r="I465" i="13"/>
  <c r="H465" i="13"/>
  <c r="G465" i="13"/>
  <c r="E465" i="13"/>
  <c r="D465" i="13"/>
  <c r="C465" i="13"/>
  <c r="B465" i="13"/>
  <c r="I464" i="13"/>
  <c r="H464" i="13"/>
  <c r="G464" i="13"/>
  <c r="E464" i="13"/>
  <c r="D464" i="13"/>
  <c r="C464" i="13"/>
  <c r="B464" i="13"/>
  <c r="I463" i="13"/>
  <c r="H463" i="13"/>
  <c r="G463" i="13"/>
  <c r="E463" i="13"/>
  <c r="D463" i="13"/>
  <c r="C463" i="13"/>
  <c r="B463" i="13"/>
  <c r="I462" i="13"/>
  <c r="H462" i="13"/>
  <c r="G462" i="13"/>
  <c r="E462" i="13"/>
  <c r="D462" i="13"/>
  <c r="C462" i="13"/>
  <c r="B462" i="13"/>
  <c r="I461" i="13"/>
  <c r="H461" i="13"/>
  <c r="G461" i="13"/>
  <c r="E461" i="13"/>
  <c r="D461" i="13"/>
  <c r="C461" i="13"/>
  <c r="B461" i="13"/>
  <c r="I460" i="13"/>
  <c r="H460" i="13"/>
  <c r="G460" i="13"/>
  <c r="E460" i="13"/>
  <c r="D460" i="13"/>
  <c r="C460" i="13"/>
  <c r="B460" i="13"/>
  <c r="I459" i="13"/>
  <c r="H459" i="13"/>
  <c r="G459" i="13"/>
  <c r="E459" i="13"/>
  <c r="D459" i="13"/>
  <c r="C459" i="13"/>
  <c r="B459" i="13"/>
  <c r="I458" i="13"/>
  <c r="H458" i="13"/>
  <c r="G458" i="13"/>
  <c r="E458" i="13"/>
  <c r="D458" i="13"/>
  <c r="C458" i="13"/>
  <c r="B458" i="13"/>
  <c r="I457" i="13"/>
  <c r="H457" i="13"/>
  <c r="G457" i="13"/>
  <c r="E457" i="13"/>
  <c r="D457" i="13"/>
  <c r="C457" i="13"/>
  <c r="B457" i="13"/>
  <c r="I456" i="13"/>
  <c r="H456" i="13"/>
  <c r="G456" i="13"/>
  <c r="E456" i="13"/>
  <c r="D456" i="13"/>
  <c r="C456" i="13"/>
  <c r="B456" i="13"/>
  <c r="I455" i="13"/>
  <c r="H455" i="13"/>
  <c r="G455" i="13"/>
  <c r="E455" i="13"/>
  <c r="D455" i="13"/>
  <c r="C455" i="13"/>
  <c r="B455" i="13"/>
  <c r="I454" i="13"/>
  <c r="H454" i="13"/>
  <c r="G454" i="13"/>
  <c r="E454" i="13"/>
  <c r="D454" i="13"/>
  <c r="C454" i="13"/>
  <c r="B454" i="13"/>
  <c r="I453" i="13"/>
  <c r="H453" i="13"/>
  <c r="G453" i="13"/>
  <c r="E453" i="13"/>
  <c r="D453" i="13"/>
  <c r="C453" i="13"/>
  <c r="B453" i="13"/>
  <c r="I452" i="13"/>
  <c r="H452" i="13"/>
  <c r="G452" i="13"/>
  <c r="E452" i="13"/>
  <c r="D452" i="13"/>
  <c r="C452" i="13"/>
  <c r="B452" i="13"/>
  <c r="I451" i="13"/>
  <c r="H451" i="13"/>
  <c r="G451" i="13"/>
  <c r="E451" i="13"/>
  <c r="D451" i="13"/>
  <c r="C451" i="13"/>
  <c r="B451" i="13"/>
  <c r="I450" i="13"/>
  <c r="H450" i="13"/>
  <c r="G450" i="13"/>
  <c r="E450" i="13"/>
  <c r="D450" i="13"/>
  <c r="C450" i="13"/>
  <c r="B450" i="13"/>
  <c r="I449" i="13"/>
  <c r="H449" i="13"/>
  <c r="G449" i="13"/>
  <c r="E449" i="13"/>
  <c r="D449" i="13"/>
  <c r="C449" i="13"/>
  <c r="B449" i="13"/>
  <c r="I448" i="13"/>
  <c r="H448" i="13"/>
  <c r="G448" i="13"/>
  <c r="E448" i="13"/>
  <c r="D448" i="13"/>
  <c r="C448" i="13"/>
  <c r="B448" i="13"/>
  <c r="I447" i="13"/>
  <c r="H447" i="13"/>
  <c r="G447" i="13"/>
  <c r="E447" i="13"/>
  <c r="D447" i="13"/>
  <c r="C447" i="13"/>
  <c r="B447" i="13"/>
  <c r="I446" i="13"/>
  <c r="H446" i="13"/>
  <c r="G446" i="13"/>
  <c r="E446" i="13"/>
  <c r="D446" i="13"/>
  <c r="C446" i="13"/>
  <c r="B446" i="13"/>
  <c r="I445" i="13"/>
  <c r="H445" i="13"/>
  <c r="G445" i="13"/>
  <c r="E445" i="13"/>
  <c r="D445" i="13"/>
  <c r="C445" i="13"/>
  <c r="B445" i="13"/>
  <c r="I444" i="13"/>
  <c r="H444" i="13"/>
  <c r="G444" i="13"/>
  <c r="E444" i="13"/>
  <c r="D444" i="13"/>
  <c r="C444" i="13"/>
  <c r="B444" i="13"/>
  <c r="I443" i="13"/>
  <c r="H443" i="13"/>
  <c r="G443" i="13"/>
  <c r="E443" i="13"/>
  <c r="D443" i="13"/>
  <c r="C443" i="13"/>
  <c r="B443" i="13"/>
  <c r="I442" i="13"/>
  <c r="H442" i="13"/>
  <c r="G442" i="13"/>
  <c r="E442" i="13"/>
  <c r="D442" i="13"/>
  <c r="C442" i="13"/>
  <c r="B442" i="13"/>
  <c r="I441" i="13"/>
  <c r="H441" i="13"/>
  <c r="G441" i="13"/>
  <c r="E441" i="13"/>
  <c r="D441" i="13"/>
  <c r="C441" i="13"/>
  <c r="B441" i="13"/>
  <c r="I440" i="13"/>
  <c r="H440" i="13"/>
  <c r="G440" i="13"/>
  <c r="E440" i="13"/>
  <c r="D440" i="13"/>
  <c r="C440" i="13"/>
  <c r="B440" i="13"/>
  <c r="I439" i="13"/>
  <c r="H439" i="13"/>
  <c r="G439" i="13"/>
  <c r="E439" i="13"/>
  <c r="D439" i="13"/>
  <c r="C439" i="13"/>
  <c r="B439" i="13"/>
  <c r="I438" i="13"/>
  <c r="H438" i="13"/>
  <c r="G438" i="13"/>
  <c r="E438" i="13"/>
  <c r="D438" i="13"/>
  <c r="C438" i="13"/>
  <c r="B438" i="13"/>
  <c r="I437" i="13"/>
  <c r="H437" i="13"/>
  <c r="G437" i="13"/>
  <c r="E437" i="13"/>
  <c r="D437" i="13"/>
  <c r="C437" i="13"/>
  <c r="B437" i="13"/>
  <c r="I436" i="13"/>
  <c r="H436" i="13"/>
  <c r="G436" i="13"/>
  <c r="E436" i="13"/>
  <c r="D436" i="13"/>
  <c r="C436" i="13"/>
  <c r="B436" i="13"/>
  <c r="I435" i="13"/>
  <c r="H435" i="13"/>
  <c r="G435" i="13"/>
  <c r="E435" i="13"/>
  <c r="D435" i="13"/>
  <c r="C435" i="13"/>
  <c r="B435" i="13"/>
  <c r="I434" i="13"/>
  <c r="H434" i="13"/>
  <c r="G434" i="13"/>
  <c r="E434" i="13"/>
  <c r="D434" i="13"/>
  <c r="C434" i="13"/>
  <c r="B434" i="13"/>
  <c r="I433" i="13"/>
  <c r="H433" i="13"/>
  <c r="G433" i="13"/>
  <c r="E433" i="13"/>
  <c r="D433" i="13"/>
  <c r="C433" i="13"/>
  <c r="B433" i="13"/>
  <c r="I432" i="13"/>
  <c r="H432" i="13"/>
  <c r="G432" i="13"/>
  <c r="E432" i="13"/>
  <c r="D432" i="13"/>
  <c r="C432" i="13"/>
  <c r="B432" i="13"/>
  <c r="I431" i="13"/>
  <c r="H431" i="13"/>
  <c r="G431" i="13"/>
  <c r="E431" i="13"/>
  <c r="D431" i="13"/>
  <c r="C431" i="13"/>
  <c r="B431" i="13"/>
  <c r="I430" i="13"/>
  <c r="H430" i="13"/>
  <c r="G430" i="13"/>
  <c r="E430" i="13"/>
  <c r="D430" i="13"/>
  <c r="C430" i="13"/>
  <c r="B430" i="13"/>
  <c r="I429" i="13"/>
  <c r="H429" i="13"/>
  <c r="G429" i="13"/>
  <c r="E429" i="13"/>
  <c r="D429" i="13"/>
  <c r="C429" i="13"/>
  <c r="B429" i="13"/>
  <c r="I428" i="13"/>
  <c r="H428" i="13"/>
  <c r="G428" i="13"/>
  <c r="E428" i="13"/>
  <c r="D428" i="13"/>
  <c r="C428" i="13"/>
  <c r="B428" i="13"/>
  <c r="I427" i="13"/>
  <c r="H427" i="13"/>
  <c r="G427" i="13"/>
  <c r="E427" i="13"/>
  <c r="D427" i="13"/>
  <c r="C427" i="13"/>
  <c r="B427" i="13"/>
  <c r="I426" i="13"/>
  <c r="H426" i="13"/>
  <c r="G426" i="13"/>
  <c r="E426" i="13"/>
  <c r="D426" i="13"/>
  <c r="C426" i="13"/>
  <c r="B426" i="13"/>
  <c r="I425" i="13"/>
  <c r="H425" i="13"/>
  <c r="G425" i="13"/>
  <c r="E425" i="13"/>
  <c r="D425" i="13"/>
  <c r="C425" i="13"/>
  <c r="B425" i="13"/>
  <c r="I424" i="13"/>
  <c r="H424" i="13"/>
  <c r="G424" i="13"/>
  <c r="E424" i="13"/>
  <c r="D424" i="13"/>
  <c r="C424" i="13"/>
  <c r="B424" i="13"/>
  <c r="I423" i="13"/>
  <c r="H423" i="13"/>
  <c r="G423" i="13"/>
  <c r="E423" i="13"/>
  <c r="D423" i="13"/>
  <c r="C423" i="13"/>
  <c r="B423" i="13"/>
  <c r="I422" i="13"/>
  <c r="H422" i="13"/>
  <c r="G422" i="13"/>
  <c r="E422" i="13"/>
  <c r="D422" i="13"/>
  <c r="C422" i="13"/>
  <c r="B422" i="13"/>
  <c r="I421" i="13"/>
  <c r="H421" i="13"/>
  <c r="G421" i="13"/>
  <c r="E421" i="13"/>
  <c r="D421" i="13"/>
  <c r="C421" i="13"/>
  <c r="B421" i="13"/>
  <c r="I420" i="13"/>
  <c r="H420" i="13"/>
  <c r="G420" i="13"/>
  <c r="E420" i="13"/>
  <c r="D420" i="13"/>
  <c r="C420" i="13"/>
  <c r="B420" i="13"/>
  <c r="I419" i="13"/>
  <c r="H419" i="13"/>
  <c r="G419" i="13"/>
  <c r="E419" i="13"/>
  <c r="D419" i="13"/>
  <c r="C419" i="13"/>
  <c r="B419" i="13"/>
  <c r="I418" i="13"/>
  <c r="H418" i="13"/>
  <c r="G418" i="13"/>
  <c r="E418" i="13"/>
  <c r="D418" i="13"/>
  <c r="C418" i="13"/>
  <c r="B418" i="13"/>
  <c r="I417" i="13"/>
  <c r="H417" i="13"/>
  <c r="G417" i="13"/>
  <c r="E417" i="13"/>
  <c r="D417" i="13"/>
  <c r="C417" i="13"/>
  <c r="B417" i="13"/>
  <c r="I416" i="13"/>
  <c r="H416" i="13"/>
  <c r="G416" i="13"/>
  <c r="E416" i="13"/>
  <c r="D416" i="13"/>
  <c r="C416" i="13"/>
  <c r="B416" i="13"/>
  <c r="I415" i="13"/>
  <c r="H415" i="13"/>
  <c r="G415" i="13"/>
  <c r="E415" i="13"/>
  <c r="D415" i="13"/>
  <c r="C415" i="13"/>
  <c r="B415" i="13"/>
  <c r="I414" i="13"/>
  <c r="H414" i="13"/>
  <c r="G414" i="13"/>
  <c r="E414" i="13"/>
  <c r="D414" i="13"/>
  <c r="C414" i="13"/>
  <c r="B414" i="13"/>
  <c r="I413" i="13"/>
  <c r="H413" i="13"/>
  <c r="G413" i="13"/>
  <c r="E413" i="13"/>
  <c r="D413" i="13"/>
  <c r="C413" i="13"/>
  <c r="B413" i="13"/>
  <c r="I412" i="13"/>
  <c r="H412" i="13"/>
  <c r="G412" i="13"/>
  <c r="E412" i="13"/>
  <c r="D412" i="13"/>
  <c r="C412" i="13"/>
  <c r="B412" i="13"/>
  <c r="I411" i="13"/>
  <c r="H411" i="13"/>
  <c r="G411" i="13"/>
  <c r="E411" i="13"/>
  <c r="D411" i="13"/>
  <c r="C411" i="13"/>
  <c r="B411" i="13"/>
  <c r="I410" i="13"/>
  <c r="H410" i="13"/>
  <c r="G410" i="13"/>
  <c r="E410" i="13"/>
  <c r="D410" i="13"/>
  <c r="C410" i="13"/>
  <c r="B410" i="13"/>
  <c r="I409" i="13"/>
  <c r="H409" i="13"/>
  <c r="G409" i="13"/>
  <c r="E409" i="13"/>
  <c r="D409" i="13"/>
  <c r="C409" i="13"/>
  <c r="B409" i="13"/>
  <c r="I408" i="13"/>
  <c r="H408" i="13"/>
  <c r="G408" i="13"/>
  <c r="E408" i="13"/>
  <c r="D408" i="13"/>
  <c r="C408" i="13"/>
  <c r="B408" i="13"/>
  <c r="I407" i="13"/>
  <c r="H407" i="13"/>
  <c r="G407" i="13"/>
  <c r="E407" i="13"/>
  <c r="D407" i="13"/>
  <c r="C407" i="13"/>
  <c r="B407" i="13"/>
  <c r="I406" i="13"/>
  <c r="H406" i="13"/>
  <c r="G406" i="13"/>
  <c r="E406" i="13"/>
  <c r="D406" i="13"/>
  <c r="C406" i="13"/>
  <c r="B406" i="13"/>
  <c r="I405" i="13"/>
  <c r="H405" i="13"/>
  <c r="G405" i="13"/>
  <c r="E405" i="13"/>
  <c r="D405" i="13"/>
  <c r="C405" i="13"/>
  <c r="B405" i="13"/>
  <c r="I404" i="13"/>
  <c r="H404" i="13"/>
  <c r="G404" i="13"/>
  <c r="E404" i="13"/>
  <c r="D404" i="13"/>
  <c r="C404" i="13"/>
  <c r="B404" i="13"/>
  <c r="I403" i="13"/>
  <c r="H403" i="13"/>
  <c r="G403" i="13"/>
  <c r="E403" i="13"/>
  <c r="D403" i="13"/>
  <c r="C403" i="13"/>
  <c r="B403" i="13"/>
  <c r="I402" i="13"/>
  <c r="H402" i="13"/>
  <c r="G402" i="13"/>
  <c r="E402" i="13"/>
  <c r="D402" i="13"/>
  <c r="C402" i="13"/>
  <c r="B402" i="13"/>
  <c r="I401" i="13"/>
  <c r="H401" i="13"/>
  <c r="G401" i="13"/>
  <c r="E401" i="13"/>
  <c r="D401" i="13"/>
  <c r="C401" i="13"/>
  <c r="B401" i="13"/>
  <c r="I400" i="13"/>
  <c r="H400" i="13"/>
  <c r="G400" i="13"/>
  <c r="E400" i="13"/>
  <c r="D400" i="13"/>
  <c r="C400" i="13"/>
  <c r="B400" i="13"/>
  <c r="I399" i="13"/>
  <c r="H399" i="13"/>
  <c r="G399" i="13"/>
  <c r="E399" i="13"/>
  <c r="D399" i="13"/>
  <c r="C399" i="13"/>
  <c r="B399" i="13"/>
  <c r="I398" i="13"/>
  <c r="H398" i="13"/>
  <c r="G398" i="13"/>
  <c r="E398" i="13"/>
  <c r="D398" i="13"/>
  <c r="C398" i="13"/>
  <c r="B398" i="13"/>
  <c r="I397" i="13"/>
  <c r="H397" i="13"/>
  <c r="G397" i="13"/>
  <c r="E397" i="13"/>
  <c r="D397" i="13"/>
  <c r="C397" i="13"/>
  <c r="B397" i="13"/>
  <c r="I396" i="13"/>
  <c r="H396" i="13"/>
  <c r="G396" i="13"/>
  <c r="E396" i="13"/>
  <c r="D396" i="13"/>
  <c r="C396" i="13"/>
  <c r="B396" i="13"/>
  <c r="I395" i="13"/>
  <c r="H395" i="13"/>
  <c r="G395" i="13"/>
  <c r="E395" i="13"/>
  <c r="D395" i="13"/>
  <c r="C395" i="13"/>
  <c r="B395" i="13"/>
  <c r="I394" i="13"/>
  <c r="H394" i="13"/>
  <c r="G394" i="13"/>
  <c r="E394" i="13"/>
  <c r="D394" i="13"/>
  <c r="C394" i="13"/>
  <c r="B394" i="13"/>
  <c r="I393" i="13"/>
  <c r="H393" i="13"/>
  <c r="G393" i="13"/>
  <c r="E393" i="13"/>
  <c r="D393" i="13"/>
  <c r="C393" i="13"/>
  <c r="B393" i="13"/>
  <c r="I392" i="13"/>
  <c r="H392" i="13"/>
  <c r="G392" i="13"/>
  <c r="E392" i="13"/>
  <c r="D392" i="13"/>
  <c r="C392" i="13"/>
  <c r="B392" i="13"/>
  <c r="I391" i="13"/>
  <c r="H391" i="13"/>
  <c r="G391" i="13"/>
  <c r="E391" i="13"/>
  <c r="D391" i="13"/>
  <c r="C391" i="13"/>
  <c r="B391" i="13"/>
  <c r="I390" i="13"/>
  <c r="H390" i="13"/>
  <c r="G390" i="13"/>
  <c r="E390" i="13"/>
  <c r="D390" i="13"/>
  <c r="C390" i="13"/>
  <c r="B390" i="13"/>
  <c r="I389" i="13"/>
  <c r="H389" i="13"/>
  <c r="G389" i="13"/>
  <c r="E389" i="13"/>
  <c r="D389" i="13"/>
  <c r="C389" i="13"/>
  <c r="B389" i="13"/>
  <c r="I388" i="13"/>
  <c r="H388" i="13"/>
  <c r="G388" i="13"/>
  <c r="E388" i="13"/>
  <c r="D388" i="13"/>
  <c r="C388" i="13"/>
  <c r="B388" i="13"/>
  <c r="I387" i="13"/>
  <c r="H387" i="13"/>
  <c r="G387" i="13"/>
  <c r="E387" i="13"/>
  <c r="D387" i="13"/>
  <c r="C387" i="13"/>
  <c r="B387" i="13"/>
  <c r="I386" i="13"/>
  <c r="H386" i="13"/>
  <c r="G386" i="13"/>
  <c r="E386" i="13"/>
  <c r="D386" i="13"/>
  <c r="C386" i="13"/>
  <c r="B386" i="13"/>
  <c r="I385" i="13"/>
  <c r="H385" i="13"/>
  <c r="G385" i="13"/>
  <c r="E385" i="13"/>
  <c r="D385" i="13"/>
  <c r="C385" i="13"/>
  <c r="B385" i="13"/>
  <c r="I384" i="13"/>
  <c r="H384" i="13"/>
  <c r="G384" i="13"/>
  <c r="E384" i="13"/>
  <c r="D384" i="13"/>
  <c r="C384" i="13"/>
  <c r="B384" i="13"/>
  <c r="I383" i="13"/>
  <c r="H383" i="13"/>
  <c r="G383" i="13"/>
  <c r="E383" i="13"/>
  <c r="D383" i="13"/>
  <c r="C383" i="13"/>
  <c r="B383" i="13"/>
  <c r="I382" i="13"/>
  <c r="H382" i="13"/>
  <c r="G382" i="13"/>
  <c r="E382" i="13"/>
  <c r="D382" i="13"/>
  <c r="C382" i="13"/>
  <c r="B382" i="13"/>
  <c r="I381" i="13"/>
  <c r="H381" i="13"/>
  <c r="G381" i="13"/>
  <c r="E381" i="13"/>
  <c r="D381" i="13"/>
  <c r="C381" i="13"/>
  <c r="B381" i="13"/>
  <c r="I380" i="13"/>
  <c r="H380" i="13"/>
  <c r="G380" i="13"/>
  <c r="E380" i="13"/>
  <c r="D380" i="13"/>
  <c r="C380" i="13"/>
  <c r="B380" i="13"/>
  <c r="I379" i="13"/>
  <c r="H379" i="13"/>
  <c r="G379" i="13"/>
  <c r="E379" i="13"/>
  <c r="D379" i="13"/>
  <c r="C379" i="13"/>
  <c r="B379" i="13"/>
  <c r="I378" i="13"/>
  <c r="H378" i="13"/>
  <c r="G378" i="13"/>
  <c r="E378" i="13"/>
  <c r="D378" i="13"/>
  <c r="C378" i="13"/>
  <c r="B378" i="13"/>
  <c r="I377" i="13"/>
  <c r="H377" i="13"/>
  <c r="G377" i="13"/>
  <c r="E377" i="13"/>
  <c r="D377" i="13"/>
  <c r="C377" i="13"/>
  <c r="B377" i="13"/>
  <c r="I376" i="13"/>
  <c r="H376" i="13"/>
  <c r="G376" i="13"/>
  <c r="E376" i="13"/>
  <c r="D376" i="13"/>
  <c r="C376" i="13"/>
  <c r="B376" i="13"/>
  <c r="I375" i="13"/>
  <c r="H375" i="13"/>
  <c r="G375" i="13"/>
  <c r="E375" i="13"/>
  <c r="D375" i="13"/>
  <c r="C375" i="13"/>
  <c r="B375" i="13"/>
  <c r="I374" i="13"/>
  <c r="H374" i="13"/>
  <c r="G374" i="13"/>
  <c r="E374" i="13"/>
  <c r="D374" i="13"/>
  <c r="C374" i="13"/>
  <c r="B374" i="13"/>
  <c r="I373" i="13"/>
  <c r="H373" i="13"/>
  <c r="G373" i="13"/>
  <c r="E373" i="13"/>
  <c r="D373" i="13"/>
  <c r="C373" i="13"/>
  <c r="B373" i="13"/>
  <c r="I372" i="13"/>
  <c r="H372" i="13"/>
  <c r="G372" i="13"/>
  <c r="E372" i="13"/>
  <c r="D372" i="13"/>
  <c r="C372" i="13"/>
  <c r="B372" i="13"/>
  <c r="I371" i="13"/>
  <c r="H371" i="13"/>
  <c r="G371" i="13"/>
  <c r="E371" i="13"/>
  <c r="D371" i="13"/>
  <c r="C371" i="13"/>
  <c r="B371" i="13"/>
  <c r="I370" i="13"/>
  <c r="H370" i="13"/>
  <c r="G370" i="13"/>
  <c r="E370" i="13"/>
  <c r="D370" i="13"/>
  <c r="C370" i="13"/>
  <c r="B370" i="13"/>
  <c r="I369" i="13"/>
  <c r="H369" i="13"/>
  <c r="G369" i="13"/>
  <c r="E369" i="13"/>
  <c r="D369" i="13"/>
  <c r="C369" i="13"/>
  <c r="B369" i="13"/>
  <c r="I368" i="13"/>
  <c r="H368" i="13"/>
  <c r="G368" i="13"/>
  <c r="E368" i="13"/>
  <c r="D368" i="13"/>
  <c r="C368" i="13"/>
  <c r="B368" i="13"/>
  <c r="I367" i="13"/>
  <c r="H367" i="13"/>
  <c r="G367" i="13"/>
  <c r="E367" i="13"/>
  <c r="D367" i="13"/>
  <c r="C367" i="13"/>
  <c r="B367" i="13"/>
  <c r="I366" i="13"/>
  <c r="H366" i="13"/>
  <c r="G366" i="13"/>
  <c r="E366" i="13"/>
  <c r="D366" i="13"/>
  <c r="C366" i="13"/>
  <c r="B366" i="13"/>
  <c r="I365" i="13"/>
  <c r="H365" i="13"/>
  <c r="G365" i="13"/>
  <c r="E365" i="13"/>
  <c r="D365" i="13"/>
  <c r="C365" i="13"/>
  <c r="B365" i="13"/>
  <c r="I364" i="13"/>
  <c r="H364" i="13"/>
  <c r="G364" i="13"/>
  <c r="E364" i="13"/>
  <c r="D364" i="13"/>
  <c r="C364" i="13"/>
  <c r="B364" i="13"/>
  <c r="I363" i="13"/>
  <c r="H363" i="13"/>
  <c r="G363" i="13"/>
  <c r="E363" i="13"/>
  <c r="D363" i="13"/>
  <c r="C363" i="13"/>
  <c r="B363" i="13"/>
  <c r="I362" i="13"/>
  <c r="H362" i="13"/>
  <c r="G362" i="13"/>
  <c r="E362" i="13"/>
  <c r="D362" i="13"/>
  <c r="C362" i="13"/>
  <c r="B362" i="13"/>
  <c r="I361" i="13"/>
  <c r="H361" i="13"/>
  <c r="G361" i="13"/>
  <c r="E361" i="13"/>
  <c r="D361" i="13"/>
  <c r="C361" i="13"/>
  <c r="B361" i="13"/>
  <c r="I360" i="13"/>
  <c r="H360" i="13"/>
  <c r="G360" i="13"/>
  <c r="E360" i="13"/>
  <c r="D360" i="13"/>
  <c r="C360" i="13"/>
  <c r="B360" i="13"/>
  <c r="I359" i="13"/>
  <c r="H359" i="13"/>
  <c r="G359" i="13"/>
  <c r="E359" i="13"/>
  <c r="D359" i="13"/>
  <c r="C359" i="13"/>
  <c r="B359" i="13"/>
  <c r="I358" i="13"/>
  <c r="H358" i="13"/>
  <c r="G358" i="13"/>
  <c r="E358" i="13"/>
  <c r="D358" i="13"/>
  <c r="C358" i="13"/>
  <c r="B358" i="13"/>
  <c r="I357" i="13"/>
  <c r="H357" i="13"/>
  <c r="G357" i="13"/>
  <c r="E357" i="13"/>
  <c r="D357" i="13"/>
  <c r="C357" i="13"/>
  <c r="B357" i="13"/>
  <c r="I356" i="13"/>
  <c r="H356" i="13"/>
  <c r="G356" i="13"/>
  <c r="E356" i="13"/>
  <c r="D356" i="13"/>
  <c r="C356" i="13"/>
  <c r="B356" i="13"/>
  <c r="I355" i="13"/>
  <c r="H355" i="13"/>
  <c r="G355" i="13"/>
  <c r="E355" i="13"/>
  <c r="D355" i="13"/>
  <c r="C355" i="13"/>
  <c r="B355" i="13"/>
  <c r="I354" i="13"/>
  <c r="H354" i="13"/>
  <c r="G354" i="13"/>
  <c r="E354" i="13"/>
  <c r="D354" i="13"/>
  <c r="C354" i="13"/>
  <c r="B354" i="13"/>
  <c r="I353" i="13"/>
  <c r="H353" i="13"/>
  <c r="G353" i="13"/>
  <c r="E353" i="13"/>
  <c r="D353" i="13"/>
  <c r="C353" i="13"/>
  <c r="B353" i="13"/>
  <c r="I352" i="13"/>
  <c r="H352" i="13"/>
  <c r="G352" i="13"/>
  <c r="E352" i="13"/>
  <c r="D352" i="13"/>
  <c r="C352" i="13"/>
  <c r="B352" i="13"/>
  <c r="I351" i="13"/>
  <c r="H351" i="13"/>
  <c r="G351" i="13"/>
  <c r="E351" i="13"/>
  <c r="D351" i="13"/>
  <c r="C351" i="13"/>
  <c r="B351" i="13"/>
  <c r="I350" i="13"/>
  <c r="H350" i="13"/>
  <c r="G350" i="13"/>
  <c r="E350" i="13"/>
  <c r="D350" i="13"/>
  <c r="C350" i="13"/>
  <c r="B350" i="13"/>
  <c r="I349" i="13"/>
  <c r="H349" i="13"/>
  <c r="G349" i="13"/>
  <c r="E349" i="13"/>
  <c r="D349" i="13"/>
  <c r="C349" i="13"/>
  <c r="B349" i="13"/>
  <c r="I348" i="13"/>
  <c r="H348" i="13"/>
  <c r="G348" i="13"/>
  <c r="E348" i="13"/>
  <c r="D348" i="13"/>
  <c r="C348" i="13"/>
  <c r="B348" i="13"/>
  <c r="I347" i="13"/>
  <c r="H347" i="13"/>
  <c r="G347" i="13"/>
  <c r="E347" i="13"/>
  <c r="D347" i="13"/>
  <c r="C347" i="13"/>
  <c r="B347" i="13"/>
  <c r="I346" i="13"/>
  <c r="H346" i="13"/>
  <c r="G346" i="13"/>
  <c r="E346" i="13"/>
  <c r="D346" i="13"/>
  <c r="C346" i="13"/>
  <c r="B346" i="13"/>
  <c r="I345" i="13"/>
  <c r="H345" i="13"/>
  <c r="G345" i="13"/>
  <c r="E345" i="13"/>
  <c r="D345" i="13"/>
  <c r="C345" i="13"/>
  <c r="B345" i="13"/>
  <c r="I344" i="13"/>
  <c r="H344" i="13"/>
  <c r="G344" i="13"/>
  <c r="E344" i="13"/>
  <c r="D344" i="13"/>
  <c r="C344" i="13"/>
  <c r="B344" i="13"/>
  <c r="I343" i="13"/>
  <c r="H343" i="13"/>
  <c r="G343" i="13"/>
  <c r="E343" i="13"/>
  <c r="D343" i="13"/>
  <c r="C343" i="13"/>
  <c r="B343" i="13"/>
  <c r="I342" i="13"/>
  <c r="H342" i="13"/>
  <c r="G342" i="13"/>
  <c r="E342" i="13"/>
  <c r="D342" i="13"/>
  <c r="C342" i="13"/>
  <c r="B342" i="13"/>
  <c r="I341" i="13"/>
  <c r="H341" i="13"/>
  <c r="G341" i="13"/>
  <c r="E341" i="13"/>
  <c r="D341" i="13"/>
  <c r="C341" i="13"/>
  <c r="B341" i="13"/>
  <c r="I340" i="13"/>
  <c r="H340" i="13"/>
  <c r="G340" i="13"/>
  <c r="E340" i="13"/>
  <c r="D340" i="13"/>
  <c r="C340" i="13"/>
  <c r="B340" i="13"/>
  <c r="I339" i="13"/>
  <c r="H339" i="13"/>
  <c r="G339" i="13"/>
  <c r="E339" i="13"/>
  <c r="D339" i="13"/>
  <c r="C339" i="13"/>
  <c r="B339" i="13"/>
  <c r="I338" i="13"/>
  <c r="H338" i="13"/>
  <c r="G338" i="13"/>
  <c r="E338" i="13"/>
  <c r="D338" i="13"/>
  <c r="C338" i="13"/>
  <c r="B338" i="13"/>
  <c r="I337" i="13"/>
  <c r="H337" i="13"/>
  <c r="G337" i="13"/>
  <c r="E337" i="13"/>
  <c r="D337" i="13"/>
  <c r="C337" i="13"/>
  <c r="B337" i="13"/>
  <c r="I336" i="13"/>
  <c r="H336" i="13"/>
  <c r="G336" i="13"/>
  <c r="E336" i="13"/>
  <c r="D336" i="13"/>
  <c r="C336" i="13"/>
  <c r="B336" i="13"/>
  <c r="I335" i="13"/>
  <c r="H335" i="13"/>
  <c r="G335" i="13"/>
  <c r="E335" i="13"/>
  <c r="D335" i="13"/>
  <c r="C335" i="13"/>
  <c r="B335" i="13"/>
  <c r="I334" i="13"/>
  <c r="H334" i="13"/>
  <c r="G334" i="13"/>
  <c r="E334" i="13"/>
  <c r="D334" i="13"/>
  <c r="C334" i="13"/>
  <c r="B334" i="13"/>
  <c r="I333" i="13"/>
  <c r="H333" i="13"/>
  <c r="G333" i="13"/>
  <c r="E333" i="13"/>
  <c r="D333" i="13"/>
  <c r="C333" i="13"/>
  <c r="B333" i="13"/>
  <c r="I332" i="13"/>
  <c r="H332" i="13"/>
  <c r="G332" i="13"/>
  <c r="E332" i="13"/>
  <c r="D332" i="13"/>
  <c r="C332" i="13"/>
  <c r="B332" i="13"/>
  <c r="I331" i="13"/>
  <c r="H331" i="13"/>
  <c r="G331" i="13"/>
  <c r="E331" i="13"/>
  <c r="D331" i="13"/>
  <c r="C331" i="13"/>
  <c r="B331" i="13"/>
  <c r="I330" i="13"/>
  <c r="H330" i="13"/>
  <c r="G330" i="13"/>
  <c r="E330" i="13"/>
  <c r="D330" i="13"/>
  <c r="C330" i="13"/>
  <c r="B330" i="13"/>
  <c r="I329" i="13"/>
  <c r="H329" i="13"/>
  <c r="G329" i="13"/>
  <c r="E329" i="13"/>
  <c r="D329" i="13"/>
  <c r="C329" i="13"/>
  <c r="B329" i="13"/>
  <c r="I328" i="13"/>
  <c r="H328" i="13"/>
  <c r="G328" i="13"/>
  <c r="E328" i="13"/>
  <c r="D328" i="13"/>
  <c r="C328" i="13"/>
  <c r="B328" i="13"/>
  <c r="I327" i="13"/>
  <c r="H327" i="13"/>
  <c r="G327" i="13"/>
  <c r="E327" i="13"/>
  <c r="D327" i="13"/>
  <c r="C327" i="13"/>
  <c r="B327" i="13"/>
  <c r="I326" i="13"/>
  <c r="H326" i="13"/>
  <c r="G326" i="13"/>
  <c r="E326" i="13"/>
  <c r="D326" i="13"/>
  <c r="C326" i="13"/>
  <c r="B326" i="13"/>
  <c r="I325" i="13"/>
  <c r="H325" i="13"/>
  <c r="G325" i="13"/>
  <c r="E325" i="13"/>
  <c r="D325" i="13"/>
  <c r="C325" i="13"/>
  <c r="B325" i="13"/>
  <c r="I324" i="13"/>
  <c r="H324" i="13"/>
  <c r="G324" i="13"/>
  <c r="E324" i="13"/>
  <c r="D324" i="13"/>
  <c r="C324" i="13"/>
  <c r="B324" i="13"/>
  <c r="I323" i="13"/>
  <c r="H323" i="13"/>
  <c r="G323" i="13"/>
  <c r="E323" i="13"/>
  <c r="D323" i="13"/>
  <c r="C323" i="13"/>
  <c r="B323" i="13"/>
  <c r="I322" i="13"/>
  <c r="H322" i="13"/>
  <c r="G322" i="13"/>
  <c r="E322" i="13"/>
  <c r="D322" i="13"/>
  <c r="C322" i="13"/>
  <c r="B322" i="13"/>
  <c r="I321" i="13"/>
  <c r="H321" i="13"/>
  <c r="G321" i="13"/>
  <c r="E321" i="13"/>
  <c r="D321" i="13"/>
  <c r="C321" i="13"/>
  <c r="B321" i="13"/>
  <c r="I320" i="13"/>
  <c r="H320" i="13"/>
  <c r="G320" i="13"/>
  <c r="E320" i="13"/>
  <c r="D320" i="13"/>
  <c r="C320" i="13"/>
  <c r="B320" i="13"/>
  <c r="I319" i="13"/>
  <c r="H319" i="13"/>
  <c r="G319" i="13"/>
  <c r="E319" i="13"/>
  <c r="D319" i="13"/>
  <c r="C319" i="13"/>
  <c r="B319" i="13"/>
  <c r="I318" i="13"/>
  <c r="H318" i="13"/>
  <c r="G318" i="13"/>
  <c r="E318" i="13"/>
  <c r="D318" i="13"/>
  <c r="C318" i="13"/>
  <c r="B318" i="13"/>
  <c r="I317" i="13"/>
  <c r="H317" i="13"/>
  <c r="G317" i="13"/>
  <c r="E317" i="13"/>
  <c r="D317" i="13"/>
  <c r="C317" i="13"/>
  <c r="B317" i="13"/>
  <c r="I316" i="13"/>
  <c r="H316" i="13"/>
  <c r="G316" i="13"/>
  <c r="E316" i="13"/>
  <c r="D316" i="13"/>
  <c r="C316" i="13"/>
  <c r="B316" i="13"/>
  <c r="I315" i="13"/>
  <c r="H315" i="13"/>
  <c r="G315" i="13"/>
  <c r="E315" i="13"/>
  <c r="D315" i="13"/>
  <c r="C315" i="13"/>
  <c r="B315" i="13"/>
  <c r="I314" i="13"/>
  <c r="H314" i="13"/>
  <c r="G314" i="13"/>
  <c r="E314" i="13"/>
  <c r="D314" i="13"/>
  <c r="C314" i="13"/>
  <c r="B314" i="13"/>
  <c r="I313" i="13"/>
  <c r="H313" i="13"/>
  <c r="G313" i="13"/>
  <c r="E313" i="13"/>
  <c r="D313" i="13"/>
  <c r="C313" i="13"/>
  <c r="B313" i="13"/>
  <c r="I312" i="13"/>
  <c r="H312" i="13"/>
  <c r="G312" i="13"/>
  <c r="E312" i="13"/>
  <c r="D312" i="13"/>
  <c r="C312" i="13"/>
  <c r="B312" i="13"/>
  <c r="I311" i="13"/>
  <c r="H311" i="13"/>
  <c r="G311" i="13"/>
  <c r="E311" i="13"/>
  <c r="D311" i="13"/>
  <c r="C311" i="13"/>
  <c r="B311" i="13"/>
  <c r="I310" i="13"/>
  <c r="H310" i="13"/>
  <c r="G310" i="13"/>
  <c r="E310" i="13"/>
  <c r="D310" i="13"/>
  <c r="C310" i="13"/>
  <c r="B310" i="13"/>
  <c r="I309" i="13"/>
  <c r="H309" i="13"/>
  <c r="G309" i="13"/>
  <c r="E309" i="13"/>
  <c r="D309" i="13"/>
  <c r="C309" i="13"/>
  <c r="B309" i="13"/>
  <c r="I308" i="13"/>
  <c r="H308" i="13"/>
  <c r="G308" i="13"/>
  <c r="E308" i="13"/>
  <c r="D308" i="13"/>
  <c r="C308" i="13"/>
  <c r="B308" i="13"/>
  <c r="I307" i="13"/>
  <c r="H307" i="13"/>
  <c r="G307" i="13"/>
  <c r="E307" i="13"/>
  <c r="D307" i="13"/>
  <c r="C307" i="13"/>
  <c r="B307" i="13"/>
  <c r="I306" i="13"/>
  <c r="H306" i="13"/>
  <c r="G306" i="13"/>
  <c r="E306" i="13"/>
  <c r="D306" i="13"/>
  <c r="C306" i="13"/>
  <c r="B306" i="13"/>
  <c r="I305" i="13"/>
  <c r="H305" i="13"/>
  <c r="G305" i="13"/>
  <c r="E305" i="13"/>
  <c r="D305" i="13"/>
  <c r="C305" i="13"/>
  <c r="B305" i="13"/>
  <c r="I304" i="13"/>
  <c r="H304" i="13"/>
  <c r="G304" i="13"/>
  <c r="E304" i="13"/>
  <c r="D304" i="13"/>
  <c r="C304" i="13"/>
  <c r="B304" i="13"/>
  <c r="I303" i="13"/>
  <c r="H303" i="13"/>
  <c r="G303" i="13"/>
  <c r="E303" i="13"/>
  <c r="D303" i="13"/>
  <c r="C303" i="13"/>
  <c r="B303" i="13"/>
  <c r="I302" i="13"/>
  <c r="H302" i="13"/>
  <c r="G302" i="13"/>
  <c r="E302" i="13"/>
  <c r="D302" i="13"/>
  <c r="C302" i="13"/>
  <c r="B302" i="13"/>
  <c r="I301" i="13"/>
  <c r="H301" i="13"/>
  <c r="G301" i="13"/>
  <c r="E301" i="13"/>
  <c r="D301" i="13"/>
  <c r="C301" i="13"/>
  <c r="B301" i="13"/>
  <c r="I300" i="13"/>
  <c r="H300" i="13"/>
  <c r="G300" i="13"/>
  <c r="E300" i="13"/>
  <c r="D300" i="13"/>
  <c r="C300" i="13"/>
  <c r="B300" i="13"/>
  <c r="I299" i="13"/>
  <c r="H299" i="13"/>
  <c r="G299" i="13"/>
  <c r="E299" i="13"/>
  <c r="D299" i="13"/>
  <c r="C299" i="13"/>
  <c r="B299" i="13"/>
  <c r="I298" i="13"/>
  <c r="H298" i="13"/>
  <c r="G298" i="13"/>
  <c r="E298" i="13"/>
  <c r="D298" i="13"/>
  <c r="C298" i="13"/>
  <c r="B298" i="13"/>
  <c r="I297" i="13"/>
  <c r="H297" i="13"/>
  <c r="G297" i="13"/>
  <c r="E297" i="13"/>
  <c r="D297" i="13"/>
  <c r="C297" i="13"/>
  <c r="B297" i="13"/>
  <c r="I296" i="13"/>
  <c r="H296" i="13"/>
  <c r="G296" i="13"/>
  <c r="E296" i="13"/>
  <c r="D296" i="13"/>
  <c r="C296" i="13"/>
  <c r="B296" i="13"/>
  <c r="I295" i="13"/>
  <c r="H295" i="13"/>
  <c r="G295" i="13"/>
  <c r="E295" i="13"/>
  <c r="D295" i="13"/>
  <c r="C295" i="13"/>
  <c r="B295" i="13"/>
  <c r="I294" i="13"/>
  <c r="H294" i="13"/>
  <c r="G294" i="13"/>
  <c r="E294" i="13"/>
  <c r="D294" i="13"/>
  <c r="C294" i="13"/>
  <c r="B294" i="13"/>
  <c r="I293" i="13"/>
  <c r="H293" i="13"/>
  <c r="G293" i="13"/>
  <c r="E293" i="13"/>
  <c r="D293" i="13"/>
  <c r="C293" i="13"/>
  <c r="B293" i="13"/>
  <c r="I292" i="13"/>
  <c r="H292" i="13"/>
  <c r="G292" i="13"/>
  <c r="E292" i="13"/>
  <c r="D292" i="13"/>
  <c r="C292" i="13"/>
  <c r="B292" i="13"/>
  <c r="I291" i="13"/>
  <c r="H291" i="13"/>
  <c r="G291" i="13"/>
  <c r="E291" i="13"/>
  <c r="D291" i="13"/>
  <c r="C291" i="13"/>
  <c r="B291" i="13"/>
  <c r="I290" i="13"/>
  <c r="H290" i="13"/>
  <c r="G290" i="13"/>
  <c r="E290" i="13"/>
  <c r="D290" i="13"/>
  <c r="C290" i="13"/>
  <c r="B290" i="13"/>
  <c r="I289" i="13"/>
  <c r="H289" i="13"/>
  <c r="G289" i="13"/>
  <c r="E289" i="13"/>
  <c r="D289" i="13"/>
  <c r="C289" i="13"/>
  <c r="B289" i="13"/>
  <c r="I288" i="13"/>
  <c r="H288" i="13"/>
  <c r="G288" i="13"/>
  <c r="E288" i="13"/>
  <c r="D288" i="13"/>
  <c r="C288" i="13"/>
  <c r="B288" i="13"/>
  <c r="I287" i="13"/>
  <c r="H287" i="13"/>
  <c r="G287" i="13"/>
  <c r="E287" i="13"/>
  <c r="D287" i="13"/>
  <c r="C287" i="13"/>
  <c r="B287" i="13"/>
  <c r="I286" i="13"/>
  <c r="H286" i="13"/>
  <c r="G286" i="13"/>
  <c r="E286" i="13"/>
  <c r="D286" i="13"/>
  <c r="C286" i="13"/>
  <c r="B286" i="13"/>
  <c r="I285" i="13"/>
  <c r="H285" i="13"/>
  <c r="G285" i="13"/>
  <c r="E285" i="13"/>
  <c r="D285" i="13"/>
  <c r="C285" i="13"/>
  <c r="B285" i="13"/>
  <c r="I284" i="13"/>
  <c r="H284" i="13"/>
  <c r="G284" i="13"/>
  <c r="E284" i="13"/>
  <c r="D284" i="13"/>
  <c r="C284" i="13"/>
  <c r="B284" i="13"/>
  <c r="I283" i="13"/>
  <c r="H283" i="13"/>
  <c r="G283" i="13"/>
  <c r="E283" i="13"/>
  <c r="D283" i="13"/>
  <c r="C283" i="13"/>
  <c r="B283" i="13"/>
  <c r="I282" i="13"/>
  <c r="H282" i="13"/>
  <c r="G282" i="13"/>
  <c r="E282" i="13"/>
  <c r="D282" i="13"/>
  <c r="C282" i="13"/>
  <c r="B282" i="13"/>
  <c r="I281" i="13"/>
  <c r="H281" i="13"/>
  <c r="G281" i="13"/>
  <c r="E281" i="13"/>
  <c r="D281" i="13"/>
  <c r="C281" i="13"/>
  <c r="B281" i="13"/>
  <c r="I280" i="13"/>
  <c r="H280" i="13"/>
  <c r="G280" i="13"/>
  <c r="E280" i="13"/>
  <c r="D280" i="13"/>
  <c r="C280" i="13"/>
  <c r="B280" i="13"/>
  <c r="I279" i="13"/>
  <c r="H279" i="13"/>
  <c r="G279" i="13"/>
  <c r="E279" i="13"/>
  <c r="D279" i="13"/>
  <c r="C279" i="13"/>
  <c r="B279" i="13"/>
  <c r="I278" i="13"/>
  <c r="H278" i="13"/>
  <c r="G278" i="13"/>
  <c r="E278" i="13"/>
  <c r="D278" i="13"/>
  <c r="C278" i="13"/>
  <c r="B278" i="13"/>
  <c r="I277" i="13"/>
  <c r="H277" i="13"/>
  <c r="G277" i="13"/>
  <c r="E277" i="13"/>
  <c r="D277" i="13"/>
  <c r="C277" i="13"/>
  <c r="B277" i="13"/>
  <c r="I276" i="13"/>
  <c r="H276" i="13"/>
  <c r="G276" i="13"/>
  <c r="E276" i="13"/>
  <c r="D276" i="13"/>
  <c r="C276" i="13"/>
  <c r="B276" i="13"/>
  <c r="I275" i="13"/>
  <c r="H275" i="13"/>
  <c r="G275" i="13"/>
  <c r="E275" i="13"/>
  <c r="D275" i="13"/>
  <c r="C275" i="13"/>
  <c r="B275" i="13"/>
  <c r="I274" i="13"/>
  <c r="H274" i="13"/>
  <c r="G274" i="13"/>
  <c r="E274" i="13"/>
  <c r="D274" i="13"/>
  <c r="C274" i="13"/>
  <c r="B274" i="13"/>
  <c r="I273" i="13"/>
  <c r="H273" i="13"/>
  <c r="G273" i="13"/>
  <c r="E273" i="13"/>
  <c r="D273" i="13"/>
  <c r="C273" i="13"/>
  <c r="B273" i="13"/>
  <c r="I272" i="13"/>
  <c r="H272" i="13"/>
  <c r="G272" i="13"/>
  <c r="E272" i="13"/>
  <c r="D272" i="13"/>
  <c r="C272" i="13"/>
  <c r="B272" i="13"/>
  <c r="I271" i="13"/>
  <c r="H271" i="13"/>
  <c r="G271" i="13"/>
  <c r="E271" i="13"/>
  <c r="D271" i="13"/>
  <c r="C271" i="13"/>
  <c r="B271" i="13"/>
  <c r="I270" i="13"/>
  <c r="H270" i="13"/>
  <c r="G270" i="13"/>
  <c r="E270" i="13"/>
  <c r="D270" i="13"/>
  <c r="C270" i="13"/>
  <c r="B270" i="13"/>
  <c r="I269" i="13"/>
  <c r="H269" i="13"/>
  <c r="G269" i="13"/>
  <c r="E269" i="13"/>
  <c r="D269" i="13"/>
  <c r="C269" i="13"/>
  <c r="B269" i="13"/>
  <c r="I268" i="13"/>
  <c r="H268" i="13"/>
  <c r="G268" i="13"/>
  <c r="E268" i="13"/>
  <c r="D268" i="13"/>
  <c r="C268" i="13"/>
  <c r="B268" i="13"/>
  <c r="I267" i="13"/>
  <c r="H267" i="13"/>
  <c r="G267" i="13"/>
  <c r="E267" i="13"/>
  <c r="D267" i="13"/>
  <c r="C267" i="13"/>
  <c r="B267" i="13"/>
  <c r="I266" i="13"/>
  <c r="H266" i="13"/>
  <c r="G266" i="13"/>
  <c r="E266" i="13"/>
  <c r="D266" i="13"/>
  <c r="C266" i="13"/>
  <c r="B266" i="13"/>
  <c r="I265" i="13"/>
  <c r="H265" i="13"/>
  <c r="G265" i="13"/>
  <c r="E265" i="13"/>
  <c r="D265" i="13"/>
  <c r="C265" i="13"/>
  <c r="B265" i="13"/>
  <c r="I264" i="13"/>
  <c r="H264" i="13"/>
  <c r="G264" i="13"/>
  <c r="E264" i="13"/>
  <c r="D264" i="13"/>
  <c r="C264" i="13"/>
  <c r="B264" i="13"/>
  <c r="I263" i="13"/>
  <c r="H263" i="13"/>
  <c r="G263" i="13"/>
  <c r="E263" i="13"/>
  <c r="D263" i="13"/>
  <c r="C263" i="13"/>
  <c r="B263" i="13"/>
  <c r="I262" i="13"/>
  <c r="H262" i="13"/>
  <c r="G262" i="13"/>
  <c r="E262" i="13"/>
  <c r="D262" i="13"/>
  <c r="C262" i="13"/>
  <c r="B262" i="13"/>
  <c r="I261" i="13"/>
  <c r="H261" i="13"/>
  <c r="G261" i="13"/>
  <c r="E261" i="13"/>
  <c r="D261" i="13"/>
  <c r="C261" i="13"/>
  <c r="B261" i="13"/>
  <c r="I260" i="13"/>
  <c r="H260" i="13"/>
  <c r="G260" i="13"/>
  <c r="E260" i="13"/>
  <c r="D260" i="13"/>
  <c r="C260" i="13"/>
  <c r="B260" i="13"/>
  <c r="I259" i="13"/>
  <c r="H259" i="13"/>
  <c r="G259" i="13"/>
  <c r="E259" i="13"/>
  <c r="D259" i="13"/>
  <c r="C259" i="13"/>
  <c r="B259" i="13"/>
  <c r="I258" i="13"/>
  <c r="H258" i="13"/>
  <c r="G258" i="13"/>
  <c r="E258" i="13"/>
  <c r="D258" i="13"/>
  <c r="C258" i="13"/>
  <c r="B258" i="13"/>
  <c r="I257" i="13"/>
  <c r="H257" i="13"/>
  <c r="G257" i="13"/>
  <c r="E257" i="13"/>
  <c r="D257" i="13"/>
  <c r="C257" i="13"/>
  <c r="B257" i="13"/>
  <c r="I256" i="13"/>
  <c r="H256" i="13"/>
  <c r="G256" i="13"/>
  <c r="E256" i="13"/>
  <c r="D256" i="13"/>
  <c r="C256" i="13"/>
  <c r="B256" i="13"/>
  <c r="I255" i="13"/>
  <c r="H255" i="13"/>
  <c r="G255" i="13"/>
  <c r="E255" i="13"/>
  <c r="D255" i="13"/>
  <c r="C255" i="13"/>
  <c r="B255" i="13"/>
  <c r="I254" i="13"/>
  <c r="H254" i="13"/>
  <c r="G254" i="13"/>
  <c r="E254" i="13"/>
  <c r="D254" i="13"/>
  <c r="C254" i="13"/>
  <c r="B254" i="13"/>
  <c r="I253" i="13"/>
  <c r="H253" i="13"/>
  <c r="G253" i="13"/>
  <c r="E253" i="13"/>
  <c r="D253" i="13"/>
  <c r="C253" i="13"/>
  <c r="B253" i="13"/>
  <c r="I252" i="13"/>
  <c r="H252" i="13"/>
  <c r="G252" i="13"/>
  <c r="E252" i="13"/>
  <c r="D252" i="13"/>
  <c r="C252" i="13"/>
  <c r="B252" i="13"/>
  <c r="I251" i="13"/>
  <c r="H251" i="13"/>
  <c r="G251" i="13"/>
  <c r="E251" i="13"/>
  <c r="D251" i="13"/>
  <c r="C251" i="13"/>
  <c r="B251" i="13"/>
  <c r="I250" i="13"/>
  <c r="H250" i="13"/>
  <c r="G250" i="13"/>
  <c r="E250" i="13"/>
  <c r="D250" i="13"/>
  <c r="C250" i="13"/>
  <c r="B250" i="13"/>
  <c r="I249" i="13"/>
  <c r="H249" i="13"/>
  <c r="G249" i="13"/>
  <c r="E249" i="13"/>
  <c r="D249" i="13"/>
  <c r="C249" i="13"/>
  <c r="B249" i="13"/>
  <c r="I248" i="13"/>
  <c r="H248" i="13"/>
  <c r="G248" i="13"/>
  <c r="E248" i="13"/>
  <c r="D248" i="13"/>
  <c r="C248" i="13"/>
  <c r="B248" i="13"/>
  <c r="I247" i="13"/>
  <c r="H247" i="13"/>
  <c r="G247" i="13"/>
  <c r="E247" i="13"/>
  <c r="D247" i="13"/>
  <c r="C247" i="13"/>
  <c r="B247" i="13"/>
  <c r="I246" i="13"/>
  <c r="H246" i="13"/>
  <c r="G246" i="13"/>
  <c r="E246" i="13"/>
  <c r="D246" i="13"/>
  <c r="C246" i="13"/>
  <c r="B246" i="13"/>
  <c r="I245" i="13"/>
  <c r="H245" i="13"/>
  <c r="G245" i="13"/>
  <c r="E245" i="13"/>
  <c r="D245" i="13"/>
  <c r="C245" i="13"/>
  <c r="B245" i="13"/>
  <c r="I244" i="13"/>
  <c r="H244" i="13"/>
  <c r="G244" i="13"/>
  <c r="E244" i="13"/>
  <c r="D244" i="13"/>
  <c r="C244" i="13"/>
  <c r="B244" i="13"/>
  <c r="I243" i="13"/>
  <c r="H243" i="13"/>
  <c r="G243" i="13"/>
  <c r="E243" i="13"/>
  <c r="D243" i="13"/>
  <c r="C243" i="13"/>
  <c r="B243" i="13"/>
  <c r="I242" i="13"/>
  <c r="H242" i="13"/>
  <c r="G242" i="13"/>
  <c r="E242" i="13"/>
  <c r="D242" i="13"/>
  <c r="C242" i="13"/>
  <c r="B242" i="13"/>
  <c r="I241" i="13"/>
  <c r="H241" i="13"/>
  <c r="G241" i="13"/>
  <c r="E241" i="13"/>
  <c r="D241" i="13"/>
  <c r="C241" i="13"/>
  <c r="B241" i="13"/>
  <c r="I240" i="13"/>
  <c r="H240" i="13"/>
  <c r="G240" i="13"/>
  <c r="E240" i="13"/>
  <c r="D240" i="13"/>
  <c r="C240" i="13"/>
  <c r="B240" i="13"/>
  <c r="I239" i="13"/>
  <c r="H239" i="13"/>
  <c r="G239" i="13"/>
  <c r="E239" i="13"/>
  <c r="D239" i="13"/>
  <c r="C239" i="13"/>
  <c r="B239" i="13"/>
  <c r="I238" i="13"/>
  <c r="H238" i="13"/>
  <c r="G238" i="13"/>
  <c r="E238" i="13"/>
  <c r="D238" i="13"/>
  <c r="C238" i="13"/>
  <c r="B238" i="13"/>
  <c r="I237" i="13"/>
  <c r="H237" i="13"/>
  <c r="G237" i="13"/>
  <c r="E237" i="13"/>
  <c r="D237" i="13"/>
  <c r="C237" i="13"/>
  <c r="B237" i="13"/>
  <c r="I236" i="13"/>
  <c r="H236" i="13"/>
  <c r="G236" i="13"/>
  <c r="E236" i="13"/>
  <c r="D236" i="13"/>
  <c r="C236" i="13"/>
  <c r="B236" i="13"/>
  <c r="I235" i="13"/>
  <c r="H235" i="13"/>
  <c r="G235" i="13"/>
  <c r="E235" i="13"/>
  <c r="D235" i="13"/>
  <c r="C235" i="13"/>
  <c r="B235" i="13"/>
  <c r="I234" i="13"/>
  <c r="H234" i="13"/>
  <c r="G234" i="13"/>
  <c r="E234" i="13"/>
  <c r="D234" i="13"/>
  <c r="C234" i="13"/>
  <c r="B234" i="13"/>
  <c r="I233" i="13"/>
  <c r="H233" i="13"/>
  <c r="G233" i="13"/>
  <c r="E233" i="13"/>
  <c r="D233" i="13"/>
  <c r="C233" i="13"/>
  <c r="B233" i="13"/>
  <c r="I232" i="13"/>
  <c r="H232" i="13"/>
  <c r="G232" i="13"/>
  <c r="E232" i="13"/>
  <c r="D232" i="13"/>
  <c r="C232" i="13"/>
  <c r="B232" i="13"/>
  <c r="I231" i="13"/>
  <c r="H231" i="13"/>
  <c r="G231" i="13"/>
  <c r="E231" i="13"/>
  <c r="D231" i="13"/>
  <c r="C231" i="13"/>
  <c r="B231" i="13"/>
  <c r="I230" i="13"/>
  <c r="H230" i="13"/>
  <c r="G230" i="13"/>
  <c r="E230" i="13"/>
  <c r="D230" i="13"/>
  <c r="C230" i="13"/>
  <c r="B230" i="13"/>
  <c r="I229" i="13"/>
  <c r="H229" i="13"/>
  <c r="G229" i="13"/>
  <c r="E229" i="13"/>
  <c r="D229" i="13"/>
  <c r="C229" i="13"/>
  <c r="B229" i="13"/>
  <c r="I228" i="13"/>
  <c r="H228" i="13"/>
  <c r="G228" i="13"/>
  <c r="E228" i="13"/>
  <c r="D228" i="13"/>
  <c r="C228" i="13"/>
  <c r="B228" i="13"/>
  <c r="I227" i="13"/>
  <c r="H227" i="13"/>
  <c r="G227" i="13"/>
  <c r="E227" i="13"/>
  <c r="D227" i="13"/>
  <c r="C227" i="13"/>
  <c r="B227" i="13"/>
  <c r="I226" i="13"/>
  <c r="H226" i="13"/>
  <c r="G226" i="13"/>
  <c r="E226" i="13"/>
  <c r="D226" i="13"/>
  <c r="C226" i="13"/>
  <c r="B226" i="13"/>
  <c r="I225" i="13"/>
  <c r="H225" i="13"/>
  <c r="G225" i="13"/>
  <c r="E225" i="13"/>
  <c r="D225" i="13"/>
  <c r="C225" i="13"/>
  <c r="B225" i="13"/>
  <c r="I224" i="13"/>
  <c r="H224" i="13"/>
  <c r="G224" i="13"/>
  <c r="E224" i="13"/>
  <c r="D224" i="13"/>
  <c r="C224" i="13"/>
  <c r="B224" i="13"/>
  <c r="I223" i="13"/>
  <c r="H223" i="13"/>
  <c r="G223" i="13"/>
  <c r="E223" i="13"/>
  <c r="D223" i="13"/>
  <c r="C223" i="13"/>
  <c r="B223" i="13"/>
  <c r="I222" i="13"/>
  <c r="H222" i="13"/>
  <c r="G222" i="13"/>
  <c r="E222" i="13"/>
  <c r="D222" i="13"/>
  <c r="C222" i="13"/>
  <c r="B222" i="13"/>
  <c r="I221" i="13"/>
  <c r="H221" i="13"/>
  <c r="G221" i="13"/>
  <c r="E221" i="13"/>
  <c r="D221" i="13"/>
  <c r="C221" i="13"/>
  <c r="B221" i="13"/>
  <c r="I220" i="13"/>
  <c r="H220" i="13"/>
  <c r="G220" i="13"/>
  <c r="E220" i="13"/>
  <c r="D220" i="13"/>
  <c r="C220" i="13"/>
  <c r="B220" i="13"/>
  <c r="I219" i="13"/>
  <c r="H219" i="13"/>
  <c r="G219" i="13"/>
  <c r="E219" i="13"/>
  <c r="D219" i="13"/>
  <c r="C219" i="13"/>
  <c r="B219" i="13"/>
  <c r="I218" i="13"/>
  <c r="H218" i="13"/>
  <c r="G218" i="13"/>
  <c r="E218" i="13"/>
  <c r="D218" i="13"/>
  <c r="C218" i="13"/>
  <c r="B218" i="13"/>
  <c r="I217" i="13"/>
  <c r="H217" i="13"/>
  <c r="G217" i="13"/>
  <c r="E217" i="13"/>
  <c r="D217" i="13"/>
  <c r="C217" i="13"/>
  <c r="B217" i="13"/>
  <c r="I216" i="13"/>
  <c r="H216" i="13"/>
  <c r="G216" i="13"/>
  <c r="E216" i="13"/>
  <c r="D216" i="13"/>
  <c r="C216" i="13"/>
  <c r="B216" i="13"/>
  <c r="I215" i="13"/>
  <c r="H215" i="13"/>
  <c r="G215" i="13"/>
  <c r="E215" i="13"/>
  <c r="D215" i="13"/>
  <c r="C215" i="13"/>
  <c r="B215" i="13"/>
  <c r="I214" i="13"/>
  <c r="H214" i="13"/>
  <c r="G214" i="13"/>
  <c r="E214" i="13"/>
  <c r="D214" i="13"/>
  <c r="C214" i="13"/>
  <c r="B214" i="13"/>
  <c r="I213" i="13"/>
  <c r="H213" i="13"/>
  <c r="G213" i="13"/>
  <c r="E213" i="13"/>
  <c r="D213" i="13"/>
  <c r="C213" i="13"/>
  <c r="B213" i="13"/>
  <c r="I212" i="13"/>
  <c r="H212" i="13"/>
  <c r="G212" i="13"/>
  <c r="E212" i="13"/>
  <c r="D212" i="13"/>
  <c r="C212" i="13"/>
  <c r="B212" i="13"/>
  <c r="I211" i="13"/>
  <c r="H211" i="13"/>
  <c r="G211" i="13"/>
  <c r="E211" i="13"/>
  <c r="D211" i="13"/>
  <c r="C211" i="13"/>
  <c r="B211" i="13"/>
  <c r="I210" i="13"/>
  <c r="H210" i="13"/>
  <c r="G210" i="13"/>
  <c r="E210" i="13"/>
  <c r="D210" i="13"/>
  <c r="C210" i="13"/>
  <c r="B210" i="13"/>
  <c r="I209" i="13"/>
  <c r="H209" i="13"/>
  <c r="G209" i="13"/>
  <c r="E209" i="13"/>
  <c r="D209" i="13"/>
  <c r="C209" i="13"/>
  <c r="B209" i="13"/>
  <c r="I208" i="13"/>
  <c r="H208" i="13"/>
  <c r="G208" i="13"/>
  <c r="E208" i="13"/>
  <c r="D208" i="13"/>
  <c r="C208" i="13"/>
  <c r="B208" i="13"/>
  <c r="I207" i="13"/>
  <c r="H207" i="13"/>
  <c r="G207" i="13"/>
  <c r="E207" i="13"/>
  <c r="D207" i="13"/>
  <c r="C207" i="13"/>
  <c r="B207" i="13"/>
  <c r="I206" i="13"/>
  <c r="H206" i="13"/>
  <c r="G206" i="13"/>
  <c r="E206" i="13"/>
  <c r="D206" i="13"/>
  <c r="C206" i="13"/>
  <c r="B206" i="13"/>
  <c r="I205" i="13"/>
  <c r="H205" i="13"/>
  <c r="G205" i="13"/>
  <c r="E205" i="13"/>
  <c r="D205" i="13"/>
  <c r="C205" i="13"/>
  <c r="B205" i="13"/>
  <c r="I204" i="13"/>
  <c r="H204" i="13"/>
  <c r="G204" i="13"/>
  <c r="E204" i="13"/>
  <c r="D204" i="13"/>
  <c r="C204" i="13"/>
  <c r="B204" i="13"/>
  <c r="I203" i="13"/>
  <c r="H203" i="13"/>
  <c r="G203" i="13"/>
  <c r="E203" i="13"/>
  <c r="D203" i="13"/>
  <c r="C203" i="13"/>
  <c r="B203" i="13"/>
  <c r="I202" i="13"/>
  <c r="H202" i="13"/>
  <c r="G202" i="13"/>
  <c r="E202" i="13"/>
  <c r="D202" i="13"/>
  <c r="C202" i="13"/>
  <c r="B202" i="13"/>
  <c r="I201" i="13"/>
  <c r="H201" i="13"/>
  <c r="G201" i="13"/>
  <c r="E201" i="13"/>
  <c r="D201" i="13"/>
  <c r="C201" i="13"/>
  <c r="B201" i="13"/>
  <c r="I200" i="13"/>
  <c r="H200" i="13"/>
  <c r="G200" i="13"/>
  <c r="E200" i="13"/>
  <c r="D200" i="13"/>
  <c r="C200" i="13"/>
  <c r="B200" i="13"/>
  <c r="I199" i="13"/>
  <c r="H199" i="13"/>
  <c r="G199" i="13"/>
  <c r="E199" i="13"/>
  <c r="D199" i="13"/>
  <c r="C199" i="13"/>
  <c r="B199" i="13"/>
  <c r="I198" i="13"/>
  <c r="H198" i="13"/>
  <c r="G198" i="13"/>
  <c r="E198" i="13"/>
  <c r="D198" i="13"/>
  <c r="C198" i="13"/>
  <c r="B198" i="13"/>
  <c r="I197" i="13"/>
  <c r="H197" i="13"/>
  <c r="G197" i="13"/>
  <c r="E197" i="13"/>
  <c r="D197" i="13"/>
  <c r="C197" i="13"/>
  <c r="B197" i="13"/>
  <c r="I196" i="13"/>
  <c r="H196" i="13"/>
  <c r="G196" i="13"/>
  <c r="E196" i="13"/>
  <c r="D196" i="13"/>
  <c r="C196" i="13"/>
  <c r="B196" i="13"/>
  <c r="I195" i="13"/>
  <c r="H195" i="13"/>
  <c r="G195" i="13"/>
  <c r="E195" i="13"/>
  <c r="D195" i="13"/>
  <c r="C195" i="13"/>
  <c r="B195" i="13"/>
  <c r="I194" i="13"/>
  <c r="H194" i="13"/>
  <c r="G194" i="13"/>
  <c r="E194" i="13"/>
  <c r="D194" i="13"/>
  <c r="C194" i="13"/>
  <c r="B194" i="13"/>
  <c r="I193" i="13"/>
  <c r="H193" i="13"/>
  <c r="G193" i="13"/>
  <c r="E193" i="13"/>
  <c r="D193" i="13"/>
  <c r="C193" i="13"/>
  <c r="B193" i="13"/>
  <c r="I192" i="13"/>
  <c r="H192" i="13"/>
  <c r="G192" i="13"/>
  <c r="E192" i="13"/>
  <c r="D192" i="13"/>
  <c r="C192" i="13"/>
  <c r="B192" i="13"/>
  <c r="I191" i="13"/>
  <c r="H191" i="13"/>
  <c r="G191" i="13"/>
  <c r="E191" i="13"/>
  <c r="D191" i="13"/>
  <c r="C191" i="13"/>
  <c r="B191" i="13"/>
  <c r="I190" i="13"/>
  <c r="H190" i="13"/>
  <c r="G190" i="13"/>
  <c r="E190" i="13"/>
  <c r="D190" i="13"/>
  <c r="C190" i="13"/>
  <c r="B190" i="13"/>
  <c r="I189" i="13"/>
  <c r="H189" i="13"/>
  <c r="G189" i="13"/>
  <c r="E189" i="13"/>
  <c r="D189" i="13"/>
  <c r="C189" i="13"/>
  <c r="B189" i="13"/>
  <c r="I188" i="13"/>
  <c r="H188" i="13"/>
  <c r="G188" i="13"/>
  <c r="E188" i="13"/>
  <c r="D188" i="13"/>
  <c r="C188" i="13"/>
  <c r="B188" i="13"/>
  <c r="I187" i="13"/>
  <c r="H187" i="13"/>
  <c r="G187" i="13"/>
  <c r="E187" i="13"/>
  <c r="D187" i="13"/>
  <c r="C187" i="13"/>
  <c r="B187" i="13"/>
  <c r="I186" i="13"/>
  <c r="H186" i="13"/>
  <c r="G186" i="13"/>
  <c r="E186" i="13"/>
  <c r="D186" i="13"/>
  <c r="C186" i="13"/>
  <c r="B186" i="13"/>
  <c r="I185" i="13"/>
  <c r="H185" i="13"/>
  <c r="G185" i="13"/>
  <c r="E185" i="13"/>
  <c r="D185" i="13"/>
  <c r="C185" i="13"/>
  <c r="B185" i="13"/>
  <c r="I184" i="13"/>
  <c r="H184" i="13"/>
  <c r="G184" i="13"/>
  <c r="E184" i="13"/>
  <c r="D184" i="13"/>
  <c r="C184" i="13"/>
  <c r="B184" i="13"/>
  <c r="I183" i="13"/>
  <c r="H183" i="13"/>
  <c r="G183" i="13"/>
  <c r="E183" i="13"/>
  <c r="D183" i="13"/>
  <c r="C183" i="13"/>
  <c r="B183" i="13"/>
  <c r="I182" i="13"/>
  <c r="H182" i="13"/>
  <c r="G182" i="13"/>
  <c r="E182" i="13"/>
  <c r="D182" i="13"/>
  <c r="C182" i="13"/>
  <c r="B182" i="13"/>
  <c r="I181" i="13"/>
  <c r="H181" i="13"/>
  <c r="G181" i="13"/>
  <c r="E181" i="13"/>
  <c r="D181" i="13"/>
  <c r="C181" i="13"/>
  <c r="B181" i="13"/>
  <c r="I180" i="13"/>
  <c r="H180" i="13"/>
  <c r="G180" i="13"/>
  <c r="E180" i="13"/>
  <c r="D180" i="13"/>
  <c r="C180" i="13"/>
  <c r="B180" i="13"/>
  <c r="I179" i="13"/>
  <c r="H179" i="13"/>
  <c r="G179" i="13"/>
  <c r="E179" i="13"/>
  <c r="D179" i="13"/>
  <c r="C179" i="13"/>
  <c r="B179" i="13"/>
  <c r="I178" i="13"/>
  <c r="H178" i="13"/>
  <c r="G178" i="13"/>
  <c r="E178" i="13"/>
  <c r="D178" i="13"/>
  <c r="C178" i="13"/>
  <c r="B178" i="13"/>
  <c r="I177" i="13"/>
  <c r="H177" i="13"/>
  <c r="G177" i="13"/>
  <c r="E177" i="13"/>
  <c r="D177" i="13"/>
  <c r="C177" i="13"/>
  <c r="B177" i="13"/>
  <c r="I176" i="13"/>
  <c r="H176" i="13"/>
  <c r="G176" i="13"/>
  <c r="E176" i="13"/>
  <c r="D176" i="13"/>
  <c r="C176" i="13"/>
  <c r="B176" i="13"/>
  <c r="I175" i="13"/>
  <c r="H175" i="13"/>
  <c r="G175" i="13"/>
  <c r="E175" i="13"/>
  <c r="D175" i="13"/>
  <c r="C175" i="13"/>
  <c r="B175" i="13"/>
  <c r="I174" i="13"/>
  <c r="H174" i="13"/>
  <c r="G174" i="13"/>
  <c r="E174" i="13"/>
  <c r="D174" i="13"/>
  <c r="C174" i="13"/>
  <c r="B174" i="13"/>
  <c r="I173" i="13"/>
  <c r="H173" i="13"/>
  <c r="G173" i="13"/>
  <c r="E173" i="13"/>
  <c r="D173" i="13"/>
  <c r="C173" i="13"/>
  <c r="B173" i="13"/>
  <c r="I172" i="13"/>
  <c r="H172" i="13"/>
  <c r="G172" i="13"/>
  <c r="E172" i="13"/>
  <c r="D172" i="13"/>
  <c r="C172" i="13"/>
  <c r="B172" i="13"/>
  <c r="I171" i="13"/>
  <c r="H171" i="13"/>
  <c r="G171" i="13"/>
  <c r="E171" i="13"/>
  <c r="D171" i="13"/>
  <c r="C171" i="13"/>
  <c r="B171" i="13"/>
  <c r="I170" i="13"/>
  <c r="H170" i="13"/>
  <c r="G170" i="13"/>
  <c r="E170" i="13"/>
  <c r="D170" i="13"/>
  <c r="C170" i="13"/>
  <c r="B170" i="13"/>
  <c r="I169" i="13"/>
  <c r="H169" i="13"/>
  <c r="G169" i="13"/>
  <c r="E169" i="13"/>
  <c r="D169" i="13"/>
  <c r="C169" i="13"/>
  <c r="B169" i="13"/>
  <c r="I168" i="13"/>
  <c r="H168" i="13"/>
  <c r="G168" i="13"/>
  <c r="E168" i="13"/>
  <c r="D168" i="13"/>
  <c r="C168" i="13"/>
  <c r="B168" i="13"/>
  <c r="I167" i="13"/>
  <c r="H167" i="13"/>
  <c r="G167" i="13"/>
  <c r="E167" i="13"/>
  <c r="D167" i="13"/>
  <c r="C167" i="13"/>
  <c r="B167" i="13"/>
  <c r="I166" i="13"/>
  <c r="H166" i="13"/>
  <c r="G166" i="13"/>
  <c r="E166" i="13"/>
  <c r="D166" i="13"/>
  <c r="C166" i="13"/>
  <c r="B166" i="13"/>
  <c r="I165" i="13"/>
  <c r="H165" i="13"/>
  <c r="G165" i="13"/>
  <c r="E165" i="13"/>
  <c r="D165" i="13"/>
  <c r="C165" i="13"/>
  <c r="B165" i="13"/>
  <c r="I164" i="13"/>
  <c r="H164" i="13"/>
  <c r="G164" i="13"/>
  <c r="E164" i="13"/>
  <c r="D164" i="13"/>
  <c r="C164" i="13"/>
  <c r="B164" i="13"/>
  <c r="I163" i="13"/>
  <c r="H163" i="13"/>
  <c r="G163" i="13"/>
  <c r="E163" i="13"/>
  <c r="D163" i="13"/>
  <c r="C163" i="13"/>
  <c r="B163" i="13"/>
  <c r="I162" i="13"/>
  <c r="H162" i="13"/>
  <c r="G162" i="13"/>
  <c r="E162" i="13"/>
  <c r="D162" i="13"/>
  <c r="C162" i="13"/>
  <c r="B162" i="13"/>
  <c r="I161" i="13"/>
  <c r="H161" i="13"/>
  <c r="G161" i="13"/>
  <c r="E161" i="13"/>
  <c r="D161" i="13"/>
  <c r="C161" i="13"/>
  <c r="B161" i="13"/>
  <c r="I160" i="13"/>
  <c r="H160" i="13"/>
  <c r="G160" i="13"/>
  <c r="E160" i="13"/>
  <c r="D160" i="13"/>
  <c r="C160" i="13"/>
  <c r="B160" i="13"/>
  <c r="I159" i="13"/>
  <c r="H159" i="13"/>
  <c r="G159" i="13"/>
  <c r="E159" i="13"/>
  <c r="D159" i="13"/>
  <c r="C159" i="13"/>
  <c r="B159" i="13"/>
  <c r="I158" i="13"/>
  <c r="H158" i="13"/>
  <c r="G158" i="13"/>
  <c r="E158" i="13"/>
  <c r="D158" i="13"/>
  <c r="C158" i="13"/>
  <c r="B158" i="13"/>
  <c r="I157" i="13"/>
  <c r="H157" i="13"/>
  <c r="G157" i="13"/>
  <c r="E157" i="13"/>
  <c r="D157" i="13"/>
  <c r="C157" i="13"/>
  <c r="B157" i="13"/>
  <c r="I156" i="13"/>
  <c r="H156" i="13"/>
  <c r="G156" i="13"/>
  <c r="E156" i="13"/>
  <c r="D156" i="13"/>
  <c r="C156" i="13"/>
  <c r="B156" i="13"/>
  <c r="I155" i="13"/>
  <c r="H155" i="13"/>
  <c r="G155" i="13"/>
  <c r="E155" i="13"/>
  <c r="D155" i="13"/>
  <c r="C155" i="13"/>
  <c r="B155" i="13"/>
  <c r="I154" i="13"/>
  <c r="H154" i="13"/>
  <c r="G154" i="13"/>
  <c r="E154" i="13"/>
  <c r="D154" i="13"/>
  <c r="C154" i="13"/>
  <c r="B154" i="13"/>
  <c r="I153" i="13"/>
  <c r="H153" i="13"/>
  <c r="G153" i="13"/>
  <c r="E153" i="13"/>
  <c r="D153" i="13"/>
  <c r="C153" i="13"/>
  <c r="B153" i="13"/>
  <c r="I152" i="13"/>
  <c r="H152" i="13"/>
  <c r="G152" i="13"/>
  <c r="E152" i="13"/>
  <c r="D152" i="13"/>
  <c r="C152" i="13"/>
  <c r="B152" i="13"/>
  <c r="I151" i="13"/>
  <c r="H151" i="13"/>
  <c r="G151" i="13"/>
  <c r="E151" i="13"/>
  <c r="D151" i="13"/>
  <c r="C151" i="13"/>
  <c r="B151" i="13"/>
  <c r="I150" i="13"/>
  <c r="H150" i="13"/>
  <c r="G150" i="13"/>
  <c r="E150" i="13"/>
  <c r="D150" i="13"/>
  <c r="C150" i="13"/>
  <c r="B150" i="13"/>
  <c r="I149" i="13"/>
  <c r="H149" i="13"/>
  <c r="G149" i="13"/>
  <c r="E149" i="13"/>
  <c r="D149" i="13"/>
  <c r="C149" i="13"/>
  <c r="B149" i="13"/>
  <c r="I148" i="13"/>
  <c r="H148" i="13"/>
  <c r="G148" i="13"/>
  <c r="E148" i="13"/>
  <c r="D148" i="13"/>
  <c r="C148" i="13"/>
  <c r="B148" i="13"/>
  <c r="I147" i="13"/>
  <c r="H147" i="13"/>
  <c r="G147" i="13"/>
  <c r="E147" i="13"/>
  <c r="D147" i="13"/>
  <c r="C147" i="13"/>
  <c r="B147" i="13"/>
  <c r="I146" i="13"/>
  <c r="H146" i="13"/>
  <c r="G146" i="13"/>
  <c r="E146" i="13"/>
  <c r="D146" i="13"/>
  <c r="C146" i="13"/>
  <c r="B146" i="13"/>
  <c r="I145" i="13"/>
  <c r="H145" i="13"/>
  <c r="G145" i="13"/>
  <c r="E145" i="13"/>
  <c r="D145" i="13"/>
  <c r="C145" i="13"/>
  <c r="B145" i="13"/>
  <c r="I144" i="13"/>
  <c r="H144" i="13"/>
  <c r="G144" i="13"/>
  <c r="E144" i="13"/>
  <c r="D144" i="13"/>
  <c r="C144" i="13"/>
  <c r="B144" i="13"/>
  <c r="I143" i="13"/>
  <c r="H143" i="13"/>
  <c r="G143" i="13"/>
  <c r="E143" i="13"/>
  <c r="D143" i="13"/>
  <c r="C143" i="13"/>
  <c r="B143" i="13"/>
  <c r="I142" i="13"/>
  <c r="H142" i="13"/>
  <c r="G142" i="13"/>
  <c r="E142" i="13"/>
  <c r="D142" i="13"/>
  <c r="C142" i="13"/>
  <c r="B142" i="13"/>
  <c r="I141" i="13"/>
  <c r="H141" i="13"/>
  <c r="G141" i="13"/>
  <c r="E141" i="13"/>
  <c r="D141" i="13"/>
  <c r="C141" i="13"/>
  <c r="B141" i="13"/>
  <c r="I140" i="13"/>
  <c r="H140" i="13"/>
  <c r="G140" i="13"/>
  <c r="E140" i="13"/>
  <c r="D140" i="13"/>
  <c r="C140" i="13"/>
  <c r="B140" i="13"/>
  <c r="I139" i="13"/>
  <c r="H139" i="13"/>
  <c r="G139" i="13"/>
  <c r="E139" i="13"/>
  <c r="D139" i="13"/>
  <c r="C139" i="13"/>
  <c r="B139" i="13"/>
  <c r="I138" i="13"/>
  <c r="H138" i="13"/>
  <c r="G138" i="13"/>
  <c r="E138" i="13"/>
  <c r="D138" i="13"/>
  <c r="C138" i="13"/>
  <c r="B138" i="13"/>
  <c r="I137" i="13"/>
  <c r="H137" i="13"/>
  <c r="G137" i="13"/>
  <c r="E137" i="13"/>
  <c r="D137" i="13"/>
  <c r="C137" i="13"/>
  <c r="B137" i="13"/>
  <c r="I136" i="13"/>
  <c r="H136" i="13"/>
  <c r="G136" i="13"/>
  <c r="E136" i="13"/>
  <c r="D136" i="13"/>
  <c r="C136" i="13"/>
  <c r="B136" i="13"/>
  <c r="I135" i="13"/>
  <c r="H135" i="13"/>
  <c r="G135" i="13"/>
  <c r="E135" i="13"/>
  <c r="D135" i="13"/>
  <c r="C135" i="13"/>
  <c r="B135" i="13"/>
  <c r="I134" i="13"/>
  <c r="H134" i="13"/>
  <c r="G134" i="13"/>
  <c r="E134" i="13"/>
  <c r="D134" i="13"/>
  <c r="C134" i="13"/>
  <c r="B134" i="13"/>
  <c r="I133" i="13"/>
  <c r="H133" i="13"/>
  <c r="G133" i="13"/>
  <c r="E133" i="13"/>
  <c r="D133" i="13"/>
  <c r="C133" i="13"/>
  <c r="B133" i="13"/>
  <c r="I132" i="13"/>
  <c r="H132" i="13"/>
  <c r="G132" i="13"/>
  <c r="E132" i="13"/>
  <c r="D132" i="13"/>
  <c r="C132" i="13"/>
  <c r="B132" i="13"/>
  <c r="I131" i="13"/>
  <c r="H131" i="13"/>
  <c r="G131" i="13"/>
  <c r="E131" i="13"/>
  <c r="D131" i="13"/>
  <c r="C131" i="13"/>
  <c r="B131" i="13"/>
  <c r="I130" i="13"/>
  <c r="H130" i="13"/>
  <c r="G130" i="13"/>
  <c r="E130" i="13"/>
  <c r="D130" i="13"/>
  <c r="C130" i="13"/>
  <c r="B130" i="13"/>
  <c r="I129" i="13"/>
  <c r="H129" i="13"/>
  <c r="G129" i="13"/>
  <c r="E129" i="13"/>
  <c r="D129" i="13"/>
  <c r="C129" i="13"/>
  <c r="B129" i="13"/>
  <c r="I128" i="13"/>
  <c r="H128" i="13"/>
  <c r="G128" i="13"/>
  <c r="E128" i="13"/>
  <c r="D128" i="13"/>
  <c r="C128" i="13"/>
  <c r="B128" i="13"/>
  <c r="I127" i="13"/>
  <c r="H127" i="13"/>
  <c r="G127" i="13"/>
  <c r="E127" i="13"/>
  <c r="D127" i="13"/>
  <c r="C127" i="13"/>
  <c r="B127" i="13"/>
  <c r="I126" i="13"/>
  <c r="H126" i="13"/>
  <c r="G126" i="13"/>
  <c r="E126" i="13"/>
  <c r="D126" i="13"/>
  <c r="C126" i="13"/>
  <c r="B126" i="13"/>
  <c r="I125" i="13"/>
  <c r="H125" i="13"/>
  <c r="G125" i="13"/>
  <c r="E125" i="13"/>
  <c r="D125" i="13"/>
  <c r="C125" i="13"/>
  <c r="B125" i="13"/>
  <c r="I124" i="13"/>
  <c r="H124" i="13"/>
  <c r="G124" i="13"/>
  <c r="E124" i="13"/>
  <c r="D124" i="13"/>
  <c r="C124" i="13"/>
  <c r="B124" i="13"/>
  <c r="I123" i="13"/>
  <c r="H123" i="13"/>
  <c r="G123" i="13"/>
  <c r="E123" i="13"/>
  <c r="D123" i="13"/>
  <c r="C123" i="13"/>
  <c r="B123" i="13"/>
  <c r="I122" i="13"/>
  <c r="H122" i="13"/>
  <c r="G122" i="13"/>
  <c r="E122" i="13"/>
  <c r="D122" i="13"/>
  <c r="C122" i="13"/>
  <c r="B122" i="13"/>
  <c r="I121" i="13"/>
  <c r="H121" i="13"/>
  <c r="G121" i="13"/>
  <c r="E121" i="13"/>
  <c r="D121" i="13"/>
  <c r="C121" i="13"/>
  <c r="B121" i="13"/>
  <c r="I120" i="13"/>
  <c r="H120" i="13"/>
  <c r="G120" i="13"/>
  <c r="E120" i="13"/>
  <c r="D120" i="13"/>
  <c r="C120" i="13"/>
  <c r="B120" i="13"/>
  <c r="I119" i="13"/>
  <c r="H119" i="13"/>
  <c r="G119" i="13"/>
  <c r="E119" i="13"/>
  <c r="D119" i="13"/>
  <c r="C119" i="13"/>
  <c r="B119" i="13"/>
  <c r="I118" i="13"/>
  <c r="H118" i="13"/>
  <c r="G118" i="13"/>
  <c r="E118" i="13"/>
  <c r="D118" i="13"/>
  <c r="C118" i="13"/>
  <c r="B118" i="13"/>
  <c r="I117" i="13"/>
  <c r="H117" i="13"/>
  <c r="G117" i="13"/>
  <c r="E117" i="13"/>
  <c r="D117" i="13"/>
  <c r="C117" i="13"/>
  <c r="B117" i="13"/>
  <c r="I116" i="13"/>
  <c r="H116" i="13"/>
  <c r="G116" i="13"/>
  <c r="E116" i="13"/>
  <c r="D116" i="13"/>
  <c r="C116" i="13"/>
  <c r="B116" i="13"/>
  <c r="I115" i="13"/>
  <c r="H115" i="13"/>
  <c r="G115" i="13"/>
  <c r="E115" i="13"/>
  <c r="D115" i="13"/>
  <c r="C115" i="13"/>
  <c r="B115" i="13"/>
  <c r="I114" i="13"/>
  <c r="H114" i="13"/>
  <c r="G114" i="13"/>
  <c r="E114" i="13"/>
  <c r="D114" i="13"/>
  <c r="C114" i="13"/>
  <c r="B114" i="13"/>
  <c r="I113" i="13"/>
  <c r="H113" i="13"/>
  <c r="G113" i="13"/>
  <c r="E113" i="13"/>
  <c r="D113" i="13"/>
  <c r="C113" i="13"/>
  <c r="B113" i="13"/>
  <c r="I112" i="13"/>
  <c r="H112" i="13"/>
  <c r="G112" i="13"/>
  <c r="E112" i="13"/>
  <c r="D112" i="13"/>
  <c r="C112" i="13"/>
  <c r="B112" i="13"/>
  <c r="I111" i="13"/>
  <c r="H111" i="13"/>
  <c r="G111" i="13"/>
  <c r="E111" i="13"/>
  <c r="D111" i="13"/>
  <c r="C111" i="13"/>
  <c r="B111" i="13"/>
  <c r="I110" i="13"/>
  <c r="H110" i="13"/>
  <c r="G110" i="13"/>
  <c r="E110" i="13"/>
  <c r="D110" i="13"/>
  <c r="C110" i="13"/>
  <c r="B110" i="13"/>
  <c r="I109" i="13"/>
  <c r="H109" i="13"/>
  <c r="G109" i="13"/>
  <c r="E109" i="13"/>
  <c r="D109" i="13"/>
  <c r="C109" i="13"/>
  <c r="B109" i="13"/>
  <c r="I108" i="13"/>
  <c r="H108" i="13"/>
  <c r="G108" i="13"/>
  <c r="E108" i="13"/>
  <c r="D108" i="13"/>
  <c r="C108" i="13"/>
  <c r="B108" i="13"/>
  <c r="I107" i="13"/>
  <c r="H107" i="13"/>
  <c r="G107" i="13"/>
  <c r="E107" i="13"/>
  <c r="D107" i="13"/>
  <c r="C107" i="13"/>
  <c r="B107" i="13"/>
  <c r="I106" i="13"/>
  <c r="H106" i="13"/>
  <c r="G106" i="13"/>
  <c r="E106" i="13"/>
  <c r="D106" i="13"/>
  <c r="C106" i="13"/>
  <c r="B106" i="13"/>
  <c r="I105" i="13"/>
  <c r="H105" i="13"/>
  <c r="G105" i="13"/>
  <c r="E105" i="13"/>
  <c r="D105" i="13"/>
  <c r="C105" i="13"/>
  <c r="B105" i="13"/>
  <c r="I104" i="13"/>
  <c r="H104" i="13"/>
  <c r="G104" i="13"/>
  <c r="E104" i="13"/>
  <c r="D104" i="13"/>
  <c r="C104" i="13"/>
  <c r="B104" i="13"/>
  <c r="I103" i="13"/>
  <c r="H103" i="13"/>
  <c r="G103" i="13"/>
  <c r="E103" i="13"/>
  <c r="D103" i="13"/>
  <c r="C103" i="13"/>
  <c r="B103" i="13"/>
  <c r="I102" i="13"/>
  <c r="H102" i="13"/>
  <c r="G102" i="13"/>
  <c r="E102" i="13"/>
  <c r="D102" i="13"/>
  <c r="C102" i="13"/>
  <c r="B102" i="13"/>
  <c r="I101" i="13"/>
  <c r="H101" i="13"/>
  <c r="G101" i="13"/>
  <c r="E101" i="13"/>
  <c r="D101" i="13"/>
  <c r="C101" i="13"/>
  <c r="B101" i="13"/>
  <c r="I100" i="13"/>
  <c r="H100" i="13"/>
  <c r="G100" i="13"/>
  <c r="E100" i="13"/>
  <c r="D100" i="13"/>
  <c r="C100" i="13"/>
  <c r="B100" i="13"/>
  <c r="I99" i="13"/>
  <c r="H99" i="13"/>
  <c r="G99" i="13"/>
  <c r="E99" i="13"/>
  <c r="D99" i="13"/>
  <c r="C99" i="13"/>
  <c r="B99" i="13"/>
  <c r="I98" i="13"/>
  <c r="H98" i="13"/>
  <c r="G98" i="13"/>
  <c r="E98" i="13"/>
  <c r="D98" i="13"/>
  <c r="C98" i="13"/>
  <c r="B98" i="13"/>
  <c r="I97" i="13"/>
  <c r="H97" i="13"/>
  <c r="G97" i="13"/>
  <c r="E97" i="13"/>
  <c r="D97" i="13"/>
  <c r="C97" i="13"/>
  <c r="B97" i="13"/>
  <c r="I96" i="13"/>
  <c r="H96" i="13"/>
  <c r="G96" i="13"/>
  <c r="E96" i="13"/>
  <c r="D96" i="13"/>
  <c r="C96" i="13"/>
  <c r="B96" i="13"/>
  <c r="I95" i="13"/>
  <c r="H95" i="13"/>
  <c r="G95" i="13"/>
  <c r="E95" i="13"/>
  <c r="D95" i="13"/>
  <c r="C95" i="13"/>
  <c r="B95" i="13"/>
  <c r="I94" i="13"/>
  <c r="H94" i="13"/>
  <c r="G94" i="13"/>
  <c r="E94" i="13"/>
  <c r="D94" i="13"/>
  <c r="C94" i="13"/>
  <c r="B94" i="13"/>
  <c r="I93" i="13"/>
  <c r="H93" i="13"/>
  <c r="G93" i="13"/>
  <c r="E93" i="13"/>
  <c r="D93" i="13"/>
  <c r="C93" i="13"/>
  <c r="B93" i="13"/>
  <c r="I92" i="13"/>
  <c r="H92" i="13"/>
  <c r="G92" i="13"/>
  <c r="E92" i="13"/>
  <c r="D92" i="13"/>
  <c r="C92" i="13"/>
  <c r="B92" i="13"/>
  <c r="I91" i="13"/>
  <c r="H91" i="13"/>
  <c r="G91" i="13"/>
  <c r="E91" i="13"/>
  <c r="D91" i="13"/>
  <c r="C91" i="13"/>
  <c r="B91" i="13"/>
  <c r="I90" i="13"/>
  <c r="H90" i="13"/>
  <c r="G90" i="13"/>
  <c r="E90" i="13"/>
  <c r="D90" i="13"/>
  <c r="C90" i="13"/>
  <c r="B90" i="13"/>
  <c r="I89" i="13"/>
  <c r="H89" i="13"/>
  <c r="G89" i="13"/>
  <c r="E89" i="13"/>
  <c r="D89" i="13"/>
  <c r="C89" i="13"/>
  <c r="B89" i="13"/>
  <c r="I88" i="13"/>
  <c r="H88" i="13"/>
  <c r="G88" i="13"/>
  <c r="E88" i="13"/>
  <c r="D88" i="13"/>
  <c r="C88" i="13"/>
  <c r="B88" i="13"/>
  <c r="I87" i="13"/>
  <c r="H87" i="13"/>
  <c r="G87" i="13"/>
  <c r="E87" i="13"/>
  <c r="D87" i="13"/>
  <c r="C87" i="13"/>
  <c r="B87" i="13"/>
  <c r="I86" i="13"/>
  <c r="H86" i="13"/>
  <c r="G86" i="13"/>
  <c r="E86" i="13"/>
  <c r="D86" i="13"/>
  <c r="C86" i="13"/>
  <c r="B86" i="13"/>
  <c r="I85" i="13"/>
  <c r="H85" i="13"/>
  <c r="G85" i="13"/>
  <c r="E85" i="13"/>
  <c r="D85" i="13"/>
  <c r="C85" i="13"/>
  <c r="B85" i="13"/>
  <c r="I84" i="13"/>
  <c r="H84" i="13"/>
  <c r="G84" i="13"/>
  <c r="E84" i="13"/>
  <c r="D84" i="13"/>
  <c r="C84" i="13"/>
  <c r="B84" i="13"/>
  <c r="I83" i="13"/>
  <c r="H83" i="13"/>
  <c r="G83" i="13"/>
  <c r="E83" i="13"/>
  <c r="D83" i="13"/>
  <c r="C83" i="13"/>
  <c r="B83" i="13"/>
  <c r="I82" i="13"/>
  <c r="H82" i="13"/>
  <c r="G82" i="13"/>
  <c r="E82" i="13"/>
  <c r="D82" i="13"/>
  <c r="C82" i="13"/>
  <c r="B82" i="13"/>
  <c r="I81" i="13"/>
  <c r="H81" i="13"/>
  <c r="G81" i="13"/>
  <c r="E81" i="13"/>
  <c r="D81" i="13"/>
  <c r="C81" i="13"/>
  <c r="B81" i="13"/>
  <c r="I80" i="13"/>
  <c r="H80" i="13"/>
  <c r="G80" i="13"/>
  <c r="E80" i="13"/>
  <c r="D80" i="13"/>
  <c r="C80" i="13"/>
  <c r="B80" i="13"/>
  <c r="I79" i="13"/>
  <c r="H79" i="13"/>
  <c r="G79" i="13"/>
  <c r="E79" i="13"/>
  <c r="D79" i="13"/>
  <c r="C79" i="13"/>
  <c r="B79" i="13"/>
  <c r="I78" i="13"/>
  <c r="H78" i="13"/>
  <c r="G78" i="13"/>
  <c r="E78" i="13"/>
  <c r="D78" i="13"/>
  <c r="C78" i="13"/>
  <c r="B78" i="13"/>
  <c r="I77" i="13"/>
  <c r="H77" i="13"/>
  <c r="G77" i="13"/>
  <c r="E77" i="13"/>
  <c r="D77" i="13"/>
  <c r="C77" i="13"/>
  <c r="B77" i="13"/>
  <c r="I76" i="13"/>
  <c r="H76" i="13"/>
  <c r="G76" i="13"/>
  <c r="E76" i="13"/>
  <c r="D76" i="13"/>
  <c r="C76" i="13"/>
  <c r="B76" i="13"/>
  <c r="I75" i="13"/>
  <c r="H75" i="13"/>
  <c r="G75" i="13"/>
  <c r="E75" i="13"/>
  <c r="D75" i="13"/>
  <c r="C75" i="13"/>
  <c r="B75" i="13"/>
  <c r="I74" i="13"/>
  <c r="H74" i="13"/>
  <c r="G74" i="13"/>
  <c r="E74" i="13"/>
  <c r="D74" i="13"/>
  <c r="C74" i="13"/>
  <c r="B74" i="13"/>
  <c r="I73" i="13"/>
  <c r="H73" i="13"/>
  <c r="G73" i="13"/>
  <c r="E73" i="13"/>
  <c r="D73" i="13"/>
  <c r="C73" i="13"/>
  <c r="B73" i="13"/>
  <c r="I72" i="13"/>
  <c r="H72" i="13"/>
  <c r="G72" i="13"/>
  <c r="E72" i="13"/>
  <c r="D72" i="13"/>
  <c r="C72" i="13"/>
  <c r="B72" i="13"/>
  <c r="I71" i="13"/>
  <c r="H71" i="13"/>
  <c r="G71" i="13"/>
  <c r="E71" i="13"/>
  <c r="D71" i="13"/>
  <c r="C71" i="13"/>
  <c r="B71" i="13"/>
  <c r="I70" i="13"/>
  <c r="H70" i="13"/>
  <c r="G70" i="13"/>
  <c r="E70" i="13"/>
  <c r="D70" i="13"/>
  <c r="C70" i="13"/>
  <c r="B70" i="13"/>
  <c r="I69" i="13"/>
  <c r="H69" i="13"/>
  <c r="G69" i="13"/>
  <c r="E69" i="13"/>
  <c r="D69" i="13"/>
  <c r="C69" i="13"/>
  <c r="B69" i="13"/>
  <c r="I68" i="13"/>
  <c r="H68" i="13"/>
  <c r="G68" i="13"/>
  <c r="E68" i="13"/>
  <c r="D68" i="13"/>
  <c r="C68" i="13"/>
  <c r="B68" i="13"/>
  <c r="I67" i="13"/>
  <c r="H67" i="13"/>
  <c r="G67" i="13"/>
  <c r="E67" i="13"/>
  <c r="D67" i="13"/>
  <c r="C67" i="13"/>
  <c r="B67" i="13"/>
  <c r="I66" i="13"/>
  <c r="H66" i="13"/>
  <c r="G66" i="13"/>
  <c r="E66" i="13"/>
  <c r="D66" i="13"/>
  <c r="C66" i="13"/>
  <c r="B66" i="13"/>
  <c r="I65" i="13"/>
  <c r="H65" i="13"/>
  <c r="G65" i="13"/>
  <c r="E65" i="13"/>
  <c r="D65" i="13"/>
  <c r="C65" i="13"/>
  <c r="B65" i="13"/>
  <c r="I64" i="13"/>
  <c r="H64" i="13"/>
  <c r="G64" i="13"/>
  <c r="E64" i="13"/>
  <c r="D64" i="13"/>
  <c r="C64" i="13"/>
  <c r="B64" i="13"/>
  <c r="I63" i="13"/>
  <c r="H63" i="13"/>
  <c r="G63" i="13"/>
  <c r="E63" i="13"/>
  <c r="D63" i="13"/>
  <c r="C63" i="13"/>
  <c r="B63" i="13"/>
  <c r="I62" i="13"/>
  <c r="H62" i="13"/>
  <c r="G62" i="13"/>
  <c r="E62" i="13"/>
  <c r="D62" i="13"/>
  <c r="C62" i="13"/>
  <c r="B62" i="13"/>
  <c r="I61" i="13"/>
  <c r="H61" i="13"/>
  <c r="G61" i="13"/>
  <c r="E61" i="13"/>
  <c r="D61" i="13"/>
  <c r="C61" i="13"/>
  <c r="B61" i="13"/>
  <c r="I60" i="13"/>
  <c r="H60" i="13"/>
  <c r="G60" i="13"/>
  <c r="E60" i="13"/>
  <c r="D60" i="13"/>
  <c r="C60" i="13"/>
  <c r="B60" i="13"/>
  <c r="I59" i="13"/>
  <c r="H59" i="13"/>
  <c r="G59" i="13"/>
  <c r="E59" i="13"/>
  <c r="D59" i="13"/>
  <c r="C59" i="13"/>
  <c r="B59" i="13"/>
  <c r="I58" i="13"/>
  <c r="H58" i="13"/>
  <c r="G58" i="13"/>
  <c r="E58" i="13"/>
  <c r="D58" i="13"/>
  <c r="C58" i="13"/>
  <c r="B58" i="13"/>
  <c r="I57" i="13"/>
  <c r="H57" i="13"/>
  <c r="G57" i="13"/>
  <c r="E57" i="13"/>
  <c r="D57" i="13"/>
  <c r="C57" i="13"/>
  <c r="B57" i="13"/>
  <c r="I56" i="13"/>
  <c r="H56" i="13"/>
  <c r="G56" i="13"/>
  <c r="E56" i="13"/>
  <c r="D56" i="13"/>
  <c r="C56" i="13"/>
  <c r="B56" i="13"/>
  <c r="I55" i="13"/>
  <c r="H55" i="13"/>
  <c r="G55" i="13"/>
  <c r="E55" i="13"/>
  <c r="D55" i="13"/>
  <c r="C55" i="13"/>
  <c r="B55" i="13"/>
  <c r="I54" i="13"/>
  <c r="H54" i="13"/>
  <c r="G54" i="13"/>
  <c r="E54" i="13"/>
  <c r="D54" i="13"/>
  <c r="C54" i="13"/>
  <c r="B54" i="13"/>
  <c r="I53" i="13"/>
  <c r="H53" i="13"/>
  <c r="G53" i="13"/>
  <c r="E53" i="13"/>
  <c r="D53" i="13"/>
  <c r="C53" i="13"/>
  <c r="B53" i="13"/>
  <c r="I52" i="13"/>
  <c r="H52" i="13"/>
  <c r="G52" i="13"/>
  <c r="E52" i="13"/>
  <c r="D52" i="13"/>
  <c r="C52" i="13"/>
  <c r="B52" i="13"/>
  <c r="I51" i="13"/>
  <c r="H51" i="13"/>
  <c r="G51" i="13"/>
  <c r="E51" i="13"/>
  <c r="D51" i="13"/>
  <c r="C51" i="13"/>
  <c r="B51" i="13"/>
  <c r="I50" i="13"/>
  <c r="H50" i="13"/>
  <c r="G50" i="13"/>
  <c r="E50" i="13"/>
  <c r="D50" i="13"/>
  <c r="C50" i="13"/>
  <c r="B50" i="13"/>
  <c r="I49" i="13"/>
  <c r="H49" i="13"/>
  <c r="G49" i="13"/>
  <c r="E49" i="13"/>
  <c r="D49" i="13"/>
  <c r="C49" i="13"/>
  <c r="B49" i="13"/>
  <c r="I48" i="13"/>
  <c r="H48" i="13"/>
  <c r="G48" i="13"/>
  <c r="E48" i="13"/>
  <c r="D48" i="13"/>
  <c r="C48" i="13"/>
  <c r="B48" i="13"/>
  <c r="I47" i="13"/>
  <c r="H47" i="13"/>
  <c r="G47" i="13"/>
  <c r="E47" i="13"/>
  <c r="D47" i="13"/>
  <c r="C47" i="13"/>
  <c r="B47" i="13"/>
  <c r="I46" i="13"/>
  <c r="H46" i="13"/>
  <c r="G46" i="13"/>
  <c r="E46" i="13"/>
  <c r="D46" i="13"/>
  <c r="C46" i="13"/>
  <c r="B46" i="13"/>
  <c r="I45" i="13"/>
  <c r="H45" i="13"/>
  <c r="G45" i="13"/>
  <c r="E45" i="13"/>
  <c r="D45" i="13"/>
  <c r="C45" i="13"/>
  <c r="B45" i="13"/>
  <c r="I44" i="13"/>
  <c r="H44" i="13"/>
  <c r="G44" i="13"/>
  <c r="E44" i="13"/>
  <c r="D44" i="13"/>
  <c r="C44" i="13"/>
  <c r="B44" i="13"/>
  <c r="I43" i="13"/>
  <c r="H43" i="13"/>
  <c r="G43" i="13"/>
  <c r="E43" i="13"/>
  <c r="D43" i="13"/>
  <c r="C43" i="13"/>
  <c r="B43" i="13"/>
  <c r="I42" i="13"/>
  <c r="H42" i="13"/>
  <c r="G42" i="13"/>
  <c r="E42" i="13"/>
  <c r="D42" i="13"/>
  <c r="C42" i="13"/>
  <c r="B42" i="13"/>
  <c r="I41" i="13"/>
  <c r="H41" i="13"/>
  <c r="G41" i="13"/>
  <c r="E41" i="13"/>
  <c r="D41" i="13"/>
  <c r="C41" i="13"/>
  <c r="B41" i="13"/>
  <c r="I40" i="13"/>
  <c r="H40" i="13"/>
  <c r="G40" i="13"/>
  <c r="E40" i="13"/>
  <c r="D40" i="13"/>
  <c r="C40" i="13"/>
  <c r="B40" i="13"/>
  <c r="I39" i="13"/>
  <c r="H39" i="13"/>
  <c r="G39" i="13"/>
  <c r="E39" i="13"/>
  <c r="D39" i="13"/>
  <c r="C39" i="13"/>
  <c r="B39" i="13"/>
  <c r="I38" i="13"/>
  <c r="H38" i="13"/>
  <c r="G38" i="13"/>
  <c r="E38" i="13"/>
  <c r="D38" i="13"/>
  <c r="C38" i="13"/>
  <c r="B38" i="13"/>
  <c r="I37" i="13"/>
  <c r="H37" i="13"/>
  <c r="G37" i="13"/>
  <c r="E37" i="13"/>
  <c r="D37" i="13"/>
  <c r="C37" i="13"/>
  <c r="B37" i="13"/>
  <c r="I36" i="13"/>
  <c r="H36" i="13"/>
  <c r="G36" i="13"/>
  <c r="E36" i="13"/>
  <c r="D36" i="13"/>
  <c r="C36" i="13"/>
  <c r="B36" i="13"/>
  <c r="I35" i="13"/>
  <c r="H35" i="13"/>
  <c r="G35" i="13"/>
  <c r="E35" i="13"/>
  <c r="D35" i="13"/>
  <c r="C35" i="13"/>
  <c r="B35" i="13"/>
  <c r="I34" i="13"/>
  <c r="H34" i="13"/>
  <c r="G34" i="13"/>
  <c r="E34" i="13"/>
  <c r="D34" i="13"/>
  <c r="C34" i="13"/>
  <c r="B34" i="13"/>
  <c r="I33" i="13"/>
  <c r="H33" i="13"/>
  <c r="G33" i="13"/>
  <c r="E33" i="13"/>
  <c r="D33" i="13"/>
  <c r="C33" i="13"/>
  <c r="B33" i="13"/>
  <c r="I32" i="13"/>
  <c r="H32" i="13"/>
  <c r="G32" i="13"/>
  <c r="E32" i="13"/>
  <c r="D32" i="13"/>
  <c r="C32" i="13"/>
  <c r="B32" i="13"/>
  <c r="I31" i="13"/>
  <c r="H31" i="13"/>
  <c r="G31" i="13"/>
  <c r="E31" i="13"/>
  <c r="D31" i="13"/>
  <c r="C31" i="13"/>
  <c r="B31" i="13"/>
  <c r="I30" i="13"/>
  <c r="H30" i="13"/>
  <c r="G30" i="13"/>
  <c r="E30" i="13"/>
  <c r="D30" i="13"/>
  <c r="C30" i="13"/>
  <c r="B30" i="13"/>
  <c r="I29" i="13"/>
  <c r="H29" i="13"/>
  <c r="G29" i="13"/>
  <c r="E29" i="13"/>
  <c r="D29" i="13"/>
  <c r="C29" i="13"/>
  <c r="B29" i="13"/>
  <c r="I28" i="13"/>
  <c r="H28" i="13"/>
  <c r="G28" i="13"/>
  <c r="E28" i="13"/>
  <c r="D28" i="13"/>
  <c r="C28" i="13"/>
  <c r="B28" i="13"/>
  <c r="S27" i="13"/>
  <c r="I27" i="13"/>
  <c r="H27" i="13"/>
  <c r="G27" i="13"/>
  <c r="E27" i="13"/>
  <c r="D27" i="13"/>
  <c r="C27" i="13"/>
  <c r="B27" i="13"/>
  <c r="I26" i="13"/>
  <c r="H26" i="13"/>
  <c r="G26" i="13"/>
  <c r="E26" i="13"/>
  <c r="D26" i="13"/>
  <c r="C26" i="13"/>
  <c r="B26" i="13"/>
  <c r="N25" i="13"/>
  <c r="I25" i="13"/>
  <c r="H25" i="13"/>
  <c r="G25" i="13"/>
  <c r="E25" i="13"/>
  <c r="D25" i="13"/>
  <c r="C25" i="13"/>
  <c r="B25" i="13"/>
  <c r="I24" i="13"/>
  <c r="H24" i="13"/>
  <c r="G24" i="13"/>
  <c r="E24" i="13"/>
  <c r="D24" i="13"/>
  <c r="C24" i="13"/>
  <c r="B24" i="13"/>
  <c r="I23" i="13"/>
  <c r="H23" i="13"/>
  <c r="G23" i="13"/>
  <c r="E23" i="13"/>
  <c r="D23" i="13"/>
  <c r="C23" i="13"/>
  <c r="B23" i="13"/>
  <c r="I22" i="13"/>
  <c r="H22" i="13"/>
  <c r="G22" i="13"/>
  <c r="E22" i="13"/>
  <c r="D22" i="13"/>
  <c r="C22" i="13"/>
  <c r="B22" i="13"/>
  <c r="I21" i="13"/>
  <c r="H21" i="13"/>
  <c r="G21" i="13"/>
  <c r="E21" i="13"/>
  <c r="D21" i="13"/>
  <c r="C21" i="13"/>
  <c r="B21" i="13"/>
  <c r="I20" i="13"/>
  <c r="H20" i="13"/>
  <c r="G20" i="13"/>
  <c r="E20" i="13"/>
  <c r="D20" i="13"/>
  <c r="C20" i="13"/>
  <c r="B20" i="13"/>
  <c r="I19" i="13"/>
  <c r="H19" i="13"/>
  <c r="G19" i="13"/>
  <c r="E19" i="13"/>
  <c r="D19" i="13"/>
  <c r="C19" i="13"/>
  <c r="B19" i="13"/>
  <c r="I18" i="13"/>
  <c r="H18" i="13"/>
  <c r="G18" i="13"/>
  <c r="E18" i="13"/>
  <c r="D18" i="13"/>
  <c r="C18" i="13"/>
  <c r="B18" i="13"/>
  <c r="I17" i="13"/>
  <c r="H17" i="13"/>
  <c r="G17" i="13"/>
  <c r="E17" i="13"/>
  <c r="D17" i="13"/>
  <c r="C17" i="13"/>
  <c r="B17" i="13"/>
  <c r="I16" i="13"/>
  <c r="H16" i="13"/>
  <c r="G16" i="13"/>
  <c r="E16" i="13"/>
  <c r="D16" i="13"/>
  <c r="C16" i="13"/>
  <c r="B16" i="13"/>
  <c r="I15" i="13"/>
  <c r="H15" i="13"/>
  <c r="G15" i="13"/>
  <c r="E15" i="13"/>
  <c r="D15" i="13"/>
  <c r="C15" i="13"/>
  <c r="B15" i="13"/>
  <c r="I14" i="13"/>
  <c r="H14" i="13"/>
  <c r="G14" i="13"/>
  <c r="E14" i="13"/>
  <c r="D14" i="13"/>
  <c r="C14" i="13"/>
  <c r="B14" i="13"/>
  <c r="I13" i="13"/>
  <c r="H13" i="13"/>
  <c r="G13" i="13"/>
  <c r="E13" i="13"/>
  <c r="D13" i="13"/>
  <c r="C13" i="13"/>
  <c r="B13" i="13"/>
  <c r="I12" i="13"/>
  <c r="H12" i="13"/>
  <c r="G12" i="13"/>
  <c r="E12" i="13"/>
  <c r="D12" i="13"/>
  <c r="C12" i="13"/>
  <c r="B12" i="13"/>
  <c r="S10" i="13"/>
  <c r="B9" i="13"/>
  <c r="N8" i="13"/>
  <c r="G8" i="13"/>
  <c r="B8" i="13"/>
  <c r="B31" i="10"/>
  <c r="B30" i="10"/>
  <c r="B29" i="10"/>
  <c r="B28" i="10"/>
  <c r="B27" i="10"/>
  <c r="B26" i="10"/>
  <c r="B25" i="10"/>
  <c r="B24" i="10"/>
  <c r="B23" i="10"/>
  <c r="B22" i="10"/>
  <c r="B21" i="10"/>
  <c r="B20" i="10"/>
  <c r="B19" i="10"/>
  <c r="B18" i="10"/>
  <c r="B17" i="10"/>
  <c r="B16" i="10"/>
  <c r="B15" i="10"/>
  <c r="B14" i="10"/>
  <c r="B13" i="10"/>
  <c r="M11" i="10"/>
  <c r="M8" i="10"/>
  <c r="I8" i="10"/>
  <c r="B8" i="10"/>
  <c r="P81" i="9"/>
  <c r="O81" i="9"/>
  <c r="N81" i="9"/>
  <c r="K81" i="9"/>
  <c r="J81" i="9"/>
  <c r="I81" i="9"/>
  <c r="F81" i="9"/>
  <c r="E81" i="9"/>
  <c r="D81" i="9"/>
  <c r="B81" i="9"/>
  <c r="P80" i="9"/>
  <c r="O80" i="9"/>
  <c r="N80" i="9"/>
  <c r="K80" i="9"/>
  <c r="J80" i="9"/>
  <c r="I80" i="9"/>
  <c r="F80" i="9"/>
  <c r="E80" i="9"/>
  <c r="D80" i="9"/>
  <c r="B80" i="9"/>
  <c r="P79" i="9"/>
  <c r="O79" i="9"/>
  <c r="N79" i="9"/>
  <c r="K79" i="9"/>
  <c r="J79" i="9"/>
  <c r="I79" i="9"/>
  <c r="F79" i="9"/>
  <c r="E79" i="9"/>
  <c r="D79" i="9"/>
  <c r="B79" i="9"/>
  <c r="P78" i="9"/>
  <c r="O78" i="9"/>
  <c r="N78" i="9"/>
  <c r="K78" i="9"/>
  <c r="J78" i="9"/>
  <c r="I78" i="9"/>
  <c r="F78" i="9"/>
  <c r="E78" i="9"/>
  <c r="D78" i="9"/>
  <c r="B78" i="9"/>
  <c r="P77" i="9"/>
  <c r="O77" i="9"/>
  <c r="N77" i="9"/>
  <c r="K77" i="9"/>
  <c r="J77" i="9"/>
  <c r="I77" i="9"/>
  <c r="F77" i="9"/>
  <c r="E77" i="9"/>
  <c r="D77" i="9"/>
  <c r="B77" i="9"/>
  <c r="P76" i="9"/>
  <c r="O76" i="9"/>
  <c r="N76" i="9"/>
  <c r="K76" i="9"/>
  <c r="J76" i="9"/>
  <c r="I76" i="9"/>
  <c r="F76" i="9"/>
  <c r="E76" i="9"/>
  <c r="D76" i="9"/>
  <c r="B76" i="9"/>
  <c r="P75" i="9"/>
  <c r="O75" i="9"/>
  <c r="N75" i="9"/>
  <c r="K75" i="9"/>
  <c r="J75" i="9"/>
  <c r="I75" i="9"/>
  <c r="F75" i="9"/>
  <c r="E75" i="9"/>
  <c r="D75" i="9"/>
  <c r="B75" i="9"/>
  <c r="P74" i="9"/>
  <c r="O74" i="9"/>
  <c r="N74" i="9"/>
  <c r="K74" i="9"/>
  <c r="J74" i="9"/>
  <c r="I74" i="9"/>
  <c r="F74" i="9"/>
  <c r="E74" i="9"/>
  <c r="D74" i="9"/>
  <c r="B74" i="9"/>
  <c r="P73" i="9"/>
  <c r="O73" i="9"/>
  <c r="N73" i="9"/>
  <c r="K73" i="9"/>
  <c r="J73" i="9"/>
  <c r="I73" i="9"/>
  <c r="F73" i="9"/>
  <c r="E73" i="9"/>
  <c r="D73" i="9"/>
  <c r="B73" i="9"/>
  <c r="P72" i="9"/>
  <c r="O72" i="9"/>
  <c r="N72" i="9"/>
  <c r="K72" i="9"/>
  <c r="J72" i="9"/>
  <c r="I72" i="9"/>
  <c r="F72" i="9"/>
  <c r="E72" i="9"/>
  <c r="D72" i="9"/>
  <c r="B72" i="9"/>
  <c r="P71" i="9"/>
  <c r="O71" i="9"/>
  <c r="N71" i="9"/>
  <c r="K71" i="9"/>
  <c r="J71" i="9"/>
  <c r="I71" i="9"/>
  <c r="F71" i="9"/>
  <c r="E71" i="9"/>
  <c r="D71" i="9"/>
  <c r="B71" i="9"/>
  <c r="P70" i="9"/>
  <c r="O70" i="9"/>
  <c r="N70" i="9"/>
  <c r="K70" i="9"/>
  <c r="J70" i="9"/>
  <c r="I70" i="9"/>
  <c r="F70" i="9"/>
  <c r="E70" i="9"/>
  <c r="D70" i="9"/>
  <c r="B70" i="9"/>
  <c r="P69" i="9"/>
  <c r="O69" i="9"/>
  <c r="N69" i="9"/>
  <c r="K69" i="9"/>
  <c r="J69" i="9"/>
  <c r="I69" i="9"/>
  <c r="F69" i="9"/>
  <c r="E69" i="9"/>
  <c r="D69" i="9"/>
  <c r="B69" i="9"/>
  <c r="P68" i="9"/>
  <c r="O68" i="9"/>
  <c r="N68" i="9"/>
  <c r="K68" i="9"/>
  <c r="J68" i="9"/>
  <c r="I68" i="9"/>
  <c r="F68" i="9"/>
  <c r="E68" i="9"/>
  <c r="D68" i="9"/>
  <c r="B68" i="9"/>
  <c r="P67" i="9"/>
  <c r="O67" i="9"/>
  <c r="N67" i="9"/>
  <c r="K67" i="9"/>
  <c r="J67" i="9"/>
  <c r="I67" i="9"/>
  <c r="F67" i="9"/>
  <c r="E67" i="9"/>
  <c r="D67" i="9"/>
  <c r="B67" i="9"/>
  <c r="P66" i="9"/>
  <c r="O66" i="9"/>
  <c r="N66" i="9"/>
  <c r="K66" i="9"/>
  <c r="J66" i="9"/>
  <c r="I66" i="9"/>
  <c r="F66" i="9"/>
  <c r="E66" i="9"/>
  <c r="D66" i="9"/>
  <c r="B66" i="9"/>
  <c r="P65" i="9"/>
  <c r="O65" i="9"/>
  <c r="N65" i="9"/>
  <c r="K65" i="9"/>
  <c r="J65" i="9"/>
  <c r="I65" i="9"/>
  <c r="F65" i="9"/>
  <c r="E65" i="9"/>
  <c r="D65" i="9"/>
  <c r="B65" i="9"/>
  <c r="P64" i="9"/>
  <c r="O64" i="9"/>
  <c r="N64" i="9"/>
  <c r="K64" i="9"/>
  <c r="J64" i="9"/>
  <c r="I64" i="9"/>
  <c r="F64" i="9"/>
  <c r="E64" i="9"/>
  <c r="D64" i="9"/>
  <c r="B64" i="9"/>
  <c r="P63" i="9"/>
  <c r="O63" i="9"/>
  <c r="N63" i="9"/>
  <c r="K63" i="9"/>
  <c r="J63" i="9"/>
  <c r="I63" i="9"/>
  <c r="F63" i="9"/>
  <c r="E63" i="9"/>
  <c r="D63" i="9"/>
  <c r="B63" i="9"/>
  <c r="P62" i="9"/>
  <c r="O62" i="9"/>
  <c r="N62" i="9"/>
  <c r="K62" i="9"/>
  <c r="J62" i="9"/>
  <c r="I62" i="9"/>
  <c r="F62" i="9"/>
  <c r="E62" i="9"/>
  <c r="D62" i="9"/>
  <c r="B62" i="9"/>
  <c r="P61" i="9"/>
  <c r="O61" i="9"/>
  <c r="N61" i="9"/>
  <c r="K61" i="9"/>
  <c r="J61" i="9"/>
  <c r="I61" i="9"/>
  <c r="F61" i="9"/>
  <c r="E61" i="9"/>
  <c r="D61" i="9"/>
  <c r="B61" i="9"/>
  <c r="B60" i="9"/>
  <c r="K60" i="9" s="1"/>
  <c r="B59" i="9"/>
  <c r="J59" i="9" s="1"/>
  <c r="N58" i="9"/>
  <c r="B58" i="9"/>
  <c r="P58" i="9" s="1"/>
  <c r="B57" i="9"/>
  <c r="I57" i="9" s="1"/>
  <c r="B56" i="9"/>
  <c r="J56" i="9" s="1"/>
  <c r="B55" i="9"/>
  <c r="J55" i="9" s="1"/>
  <c r="B54" i="9"/>
  <c r="N54" i="9" s="1"/>
  <c r="B53" i="9"/>
  <c r="E53" i="9" s="1"/>
  <c r="N52" i="9"/>
  <c r="I52" i="9"/>
  <c r="B52" i="9"/>
  <c r="O52" i="9" s="1"/>
  <c r="B51" i="9"/>
  <c r="J51" i="9" s="1"/>
  <c r="B50" i="9"/>
  <c r="P50" i="9" s="1"/>
  <c r="B49" i="9"/>
  <c r="N49" i="9" s="1"/>
  <c r="B48" i="9"/>
  <c r="F48" i="9" s="1"/>
  <c r="B47" i="9"/>
  <c r="P47" i="9" s="1"/>
  <c r="B46" i="9"/>
  <c r="N46" i="9" s="1"/>
  <c r="B45" i="9"/>
  <c r="I45" i="9" s="1"/>
  <c r="B44" i="9"/>
  <c r="O44" i="9" s="1"/>
  <c r="B43" i="9"/>
  <c r="K43" i="9" s="1"/>
  <c r="B42" i="9"/>
  <c r="N42" i="9" s="1"/>
  <c r="B41" i="9"/>
  <c r="D41" i="9" s="1"/>
  <c r="B40" i="9"/>
  <c r="N40" i="9" s="1"/>
  <c r="B39" i="9"/>
  <c r="B38" i="9"/>
  <c r="P38" i="9" s="1"/>
  <c r="B37" i="9"/>
  <c r="P37" i="9" s="1"/>
  <c r="B36" i="9"/>
  <c r="I36" i="9" s="1"/>
  <c r="B35" i="9"/>
  <c r="F35" i="9" s="1"/>
  <c r="B34" i="9"/>
  <c r="K34" i="9" s="1"/>
  <c r="B33" i="9"/>
  <c r="K33" i="9" s="1"/>
  <c r="B32" i="9"/>
  <c r="K32" i="9" s="1"/>
  <c r="B31" i="9"/>
  <c r="J31" i="9" s="1"/>
  <c r="B30" i="9"/>
  <c r="O30" i="9" s="1"/>
  <c r="B29" i="9"/>
  <c r="O29" i="9" s="1"/>
  <c r="B28" i="9"/>
  <c r="I28" i="9" s="1"/>
  <c r="B27" i="9"/>
  <c r="P27" i="9" s="1"/>
  <c r="B26" i="9"/>
  <c r="K26" i="9" s="1"/>
  <c r="B25" i="9"/>
  <c r="P25" i="9" s="1"/>
  <c r="B24" i="9"/>
  <c r="B23" i="9"/>
  <c r="J23" i="9" s="1"/>
  <c r="B22" i="9"/>
  <c r="O22" i="9" s="1"/>
  <c r="B21" i="9"/>
  <c r="O21" i="9" s="1"/>
  <c r="B20" i="9"/>
  <c r="I20" i="9" s="1"/>
  <c r="B19" i="9"/>
  <c r="F19" i="9" s="1"/>
  <c r="B18" i="9"/>
  <c r="K18" i="9" s="1"/>
  <c r="B17" i="9"/>
  <c r="K17" i="9" s="1"/>
  <c r="B16" i="9"/>
  <c r="O16" i="9" s="1"/>
  <c r="B15" i="9"/>
  <c r="J15" i="9" s="1"/>
  <c r="B14" i="9"/>
  <c r="I14" i="9" s="1"/>
  <c r="B13" i="9"/>
  <c r="J13" i="9" s="1"/>
  <c r="B12" i="9"/>
  <c r="I12" i="9" s="1"/>
  <c r="O11" i="9"/>
  <c r="N11" i="9"/>
  <c r="J11" i="9"/>
  <c r="I11" i="9"/>
  <c r="E11" i="9"/>
  <c r="D11" i="9"/>
  <c r="P10" i="9"/>
  <c r="K10" i="9"/>
  <c r="F10" i="9"/>
  <c r="B10" i="9"/>
  <c r="I8" i="9"/>
  <c r="B8" i="9"/>
  <c r="F38" i="11"/>
  <c r="E38" i="11"/>
  <c r="D38" i="11"/>
  <c r="B38" i="11"/>
  <c r="F37" i="11"/>
  <c r="E37" i="11"/>
  <c r="D37" i="11"/>
  <c r="B37" i="11"/>
  <c r="F36" i="11"/>
  <c r="E36" i="11"/>
  <c r="D36" i="11"/>
  <c r="B36" i="11"/>
  <c r="F35" i="11"/>
  <c r="E35" i="11"/>
  <c r="D35" i="11"/>
  <c r="B35" i="11"/>
  <c r="F34" i="11"/>
  <c r="E34" i="11"/>
  <c r="D34" i="11"/>
  <c r="B34" i="11"/>
  <c r="F33" i="11"/>
  <c r="E33" i="11"/>
  <c r="D33" i="11"/>
  <c r="B33" i="11"/>
  <c r="F32" i="11"/>
  <c r="E32" i="11"/>
  <c r="D32" i="11"/>
  <c r="B32" i="11"/>
  <c r="F31" i="11"/>
  <c r="E31" i="11"/>
  <c r="D31" i="11"/>
  <c r="B31" i="11"/>
  <c r="F30" i="11"/>
  <c r="E30" i="11"/>
  <c r="D30" i="11"/>
  <c r="B30" i="11"/>
  <c r="F29" i="11"/>
  <c r="E29" i="11"/>
  <c r="D29" i="11"/>
  <c r="B29" i="11"/>
  <c r="F28" i="11"/>
  <c r="E28" i="11"/>
  <c r="D28" i="11"/>
  <c r="B28" i="11"/>
  <c r="L61" i="9" l="1"/>
  <c r="L65" i="9"/>
  <c r="N48" i="9"/>
  <c r="K21" i="9"/>
  <c r="E28" i="9"/>
  <c r="J48" i="9"/>
  <c r="P28" i="9"/>
  <c r="N44" i="9"/>
  <c r="E29" i="9"/>
  <c r="O49" i="9"/>
  <c r="E52" i="9"/>
  <c r="E13" i="9"/>
  <c r="F21" i="9"/>
  <c r="K55" i="9"/>
  <c r="L55" i="9" s="1"/>
  <c r="K54" i="9"/>
  <c r="E21" i="9"/>
  <c r="J21" i="9"/>
  <c r="L21" i="9" s="1"/>
  <c r="P55" i="9"/>
  <c r="P12" i="9"/>
  <c r="D18" i="9"/>
  <c r="I37" i="9"/>
  <c r="I18" i="9"/>
  <c r="K37" i="9"/>
  <c r="E44" i="9"/>
  <c r="J52" i="9"/>
  <c r="N57" i="9"/>
  <c r="O57" i="9"/>
  <c r="J18" i="9"/>
  <c r="L18" i="9" s="1"/>
  <c r="O18" i="9"/>
  <c r="I33" i="9"/>
  <c r="N29" i="9"/>
  <c r="D52" i="9"/>
  <c r="K58" i="9"/>
  <c r="J14" i="9"/>
  <c r="E23" i="9"/>
  <c r="P29" i="9"/>
  <c r="Q29" i="9" s="1"/>
  <c r="O34" i="9"/>
  <c r="P44" i="9"/>
  <c r="Q44" i="9" s="1"/>
  <c r="D56" i="9"/>
  <c r="E60" i="9"/>
  <c r="D13" i="9"/>
  <c r="K14" i="9"/>
  <c r="I21" i="9"/>
  <c r="F23" i="9"/>
  <c r="D28" i="9"/>
  <c r="D29" i="9"/>
  <c r="P34" i="9"/>
  <c r="N37" i="9"/>
  <c r="D44" i="9"/>
  <c r="F52" i="9"/>
  <c r="F54" i="9"/>
  <c r="E56" i="9"/>
  <c r="N60" i="9"/>
  <c r="D12" i="9"/>
  <c r="F44" i="9"/>
  <c r="P46" i="9"/>
  <c r="K56" i="9"/>
  <c r="L56" i="9" s="1"/>
  <c r="E12" i="9"/>
  <c r="K13" i="9"/>
  <c r="L13" i="9" s="1"/>
  <c r="K16" i="9"/>
  <c r="N21" i="9"/>
  <c r="J28" i="9"/>
  <c r="I29" i="9"/>
  <c r="I44" i="9"/>
  <c r="K50" i="9"/>
  <c r="K52" i="9"/>
  <c r="N56" i="9"/>
  <c r="I23" i="9"/>
  <c r="F56" i="9"/>
  <c r="F13" i="9"/>
  <c r="K28" i="9"/>
  <c r="J29" i="9"/>
  <c r="J44" i="9"/>
  <c r="P56" i="9"/>
  <c r="F28" i="9"/>
  <c r="F29" i="9"/>
  <c r="F12" i="9"/>
  <c r="N13" i="9"/>
  <c r="P21" i="9"/>
  <c r="Q21" i="9" s="1"/>
  <c r="O12" i="9"/>
  <c r="P13" i="9"/>
  <c r="D21" i="9"/>
  <c r="P26" i="9"/>
  <c r="O28" i="9"/>
  <c r="K29" i="9"/>
  <c r="O33" i="9"/>
  <c r="F37" i="9"/>
  <c r="K44" i="9"/>
  <c r="I48" i="9"/>
  <c r="P52" i="9"/>
  <c r="Q52" i="9" s="1"/>
  <c r="P59" i="9"/>
  <c r="G69" i="9"/>
  <c r="G73" i="9"/>
  <c r="G77" i="9"/>
  <c r="G81" i="9"/>
  <c r="P40" i="9"/>
  <c r="O60" i="9"/>
  <c r="O13" i="9"/>
  <c r="O14" i="9"/>
  <c r="D17" i="9"/>
  <c r="F25" i="9"/>
  <c r="D27" i="9"/>
  <c r="D30" i="9"/>
  <c r="F32" i="9"/>
  <c r="P33" i="9"/>
  <c r="J37" i="9"/>
  <c r="E40" i="9"/>
  <c r="E45" i="9"/>
  <c r="K47" i="9"/>
  <c r="K48" i="9"/>
  <c r="L48" i="9" s="1"/>
  <c r="F50" i="9"/>
  <c r="O56" i="9"/>
  <c r="D60" i="9"/>
  <c r="P60" i="9"/>
  <c r="D40" i="9"/>
  <c r="I17" i="9"/>
  <c r="O48" i="9"/>
  <c r="N50" i="9"/>
  <c r="F60" i="9"/>
  <c r="J25" i="9"/>
  <c r="I27" i="9"/>
  <c r="E30" i="9"/>
  <c r="I32" i="9"/>
  <c r="F40" i="9"/>
  <c r="K25" i="9"/>
  <c r="J27" i="9"/>
  <c r="D34" i="9"/>
  <c r="D57" i="9"/>
  <c r="I60" i="9"/>
  <c r="E17" i="9"/>
  <c r="I30" i="9"/>
  <c r="J32" i="9"/>
  <c r="L32" i="9" s="1"/>
  <c r="F16" i="9"/>
  <c r="O17" i="9"/>
  <c r="J30" i="9"/>
  <c r="E34" i="9"/>
  <c r="D48" i="9"/>
  <c r="P48" i="9"/>
  <c r="I13" i="9"/>
  <c r="K30" i="9"/>
  <c r="D33" i="9"/>
  <c r="I34" i="9"/>
  <c r="D37" i="9"/>
  <c r="K40" i="9"/>
  <c r="K46" i="9"/>
  <c r="E48" i="9"/>
  <c r="G48" i="9" s="1"/>
  <c r="I56" i="9"/>
  <c r="E57" i="9"/>
  <c r="J60" i="9"/>
  <c r="L60" i="9" s="1"/>
  <c r="O40" i="9"/>
  <c r="I40" i="9"/>
  <c r="D14" i="9"/>
  <c r="K27" i="9"/>
  <c r="O37" i="9"/>
  <c r="Q37" i="9" s="1"/>
  <c r="J40" i="9"/>
  <c r="J43" i="9"/>
  <c r="L43" i="9" s="1"/>
  <c r="F46" i="9"/>
  <c r="J12" i="9"/>
  <c r="E14" i="9"/>
  <c r="I16" i="9"/>
  <c r="P17" i="9"/>
  <c r="K23" i="9"/>
  <c r="L23" i="9" s="1"/>
  <c r="E26" i="9"/>
  <c r="K12" i="9"/>
  <c r="J16" i="9"/>
  <c r="P23" i="9"/>
  <c r="F26" i="9"/>
  <c r="E33" i="9"/>
  <c r="J34" i="9"/>
  <c r="L34" i="9" s="1"/>
  <c r="E37" i="9"/>
  <c r="I49" i="9"/>
  <c r="G61" i="9"/>
  <c r="G65" i="9"/>
  <c r="L63" i="9"/>
  <c r="L67" i="9"/>
  <c r="L71" i="9"/>
  <c r="L75" i="9"/>
  <c r="L79" i="9"/>
  <c r="G62" i="9"/>
  <c r="G66" i="9"/>
  <c r="G70" i="9"/>
  <c r="G74" i="9"/>
  <c r="G78" i="9"/>
  <c r="L62" i="9"/>
  <c r="L66" i="9"/>
  <c r="L70" i="9"/>
  <c r="L74" i="9"/>
  <c r="L78" i="9"/>
  <c r="N24" i="9"/>
  <c r="D24" i="9"/>
  <c r="N39" i="9"/>
  <c r="D39" i="9"/>
  <c r="I39" i="9"/>
  <c r="F39" i="9"/>
  <c r="E39" i="9"/>
  <c r="K15" i="9"/>
  <c r="L15" i="9" s="1"/>
  <c r="O19" i="9"/>
  <c r="E19" i="9"/>
  <c r="G19" i="9" s="1"/>
  <c r="N19" i="9"/>
  <c r="J20" i="9"/>
  <c r="J22" i="9"/>
  <c r="K24" i="9"/>
  <c r="N26" i="9"/>
  <c r="K31" i="9"/>
  <c r="L31" i="9" s="1"/>
  <c r="O35" i="9"/>
  <c r="E35" i="9"/>
  <c r="G35" i="9" s="1"/>
  <c r="N35" i="9"/>
  <c r="J36" i="9"/>
  <c r="P39" i="9"/>
  <c r="O41" i="9"/>
  <c r="I43" i="9"/>
  <c r="N43" i="9"/>
  <c r="D43" i="9"/>
  <c r="F43" i="9"/>
  <c r="E43" i="9"/>
  <c r="O43" i="9"/>
  <c r="P45" i="9"/>
  <c r="F45" i="9"/>
  <c r="K45" i="9"/>
  <c r="J45" i="9"/>
  <c r="N17" i="9"/>
  <c r="D19" i="9"/>
  <c r="P19" i="9"/>
  <c r="K20" i="9"/>
  <c r="K22" i="9"/>
  <c r="I25" i="9"/>
  <c r="D26" i="9"/>
  <c r="O26" i="9"/>
  <c r="N33" i="9"/>
  <c r="D35" i="9"/>
  <c r="P35" i="9"/>
  <c r="K36" i="9"/>
  <c r="D45" i="9"/>
  <c r="J54" i="9"/>
  <c r="O54" i="9"/>
  <c r="E54" i="9"/>
  <c r="I54" i="9"/>
  <c r="D54" i="9"/>
  <c r="J38" i="9"/>
  <c r="O38" i="9"/>
  <c r="Q38" i="9" s="1"/>
  <c r="E38" i="9"/>
  <c r="I38" i="9"/>
  <c r="D31" i="9"/>
  <c r="N36" i="9"/>
  <c r="D38" i="9"/>
  <c r="E15" i="9"/>
  <c r="P15" i="9"/>
  <c r="F17" i="9"/>
  <c r="N18" i="9"/>
  <c r="I19" i="9"/>
  <c r="D20" i="9"/>
  <c r="O20" i="9"/>
  <c r="D22" i="9"/>
  <c r="F24" i="9"/>
  <c r="O27" i="9"/>
  <c r="Q27" i="9" s="1"/>
  <c r="E27" i="9"/>
  <c r="N27" i="9"/>
  <c r="E31" i="9"/>
  <c r="P31" i="9"/>
  <c r="F33" i="9"/>
  <c r="N34" i="9"/>
  <c r="I35" i="9"/>
  <c r="D36" i="9"/>
  <c r="O36" i="9"/>
  <c r="F38" i="9"/>
  <c r="J39" i="9"/>
  <c r="K42" i="9"/>
  <c r="N45" i="9"/>
  <c r="O50" i="9"/>
  <c r="Q50" i="9" s="1"/>
  <c r="E50" i="9"/>
  <c r="J50" i="9"/>
  <c r="I50" i="9"/>
  <c r="D50" i="9"/>
  <c r="I59" i="9"/>
  <c r="N59" i="9"/>
  <c r="D59" i="9"/>
  <c r="F59" i="9"/>
  <c r="E59" i="9"/>
  <c r="O59" i="9"/>
  <c r="Q59" i="9" s="1"/>
  <c r="G64" i="9"/>
  <c r="G68" i="9"/>
  <c r="G72" i="9"/>
  <c r="G76" i="9"/>
  <c r="G80" i="9"/>
  <c r="I51" i="9"/>
  <c r="N51" i="9"/>
  <c r="D51" i="9"/>
  <c r="F51" i="9"/>
  <c r="E51" i="9"/>
  <c r="O51" i="9"/>
  <c r="P53" i="9"/>
  <c r="F53" i="9"/>
  <c r="G53" i="9" s="1"/>
  <c r="K53" i="9"/>
  <c r="J53" i="9"/>
  <c r="D15" i="9"/>
  <c r="K41" i="9"/>
  <c r="P41" i="9"/>
  <c r="F41" i="9"/>
  <c r="J41" i="9"/>
  <c r="J19" i="9"/>
  <c r="E20" i="9"/>
  <c r="N25" i="9"/>
  <c r="K38" i="9"/>
  <c r="K39" i="9"/>
  <c r="E41" i="9"/>
  <c r="P43" i="9"/>
  <c r="O45" i="9"/>
  <c r="K51" i="9"/>
  <c r="L51" i="9" s="1"/>
  <c r="I53" i="9"/>
  <c r="O24" i="9"/>
  <c r="N31" i="9"/>
  <c r="O31" i="9"/>
  <c r="F15" i="9"/>
  <c r="P20" i="9"/>
  <c r="N47" i="9"/>
  <c r="D47" i="9"/>
  <c r="I47" i="9"/>
  <c r="F47" i="9"/>
  <c r="E47" i="9"/>
  <c r="O47" i="9"/>
  <c r="Q47" i="9" s="1"/>
  <c r="N23" i="9"/>
  <c r="O25" i="9"/>
  <c r="Q25" i="9" s="1"/>
  <c r="F27" i="9"/>
  <c r="N32" i="9"/>
  <c r="D32" i="9"/>
  <c r="O32" i="9"/>
  <c r="J33" i="9"/>
  <c r="L33" i="9" s="1"/>
  <c r="K35" i="9"/>
  <c r="F36" i="9"/>
  <c r="I41" i="9"/>
  <c r="N15" i="9"/>
  <c r="O42" i="9"/>
  <c r="E42" i="9"/>
  <c r="J42" i="9"/>
  <c r="I42" i="9"/>
  <c r="D42" i="9"/>
  <c r="O15" i="9"/>
  <c r="N20" i="9"/>
  <c r="P22" i="9"/>
  <c r="Q22" i="9" s="1"/>
  <c r="F22" i="9"/>
  <c r="N22" i="9"/>
  <c r="E24" i="9"/>
  <c r="P24" i="9"/>
  <c r="F42" i="9"/>
  <c r="D53" i="9"/>
  <c r="E22" i="9"/>
  <c r="I26" i="9"/>
  <c r="F31" i="9"/>
  <c r="J35" i="9"/>
  <c r="E36" i="9"/>
  <c r="P36" i="9"/>
  <c r="K49" i="9"/>
  <c r="P49" i="9"/>
  <c r="F49" i="9"/>
  <c r="J49" i="9"/>
  <c r="N16" i="9"/>
  <c r="D16" i="9"/>
  <c r="J17" i="9"/>
  <c r="L17" i="9" s="1"/>
  <c r="E18" i="9"/>
  <c r="P18" i="9"/>
  <c r="K19" i="9"/>
  <c r="F20" i="9"/>
  <c r="I24" i="9"/>
  <c r="D25" i="9"/>
  <c r="J26" i="9"/>
  <c r="L26" i="9" s="1"/>
  <c r="D49" i="9"/>
  <c r="N53" i="9"/>
  <c r="P54" i="9"/>
  <c r="O58" i="9"/>
  <c r="Q58" i="9" s="1"/>
  <c r="E58" i="9"/>
  <c r="J58" i="9"/>
  <c r="I58" i="9"/>
  <c r="D58" i="9"/>
  <c r="N12" i="9"/>
  <c r="P14" i="9"/>
  <c r="F14" i="9"/>
  <c r="N14" i="9"/>
  <c r="I15" i="9"/>
  <c r="E16" i="9"/>
  <c r="P16" i="9"/>
  <c r="Q16" i="9" s="1"/>
  <c r="F18" i="9"/>
  <c r="I22" i="9"/>
  <c r="D23" i="9"/>
  <c r="O23" i="9"/>
  <c r="J24" i="9"/>
  <c r="E25" i="9"/>
  <c r="N28" i="9"/>
  <c r="P30" i="9"/>
  <c r="Q30" i="9" s="1"/>
  <c r="F30" i="9"/>
  <c r="N30" i="9"/>
  <c r="I31" i="9"/>
  <c r="E32" i="9"/>
  <c r="P32" i="9"/>
  <c r="F34" i="9"/>
  <c r="N38" i="9"/>
  <c r="O39" i="9"/>
  <c r="N41" i="9"/>
  <c r="P42" i="9"/>
  <c r="J46" i="9"/>
  <c r="O46" i="9"/>
  <c r="E46" i="9"/>
  <c r="I46" i="9"/>
  <c r="D46" i="9"/>
  <c r="J47" i="9"/>
  <c r="E49" i="9"/>
  <c r="P51" i="9"/>
  <c r="O53" i="9"/>
  <c r="N55" i="9"/>
  <c r="D55" i="9"/>
  <c r="I55" i="9"/>
  <c r="F55" i="9"/>
  <c r="E55" i="9"/>
  <c r="O55" i="9"/>
  <c r="K57" i="9"/>
  <c r="P57" i="9"/>
  <c r="Q57" i="9" s="1"/>
  <c r="F57" i="9"/>
  <c r="J57" i="9"/>
  <c r="F58" i="9"/>
  <c r="K59" i="9"/>
  <c r="L59" i="9" s="1"/>
  <c r="L64" i="9"/>
  <c r="L68" i="9"/>
  <c r="L72" i="9"/>
  <c r="L76" i="9"/>
  <c r="L80" i="9"/>
  <c r="L69" i="9"/>
  <c r="L73" i="9"/>
  <c r="L77" i="9"/>
  <c r="L81" i="9"/>
  <c r="G63" i="9"/>
  <c r="G67" i="9"/>
  <c r="G71" i="9"/>
  <c r="G75" i="9"/>
  <c r="G79" i="9"/>
  <c r="U26" i="11"/>
  <c r="T26" i="11"/>
  <c r="R26" i="11"/>
  <c r="P26" i="11"/>
  <c r="M26" i="11"/>
  <c r="K26" i="11"/>
  <c r="J26" i="11"/>
  <c r="H26" i="11"/>
  <c r="F26" i="11"/>
  <c r="E26" i="11"/>
  <c r="D26" i="11"/>
  <c r="B26" i="11"/>
  <c r="B8" i="11"/>
  <c r="Q13" i="9" l="1"/>
  <c r="G28" i="9"/>
  <c r="Q28" i="9"/>
  <c r="G29" i="9"/>
  <c r="L52" i="9"/>
  <c r="G13" i="9"/>
  <c r="G21" i="9"/>
  <c r="G52" i="9"/>
  <c r="L54" i="9"/>
  <c r="Q49" i="9"/>
  <c r="Q55" i="9"/>
  <c r="L37" i="9"/>
  <c r="Q26" i="9"/>
  <c r="Q12" i="9"/>
  <c r="G44" i="9"/>
  <c r="L14" i="9"/>
  <c r="L58" i="9"/>
  <c r="L50" i="9"/>
  <c r="Q18" i="9"/>
  <c r="Q56" i="9"/>
  <c r="L44" i="9"/>
  <c r="L29" i="9"/>
  <c r="G12" i="9"/>
  <c r="L40" i="9"/>
  <c r="G23" i="9"/>
  <c r="G25" i="9"/>
  <c r="L12" i="9"/>
  <c r="L28" i="9"/>
  <c r="L30" i="9"/>
  <c r="L27" i="9"/>
  <c r="Q40" i="9"/>
  <c r="Q17" i="9"/>
  <c r="Q23" i="9"/>
  <c r="G32" i="9"/>
  <c r="G37" i="9"/>
  <c r="G56" i="9"/>
  <c r="G60" i="9"/>
  <c r="G54" i="9"/>
  <c r="Q46" i="9"/>
  <c r="Q34" i="9"/>
  <c r="Q33" i="9"/>
  <c r="G45" i="9"/>
  <c r="L16" i="9"/>
  <c r="G16" i="9"/>
  <c r="G34" i="9"/>
  <c r="G26" i="9"/>
  <c r="G46" i="9"/>
  <c r="L47" i="9"/>
  <c r="L45" i="9"/>
  <c r="L25" i="9"/>
  <c r="L46" i="9"/>
  <c r="Q48" i="9"/>
  <c r="Q14" i="9"/>
  <c r="G40" i="9"/>
  <c r="G57" i="9"/>
  <c r="G17" i="9"/>
  <c r="G30" i="9"/>
  <c r="G50" i="9"/>
  <c r="G33" i="9"/>
  <c r="G14" i="9"/>
  <c r="G59" i="9"/>
  <c r="G51" i="9"/>
  <c r="G55" i="9"/>
  <c r="Q39" i="9"/>
  <c r="G39" i="9"/>
  <c r="G58" i="9"/>
  <c r="G22" i="9"/>
  <c r="G41" i="9"/>
  <c r="G31" i="9"/>
  <c r="G18" i="9"/>
  <c r="G47" i="9"/>
  <c r="G36" i="9"/>
  <c r="G27" i="9"/>
  <c r="G24" i="9"/>
  <c r="L39" i="9"/>
  <c r="Q35" i="9"/>
  <c r="Q15" i="9"/>
  <c r="L36" i="9"/>
  <c r="L24" i="9"/>
  <c r="L42" i="9"/>
  <c r="L20" i="9"/>
  <c r="L57" i="9"/>
  <c r="L41" i="9"/>
  <c r="Q43" i="9"/>
  <c r="Q31" i="9"/>
  <c r="Q45" i="9"/>
  <c r="Q32" i="9"/>
  <c r="Q53" i="9"/>
  <c r="Q19" i="9"/>
  <c r="Q20" i="9"/>
  <c r="Q51" i="9"/>
  <c r="G43" i="9"/>
  <c r="Q36" i="9"/>
  <c r="G38" i="9"/>
  <c r="G49" i="9"/>
  <c r="L35" i="9"/>
  <c r="G42" i="9"/>
  <c r="Q24" i="9"/>
  <c r="L53" i="9"/>
  <c r="G20" i="9"/>
  <c r="G15" i="9"/>
  <c r="L38" i="9"/>
  <c r="Q41" i="9"/>
  <c r="Q54" i="9"/>
  <c r="Q42" i="9"/>
  <c r="L49" i="9"/>
  <c r="L19" i="9"/>
  <c r="L22" i="9"/>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5"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2" i="8"/>
  <c r="B81" i="8"/>
  <c r="B80" i="8"/>
  <c r="B79" i="8"/>
  <c r="B78" i="8"/>
  <c r="B77" i="8"/>
  <c r="B76" i="8"/>
  <c r="B75" i="8"/>
  <c r="B74" i="8"/>
  <c r="B73" i="8"/>
  <c r="B72" i="8"/>
  <c r="B71" i="8"/>
  <c r="B70" i="8"/>
  <c r="B69" i="8"/>
  <c r="B68" i="8"/>
  <c r="B67" i="8"/>
  <c r="B66" i="8"/>
  <c r="B65" i="8"/>
  <c r="B64" i="8"/>
  <c r="B63" i="8"/>
  <c r="B62" i="8"/>
  <c r="B60" i="8"/>
  <c r="B59" i="8"/>
  <c r="B58" i="8"/>
  <c r="B57" i="8"/>
  <c r="B56" i="8"/>
  <c r="B55" i="8"/>
  <c r="B53" i="8"/>
  <c r="B52" i="8"/>
  <c r="B51" i="8"/>
  <c r="B50" i="8"/>
  <c r="B49" i="8"/>
  <c r="B48" i="8"/>
  <c r="B47" i="8"/>
  <c r="B45" i="8"/>
  <c r="B43" i="8"/>
  <c r="B41" i="8"/>
  <c r="B40" i="8"/>
  <c r="B38" i="8"/>
  <c r="B37" i="8"/>
  <c r="B36" i="8"/>
  <c r="B35" i="8"/>
  <c r="B33" i="8"/>
  <c r="B31" i="8"/>
  <c r="B30" i="8"/>
  <c r="B29" i="8"/>
  <c r="B27" i="8"/>
  <c r="B26" i="8"/>
  <c r="B24" i="8"/>
  <c r="B23" i="8"/>
  <c r="B22" i="8"/>
  <c r="B21" i="8"/>
  <c r="B19" i="8"/>
  <c r="B17" i="8"/>
  <c r="B15" i="8"/>
  <c r="B14" i="8"/>
  <c r="B13" i="8"/>
  <c r="B11" i="8"/>
  <c r="R9" i="8"/>
  <c r="S1252" i="5"/>
  <c r="Q1252" i="5"/>
  <c r="P1252" i="5"/>
  <c r="S1251" i="5"/>
  <c r="Q1251" i="5"/>
  <c r="P1251" i="5"/>
  <c r="S1250" i="5"/>
  <c r="Q1250" i="5"/>
  <c r="P1250" i="5"/>
  <c r="S1249" i="5"/>
  <c r="Q1249" i="5"/>
  <c r="P1249" i="5"/>
  <c r="S1248" i="5"/>
  <c r="Q1248" i="5"/>
  <c r="P1248" i="5"/>
  <c r="S1247" i="5"/>
  <c r="Q1247" i="5"/>
  <c r="P1247" i="5"/>
  <c r="S1246" i="5"/>
  <c r="Q1246" i="5"/>
  <c r="P1246" i="5"/>
  <c r="S1245" i="5"/>
  <c r="Q1245" i="5"/>
  <c r="P1245" i="5"/>
  <c r="S1244" i="5"/>
  <c r="Q1244" i="5"/>
  <c r="P1244" i="5"/>
  <c r="S1243" i="5"/>
  <c r="Q1243" i="5"/>
  <c r="P1243" i="5"/>
  <c r="S1242" i="5"/>
  <c r="Q1242" i="5"/>
  <c r="P1242" i="5"/>
  <c r="S1241" i="5"/>
  <c r="Q1241" i="5"/>
  <c r="P1241" i="5"/>
  <c r="S1240" i="5"/>
  <c r="Q1240" i="5"/>
  <c r="P1240" i="5"/>
  <c r="S1239" i="5"/>
  <c r="Q1239" i="5"/>
  <c r="P1239" i="5"/>
  <c r="S1238" i="5"/>
  <c r="Q1238" i="5"/>
  <c r="P1238" i="5"/>
  <c r="S1237" i="5"/>
  <c r="Q1237" i="5"/>
  <c r="P1237" i="5"/>
  <c r="S1236" i="5"/>
  <c r="Q1236" i="5"/>
  <c r="P1236" i="5"/>
  <c r="S1235" i="5"/>
  <c r="Q1235" i="5"/>
  <c r="P1235" i="5"/>
  <c r="S1234" i="5"/>
  <c r="Q1234" i="5"/>
  <c r="P1234" i="5"/>
  <c r="S1233" i="5"/>
  <c r="Q1233" i="5"/>
  <c r="P1233" i="5"/>
  <c r="S1232" i="5"/>
  <c r="Q1232" i="5"/>
  <c r="P1232" i="5"/>
  <c r="S1231" i="5"/>
  <c r="Q1231" i="5"/>
  <c r="P1231" i="5"/>
  <c r="S1230" i="5"/>
  <c r="Q1230" i="5"/>
  <c r="P1230" i="5"/>
  <c r="S1229" i="5"/>
  <c r="Q1229" i="5"/>
  <c r="P1229" i="5"/>
  <c r="S1228" i="5"/>
  <c r="Q1228" i="5"/>
  <c r="P1228" i="5"/>
  <c r="S1227" i="5"/>
  <c r="Q1227" i="5"/>
  <c r="P1227" i="5"/>
  <c r="S1226" i="5"/>
  <c r="Q1226" i="5"/>
  <c r="P1226" i="5"/>
  <c r="S1225" i="5"/>
  <c r="Q1225" i="5"/>
  <c r="P1225" i="5"/>
  <c r="S1224" i="5"/>
  <c r="Q1224" i="5"/>
  <c r="P1224" i="5"/>
  <c r="S1223" i="5"/>
  <c r="Q1223" i="5"/>
  <c r="P1223" i="5"/>
  <c r="S1222" i="5"/>
  <c r="Q1222" i="5"/>
  <c r="P1222" i="5"/>
  <c r="S1221" i="5"/>
  <c r="Q1221" i="5"/>
  <c r="P1221" i="5"/>
  <c r="S1220" i="5"/>
  <c r="Q1220" i="5"/>
  <c r="P1220" i="5"/>
  <c r="S1219" i="5"/>
  <c r="Q1219" i="5"/>
  <c r="P1219" i="5"/>
  <c r="S1218" i="5"/>
  <c r="Q1218" i="5"/>
  <c r="P1218" i="5"/>
  <c r="S1217" i="5"/>
  <c r="Q1217" i="5"/>
  <c r="P1217" i="5"/>
  <c r="S1216" i="5"/>
  <c r="Q1216" i="5"/>
  <c r="P1216" i="5"/>
  <c r="S1215" i="5"/>
  <c r="Q1215" i="5"/>
  <c r="P1215" i="5"/>
  <c r="S1214" i="5"/>
  <c r="Q1214" i="5"/>
  <c r="P1214" i="5"/>
  <c r="S1213" i="5"/>
  <c r="Q1213" i="5"/>
  <c r="P1213" i="5"/>
  <c r="S1212" i="5"/>
  <c r="Q1212" i="5"/>
  <c r="P1212" i="5"/>
  <c r="S1211" i="5"/>
  <c r="Q1211" i="5"/>
  <c r="P1211" i="5"/>
  <c r="S1210" i="5"/>
  <c r="Q1210" i="5"/>
  <c r="P1210" i="5"/>
  <c r="S1209" i="5"/>
  <c r="Q1209" i="5"/>
  <c r="P1209" i="5"/>
  <c r="S1208" i="5"/>
  <c r="Q1208" i="5"/>
  <c r="P1208" i="5"/>
  <c r="S1207" i="5"/>
  <c r="Q1207" i="5"/>
  <c r="P1207" i="5"/>
  <c r="S1206" i="5"/>
  <c r="Q1206" i="5"/>
  <c r="P1206" i="5"/>
  <c r="S1205" i="5"/>
  <c r="Q1205" i="5"/>
  <c r="P1205" i="5"/>
  <c r="S1204" i="5"/>
  <c r="Q1204" i="5"/>
  <c r="P1204" i="5"/>
  <c r="S1203" i="5"/>
  <c r="Q1203" i="5"/>
  <c r="P1203" i="5"/>
  <c r="S1202" i="5"/>
  <c r="Q1202" i="5"/>
  <c r="P1202" i="5"/>
  <c r="S1201" i="5"/>
  <c r="Q1201" i="5"/>
  <c r="P1201" i="5"/>
  <c r="S1200" i="5"/>
  <c r="Q1200" i="5"/>
  <c r="P1200" i="5"/>
  <c r="S1199" i="5"/>
  <c r="Q1199" i="5"/>
  <c r="P1199" i="5"/>
  <c r="S1198" i="5"/>
  <c r="Q1198" i="5"/>
  <c r="P1198" i="5"/>
  <c r="S1197" i="5"/>
  <c r="Q1197" i="5"/>
  <c r="P1197" i="5"/>
  <c r="S1196" i="5"/>
  <c r="Q1196" i="5"/>
  <c r="P1196" i="5"/>
  <c r="S1195" i="5"/>
  <c r="Q1195" i="5"/>
  <c r="P1195" i="5"/>
  <c r="S1194" i="5"/>
  <c r="Q1194" i="5"/>
  <c r="P1194" i="5"/>
  <c r="S1193" i="5"/>
  <c r="Q1193" i="5"/>
  <c r="P1193" i="5"/>
  <c r="S1192" i="5"/>
  <c r="Q1192" i="5"/>
  <c r="P1192" i="5"/>
  <c r="S1191" i="5"/>
  <c r="Q1191" i="5"/>
  <c r="P1191" i="5"/>
  <c r="S1190" i="5"/>
  <c r="Q1190" i="5"/>
  <c r="P1190" i="5"/>
  <c r="S1189" i="5"/>
  <c r="Q1189" i="5"/>
  <c r="P1189" i="5"/>
  <c r="S1188" i="5"/>
  <c r="Q1188" i="5"/>
  <c r="P1188" i="5"/>
  <c r="S1187" i="5"/>
  <c r="Q1187" i="5"/>
  <c r="P1187" i="5"/>
  <c r="S1186" i="5"/>
  <c r="Q1186" i="5"/>
  <c r="P1186" i="5"/>
  <c r="S1185" i="5"/>
  <c r="Q1185" i="5"/>
  <c r="P1185" i="5"/>
  <c r="S1184" i="5"/>
  <c r="Q1184" i="5"/>
  <c r="P1184" i="5"/>
  <c r="S1183" i="5"/>
  <c r="Q1183" i="5"/>
  <c r="P1183" i="5"/>
  <c r="S1182" i="5"/>
  <c r="Q1182" i="5"/>
  <c r="P1182" i="5"/>
  <c r="S1181" i="5"/>
  <c r="Q1181" i="5"/>
  <c r="P1181" i="5"/>
  <c r="S1180" i="5"/>
  <c r="Q1180" i="5"/>
  <c r="P1180" i="5"/>
  <c r="S1179" i="5"/>
  <c r="Q1179" i="5"/>
  <c r="P1179" i="5"/>
  <c r="S1178" i="5"/>
  <c r="Q1178" i="5"/>
  <c r="P1178" i="5"/>
  <c r="S1177" i="5"/>
  <c r="Q1177" i="5"/>
  <c r="P1177" i="5"/>
  <c r="S1176" i="5"/>
  <c r="Q1176" i="5"/>
  <c r="P1176" i="5"/>
  <c r="S1175" i="5"/>
  <c r="Q1175" i="5"/>
  <c r="P1175" i="5"/>
  <c r="S1174" i="5"/>
  <c r="Q1174" i="5"/>
  <c r="P1174" i="5"/>
  <c r="S1173" i="5"/>
  <c r="Q1173" i="5"/>
  <c r="P1173" i="5"/>
  <c r="S1172" i="5"/>
  <c r="Q1172" i="5"/>
  <c r="P1172" i="5"/>
  <c r="S1171" i="5"/>
  <c r="Q1171" i="5"/>
  <c r="P1171" i="5"/>
  <c r="S1170" i="5"/>
  <c r="Q1170" i="5"/>
  <c r="P1170" i="5"/>
  <c r="S1169" i="5"/>
  <c r="Q1169" i="5"/>
  <c r="P1169" i="5"/>
  <c r="S1168" i="5"/>
  <c r="Q1168" i="5"/>
  <c r="P1168" i="5"/>
  <c r="S1167" i="5"/>
  <c r="Q1167" i="5"/>
  <c r="P1167" i="5"/>
  <c r="S1166" i="5"/>
  <c r="Q1166" i="5"/>
  <c r="P1166" i="5"/>
  <c r="S1165" i="5"/>
  <c r="Q1165" i="5"/>
  <c r="P1165" i="5"/>
  <c r="S1164" i="5"/>
  <c r="Q1164" i="5"/>
  <c r="P1164" i="5"/>
  <c r="S1163" i="5"/>
  <c r="Q1163" i="5"/>
  <c r="P1163" i="5"/>
  <c r="S1162" i="5"/>
  <c r="Q1162" i="5"/>
  <c r="P1162" i="5"/>
  <c r="S1161" i="5"/>
  <c r="Q1161" i="5"/>
  <c r="P1161" i="5"/>
  <c r="S1160" i="5"/>
  <c r="Q1160" i="5"/>
  <c r="P1160" i="5"/>
  <c r="S1159" i="5"/>
  <c r="Q1159" i="5"/>
  <c r="P1159" i="5"/>
  <c r="S1158" i="5"/>
  <c r="Q1158" i="5"/>
  <c r="P1158" i="5"/>
  <c r="S1157" i="5"/>
  <c r="Q1157" i="5"/>
  <c r="P1157" i="5"/>
  <c r="S1156" i="5"/>
  <c r="Q1156" i="5"/>
  <c r="P1156" i="5"/>
  <c r="S1155" i="5"/>
  <c r="Q1155" i="5"/>
  <c r="P1155" i="5"/>
  <c r="S1154" i="5"/>
  <c r="Q1154" i="5"/>
  <c r="P1154" i="5"/>
  <c r="S1153" i="5"/>
  <c r="Q1153" i="5"/>
  <c r="P1153" i="5"/>
  <c r="S1152" i="5"/>
  <c r="Q1152" i="5"/>
  <c r="P1152" i="5"/>
  <c r="S1151" i="5"/>
  <c r="Q1151" i="5"/>
  <c r="P1151" i="5"/>
  <c r="S1150" i="5"/>
  <c r="Q1150" i="5"/>
  <c r="P1150" i="5"/>
  <c r="S1149" i="5"/>
  <c r="Q1149" i="5"/>
  <c r="P1149" i="5"/>
  <c r="S1148" i="5"/>
  <c r="Q1148" i="5"/>
  <c r="P1148" i="5"/>
  <c r="S1147" i="5"/>
  <c r="Q1147" i="5"/>
  <c r="P1147" i="5"/>
  <c r="S1146" i="5"/>
  <c r="Q1146" i="5"/>
  <c r="P1146" i="5"/>
  <c r="S1145" i="5"/>
  <c r="Q1145" i="5"/>
  <c r="P1145" i="5"/>
  <c r="S1144" i="5"/>
  <c r="Q1144" i="5"/>
  <c r="P1144" i="5"/>
  <c r="S1143" i="5"/>
  <c r="Q1143" i="5"/>
  <c r="P1143" i="5"/>
  <c r="S1142" i="5"/>
  <c r="Q1142" i="5"/>
  <c r="P1142" i="5"/>
  <c r="S1141" i="5"/>
  <c r="Q1141" i="5"/>
  <c r="P1141" i="5"/>
  <c r="S1140" i="5"/>
  <c r="Q1140" i="5"/>
  <c r="P1140" i="5"/>
  <c r="S1139" i="5"/>
  <c r="Q1139" i="5"/>
  <c r="P1139" i="5"/>
  <c r="S1138" i="5"/>
  <c r="Q1138" i="5"/>
  <c r="P1138" i="5"/>
  <c r="S1137" i="5"/>
  <c r="Q1137" i="5"/>
  <c r="P1137" i="5"/>
  <c r="S1136" i="5"/>
  <c r="Q1136" i="5"/>
  <c r="P1136" i="5"/>
  <c r="S1135" i="5"/>
  <c r="Q1135" i="5"/>
  <c r="P1135" i="5"/>
  <c r="S1134" i="5"/>
  <c r="Q1134" i="5"/>
  <c r="P1134" i="5"/>
  <c r="S1133" i="5"/>
  <c r="Q1133" i="5"/>
  <c r="P1133" i="5"/>
  <c r="S1132" i="5"/>
  <c r="Q1132" i="5"/>
  <c r="P1132" i="5"/>
  <c r="S1131" i="5"/>
  <c r="Q1131" i="5"/>
  <c r="P1131" i="5"/>
  <c r="S1130" i="5"/>
  <c r="Q1130" i="5"/>
  <c r="P1130" i="5"/>
  <c r="S1129" i="5"/>
  <c r="Q1129" i="5"/>
  <c r="P1129" i="5"/>
  <c r="S1128" i="5"/>
  <c r="Q1128" i="5"/>
  <c r="P1128" i="5"/>
  <c r="S1127" i="5"/>
  <c r="Q1127" i="5"/>
  <c r="P1127" i="5"/>
  <c r="S1126" i="5"/>
  <c r="Q1126" i="5"/>
  <c r="P1126" i="5"/>
  <c r="S1125" i="5"/>
  <c r="Q1125" i="5"/>
  <c r="P1125" i="5"/>
  <c r="S1124" i="5"/>
  <c r="Q1124" i="5"/>
  <c r="P1124" i="5"/>
  <c r="S1123" i="5"/>
  <c r="Q1123" i="5"/>
  <c r="P1123" i="5"/>
  <c r="S1122" i="5"/>
  <c r="Q1122" i="5"/>
  <c r="P1122" i="5"/>
  <c r="S1121" i="5"/>
  <c r="Q1121" i="5"/>
  <c r="P1121" i="5"/>
  <c r="S1120" i="5"/>
  <c r="Q1120" i="5"/>
  <c r="P1120" i="5"/>
  <c r="S1119" i="5"/>
  <c r="Q1119" i="5"/>
  <c r="P1119" i="5"/>
  <c r="S1118" i="5"/>
  <c r="Q1118" i="5"/>
  <c r="P1118" i="5"/>
  <c r="S1117" i="5"/>
  <c r="Q1117" i="5"/>
  <c r="P1117" i="5"/>
  <c r="S1116" i="5"/>
  <c r="Q1116" i="5"/>
  <c r="P1116" i="5"/>
  <c r="S1115" i="5"/>
  <c r="Q1115" i="5"/>
  <c r="P1115" i="5"/>
  <c r="S1114" i="5"/>
  <c r="Q1114" i="5"/>
  <c r="P1114" i="5"/>
  <c r="S1113" i="5"/>
  <c r="Q1113" i="5"/>
  <c r="P1113" i="5"/>
  <c r="S1112" i="5"/>
  <c r="Q1112" i="5"/>
  <c r="P1112" i="5"/>
  <c r="S1111" i="5"/>
  <c r="Q1111" i="5"/>
  <c r="P1111" i="5"/>
  <c r="S1110" i="5"/>
  <c r="Q1110" i="5"/>
  <c r="P1110" i="5"/>
  <c r="S1109" i="5"/>
  <c r="Q1109" i="5"/>
  <c r="P1109" i="5"/>
  <c r="S1108" i="5"/>
  <c r="Q1108" i="5"/>
  <c r="P1108" i="5"/>
  <c r="S1107" i="5"/>
  <c r="Q1107" i="5"/>
  <c r="P1107" i="5"/>
  <c r="S1106" i="5"/>
  <c r="Q1106" i="5"/>
  <c r="P1106" i="5"/>
  <c r="S1105" i="5"/>
  <c r="Q1105" i="5"/>
  <c r="P1105" i="5"/>
  <c r="S1104" i="5"/>
  <c r="Q1104" i="5"/>
  <c r="P1104" i="5"/>
  <c r="S1103" i="5"/>
  <c r="Q1103" i="5"/>
  <c r="P1103" i="5"/>
  <c r="S1102" i="5"/>
  <c r="Q1102" i="5"/>
  <c r="P1102" i="5"/>
  <c r="S1101" i="5"/>
  <c r="Q1101" i="5"/>
  <c r="P1101" i="5"/>
  <c r="S1100" i="5"/>
  <c r="Q1100" i="5"/>
  <c r="P1100" i="5"/>
  <c r="S1099" i="5"/>
  <c r="Q1099" i="5"/>
  <c r="P1099" i="5"/>
  <c r="S1098" i="5"/>
  <c r="Q1098" i="5"/>
  <c r="P1098" i="5"/>
  <c r="S1097" i="5"/>
  <c r="Q1097" i="5"/>
  <c r="P1097" i="5"/>
  <c r="S1096" i="5"/>
  <c r="Q1096" i="5"/>
  <c r="P1096" i="5"/>
  <c r="S1095" i="5"/>
  <c r="Q1095" i="5"/>
  <c r="P1095" i="5"/>
  <c r="S1094" i="5"/>
  <c r="Q1094" i="5"/>
  <c r="P1094" i="5"/>
  <c r="S1093" i="5"/>
  <c r="Q1093" i="5"/>
  <c r="P1093" i="5"/>
  <c r="S1092" i="5"/>
  <c r="Q1092" i="5"/>
  <c r="P1092" i="5"/>
  <c r="S1091" i="5"/>
  <c r="Q1091" i="5"/>
  <c r="P1091" i="5"/>
  <c r="S1090" i="5"/>
  <c r="Q1090" i="5"/>
  <c r="P1090" i="5"/>
  <c r="S1089" i="5"/>
  <c r="Q1089" i="5"/>
  <c r="P1089" i="5"/>
  <c r="S1088" i="5"/>
  <c r="Q1088" i="5"/>
  <c r="P1088" i="5"/>
  <c r="S1087" i="5"/>
  <c r="Q1087" i="5"/>
  <c r="P1087" i="5"/>
  <c r="S1086" i="5"/>
  <c r="Q1086" i="5"/>
  <c r="P1086" i="5"/>
  <c r="S1085" i="5"/>
  <c r="Q1085" i="5"/>
  <c r="P1085" i="5"/>
  <c r="S1084" i="5"/>
  <c r="Q1084" i="5"/>
  <c r="P1084" i="5"/>
  <c r="S1083" i="5"/>
  <c r="Q1083" i="5"/>
  <c r="P1083" i="5"/>
  <c r="S1082" i="5"/>
  <c r="Q1082" i="5"/>
  <c r="P1082" i="5"/>
  <c r="S1081" i="5"/>
  <c r="Q1081" i="5"/>
  <c r="P1081" i="5"/>
  <c r="S1080" i="5"/>
  <c r="Q1080" i="5"/>
  <c r="P1080" i="5"/>
  <c r="S1079" i="5"/>
  <c r="Q1079" i="5"/>
  <c r="P1079" i="5"/>
  <c r="S1078" i="5"/>
  <c r="Q1078" i="5"/>
  <c r="P1078" i="5"/>
  <c r="S1077" i="5"/>
  <c r="Q1077" i="5"/>
  <c r="P1077" i="5"/>
  <c r="S1076" i="5"/>
  <c r="Q1076" i="5"/>
  <c r="P1076" i="5"/>
  <c r="S1075" i="5"/>
  <c r="Q1075" i="5"/>
  <c r="P1075" i="5"/>
  <c r="S1074" i="5"/>
  <c r="Q1074" i="5"/>
  <c r="P1074" i="5"/>
  <c r="S1073" i="5"/>
  <c r="Q1073" i="5"/>
  <c r="P1073" i="5"/>
  <c r="S1072" i="5"/>
  <c r="Q1072" i="5"/>
  <c r="P1072" i="5"/>
  <c r="S1071" i="5"/>
  <c r="Q1071" i="5"/>
  <c r="P1071" i="5"/>
  <c r="S1070" i="5"/>
  <c r="Q1070" i="5"/>
  <c r="P1070" i="5"/>
  <c r="S1069" i="5"/>
  <c r="Q1069" i="5"/>
  <c r="P1069" i="5"/>
  <c r="S1068" i="5"/>
  <c r="Q1068" i="5"/>
  <c r="P1068" i="5"/>
  <c r="S1067" i="5"/>
  <c r="Q1067" i="5"/>
  <c r="P1067" i="5"/>
  <c r="S1066" i="5"/>
  <c r="Q1066" i="5"/>
  <c r="P1066" i="5"/>
  <c r="S1065" i="5"/>
  <c r="Q1065" i="5"/>
  <c r="P1065" i="5"/>
  <c r="S1064" i="5"/>
  <c r="Q1064" i="5"/>
  <c r="P1064" i="5"/>
  <c r="S1063" i="5"/>
  <c r="Q1063" i="5"/>
  <c r="P1063" i="5"/>
  <c r="S1062" i="5"/>
  <c r="Q1062" i="5"/>
  <c r="P1062" i="5"/>
  <c r="S1061" i="5"/>
  <c r="Q1061" i="5"/>
  <c r="P1061" i="5"/>
  <c r="S1060" i="5"/>
  <c r="Q1060" i="5"/>
  <c r="P1060" i="5"/>
  <c r="S1059" i="5"/>
  <c r="Q1059" i="5"/>
  <c r="P1059" i="5"/>
  <c r="S1058" i="5"/>
  <c r="Q1058" i="5"/>
  <c r="P1058" i="5"/>
  <c r="S1057" i="5"/>
  <c r="Q1057" i="5"/>
  <c r="P1057" i="5"/>
  <c r="S1056" i="5"/>
  <c r="Q1056" i="5"/>
  <c r="P1056" i="5"/>
  <c r="S1055" i="5"/>
  <c r="Q1055" i="5"/>
  <c r="P1055" i="5"/>
  <c r="S1054" i="5"/>
  <c r="Q1054" i="5"/>
  <c r="P1054" i="5"/>
  <c r="S1053" i="5"/>
  <c r="Q1053" i="5"/>
  <c r="P1053" i="5"/>
  <c r="S1052" i="5"/>
  <c r="Q1052" i="5"/>
  <c r="P1052" i="5"/>
  <c r="S1051" i="5"/>
  <c r="Q1051" i="5"/>
  <c r="P1051" i="5"/>
  <c r="S1050" i="5"/>
  <c r="Q1050" i="5"/>
  <c r="P1050" i="5"/>
  <c r="S1049" i="5"/>
  <c r="Q1049" i="5"/>
  <c r="P1049" i="5"/>
  <c r="S1048" i="5"/>
  <c r="Q1048" i="5"/>
  <c r="P1048" i="5"/>
  <c r="S1047" i="5"/>
  <c r="Q1047" i="5"/>
  <c r="P1047" i="5"/>
  <c r="S1046" i="5"/>
  <c r="Q1046" i="5"/>
  <c r="P1046" i="5"/>
  <c r="S1045" i="5"/>
  <c r="Q1045" i="5"/>
  <c r="P1045" i="5"/>
  <c r="S1044" i="5"/>
  <c r="Q1044" i="5"/>
  <c r="P1044" i="5"/>
  <c r="S1043" i="5"/>
  <c r="Q1043" i="5"/>
  <c r="P1043" i="5"/>
  <c r="S1042" i="5"/>
  <c r="Q1042" i="5"/>
  <c r="P1042" i="5"/>
  <c r="S1041" i="5"/>
  <c r="Q1041" i="5"/>
  <c r="P1041" i="5"/>
  <c r="S1040" i="5"/>
  <c r="Q1040" i="5"/>
  <c r="P1040" i="5"/>
  <c r="S1039" i="5"/>
  <c r="Q1039" i="5"/>
  <c r="P1039" i="5"/>
  <c r="S1038" i="5"/>
  <c r="Q1038" i="5"/>
  <c r="P1038" i="5"/>
  <c r="S1037" i="5"/>
  <c r="Q1037" i="5"/>
  <c r="P1037" i="5"/>
  <c r="S1036" i="5"/>
  <c r="Q1036" i="5"/>
  <c r="P1036" i="5"/>
  <c r="S1035" i="5"/>
  <c r="Q1035" i="5"/>
  <c r="P1035" i="5"/>
  <c r="S1034" i="5"/>
  <c r="Q1034" i="5"/>
  <c r="P1034" i="5"/>
  <c r="S1033" i="5"/>
  <c r="Q1033" i="5"/>
  <c r="P1033" i="5"/>
  <c r="S1032" i="5"/>
  <c r="Q1032" i="5"/>
  <c r="P1032" i="5"/>
  <c r="S1031" i="5"/>
  <c r="Q1031" i="5"/>
  <c r="P1031" i="5"/>
  <c r="S1030" i="5"/>
  <c r="Q1030" i="5"/>
  <c r="P1030" i="5"/>
  <c r="S1029" i="5"/>
  <c r="Q1029" i="5"/>
  <c r="P1029" i="5"/>
  <c r="S1028" i="5"/>
  <c r="Q1028" i="5"/>
  <c r="P1028" i="5"/>
  <c r="S1027" i="5"/>
  <c r="Q1027" i="5"/>
  <c r="P1027" i="5"/>
  <c r="S1026" i="5"/>
  <c r="Q1026" i="5"/>
  <c r="P1026" i="5"/>
  <c r="S1025" i="5"/>
  <c r="Q1025" i="5"/>
  <c r="P1025" i="5"/>
  <c r="S1024" i="5"/>
  <c r="Q1024" i="5"/>
  <c r="P1024" i="5"/>
  <c r="S1023" i="5"/>
  <c r="Q1023" i="5"/>
  <c r="P1023" i="5"/>
  <c r="S1022" i="5"/>
  <c r="Q1022" i="5"/>
  <c r="P1022" i="5"/>
  <c r="S1021" i="5"/>
  <c r="Q1021" i="5"/>
  <c r="P1021" i="5"/>
  <c r="S1020" i="5"/>
  <c r="Q1020" i="5"/>
  <c r="P1020" i="5"/>
  <c r="S1019" i="5"/>
  <c r="Q1019" i="5"/>
  <c r="P1019" i="5"/>
  <c r="S1018" i="5"/>
  <c r="Q1018" i="5"/>
  <c r="P1018" i="5"/>
  <c r="S1017" i="5"/>
  <c r="Q1017" i="5"/>
  <c r="P1017" i="5"/>
  <c r="S1016" i="5"/>
  <c r="Q1016" i="5"/>
  <c r="P1016" i="5"/>
  <c r="S1015" i="5"/>
  <c r="Q1015" i="5"/>
  <c r="P1015" i="5"/>
  <c r="S1014" i="5"/>
  <c r="Q1014" i="5"/>
  <c r="P1014" i="5"/>
  <c r="S1013" i="5"/>
  <c r="Q1013" i="5"/>
  <c r="P1013" i="5"/>
  <c r="S1012" i="5"/>
  <c r="Q1012" i="5"/>
  <c r="P1012" i="5"/>
  <c r="S1011" i="5"/>
  <c r="Q1011" i="5"/>
  <c r="P1011" i="5"/>
  <c r="S1010" i="5"/>
  <c r="Q1010" i="5"/>
  <c r="P1010" i="5"/>
  <c r="S1009" i="5"/>
  <c r="Q1009" i="5"/>
  <c r="P1009" i="5"/>
  <c r="S1008" i="5"/>
  <c r="Q1008" i="5"/>
  <c r="P1008" i="5"/>
  <c r="S1007" i="5"/>
  <c r="Q1007" i="5"/>
  <c r="P1007" i="5"/>
  <c r="S1006" i="5"/>
  <c r="Q1006" i="5"/>
  <c r="P1006" i="5"/>
  <c r="S1005" i="5"/>
  <c r="Q1005" i="5"/>
  <c r="P1005" i="5"/>
  <c r="S1004" i="5"/>
  <c r="Q1004" i="5"/>
  <c r="P1004" i="5"/>
  <c r="S1003" i="5"/>
  <c r="Q1003" i="5"/>
  <c r="P1003" i="5"/>
  <c r="S1002" i="5"/>
  <c r="Q1002" i="5"/>
  <c r="P1002" i="5"/>
  <c r="S1001" i="5"/>
  <c r="Q1001" i="5"/>
  <c r="P1001" i="5"/>
  <c r="S1000" i="5"/>
  <c r="Q1000" i="5"/>
  <c r="P1000" i="5"/>
  <c r="S999" i="5"/>
  <c r="Q999" i="5"/>
  <c r="P999" i="5"/>
  <c r="S998" i="5"/>
  <c r="Q998" i="5"/>
  <c r="P998" i="5"/>
  <c r="S997" i="5"/>
  <c r="Q997" i="5"/>
  <c r="P997" i="5"/>
  <c r="S996" i="5"/>
  <c r="Q996" i="5"/>
  <c r="P996" i="5"/>
  <c r="S995" i="5"/>
  <c r="Q995" i="5"/>
  <c r="P995" i="5"/>
  <c r="S994" i="5"/>
  <c r="Q994" i="5"/>
  <c r="P994" i="5"/>
  <c r="S993" i="5"/>
  <c r="Q993" i="5"/>
  <c r="P993" i="5"/>
  <c r="S992" i="5"/>
  <c r="Q992" i="5"/>
  <c r="P992" i="5"/>
  <c r="S991" i="5"/>
  <c r="Q991" i="5"/>
  <c r="P991" i="5"/>
  <c r="S990" i="5"/>
  <c r="Q990" i="5"/>
  <c r="P990" i="5"/>
  <c r="S989" i="5"/>
  <c r="Q989" i="5"/>
  <c r="P989" i="5"/>
  <c r="S988" i="5"/>
  <c r="Q988" i="5"/>
  <c r="P988" i="5"/>
  <c r="S987" i="5"/>
  <c r="Q987" i="5"/>
  <c r="P987" i="5"/>
  <c r="S986" i="5"/>
  <c r="Q986" i="5"/>
  <c r="P986" i="5"/>
  <c r="S985" i="5"/>
  <c r="Q985" i="5"/>
  <c r="P985" i="5"/>
  <c r="S984" i="5"/>
  <c r="Q984" i="5"/>
  <c r="P984" i="5"/>
  <c r="S983" i="5"/>
  <c r="Q983" i="5"/>
  <c r="P983" i="5"/>
  <c r="S982" i="5"/>
  <c r="Q982" i="5"/>
  <c r="P982" i="5"/>
  <c r="S981" i="5"/>
  <c r="Q981" i="5"/>
  <c r="P981" i="5"/>
  <c r="S980" i="5"/>
  <c r="Q980" i="5"/>
  <c r="P980" i="5"/>
  <c r="S979" i="5"/>
  <c r="Q979" i="5"/>
  <c r="P979" i="5"/>
  <c r="S978" i="5"/>
  <c r="Q978" i="5"/>
  <c r="P978" i="5"/>
  <c r="S977" i="5"/>
  <c r="Q977" i="5"/>
  <c r="P977" i="5"/>
  <c r="S976" i="5"/>
  <c r="Q976" i="5"/>
  <c r="P976" i="5"/>
  <c r="S975" i="5"/>
  <c r="Q975" i="5"/>
  <c r="P975" i="5"/>
  <c r="S974" i="5"/>
  <c r="Q974" i="5"/>
  <c r="P974" i="5"/>
  <c r="S973" i="5"/>
  <c r="Q973" i="5"/>
  <c r="P973" i="5"/>
  <c r="S972" i="5"/>
  <c r="Q972" i="5"/>
  <c r="P972" i="5"/>
  <c r="S971" i="5"/>
  <c r="Q971" i="5"/>
  <c r="P971" i="5"/>
  <c r="S970" i="5"/>
  <c r="Q970" i="5"/>
  <c r="P970" i="5"/>
  <c r="S969" i="5"/>
  <c r="Q969" i="5"/>
  <c r="P969" i="5"/>
  <c r="S968" i="5"/>
  <c r="Q968" i="5"/>
  <c r="P968" i="5"/>
  <c r="S967" i="5"/>
  <c r="Q967" i="5"/>
  <c r="P967" i="5"/>
  <c r="S966" i="5"/>
  <c r="Q966" i="5"/>
  <c r="P966" i="5"/>
  <c r="S965" i="5"/>
  <c r="Q965" i="5"/>
  <c r="P965" i="5"/>
  <c r="S964" i="5"/>
  <c r="Q964" i="5"/>
  <c r="P964" i="5"/>
  <c r="S963" i="5"/>
  <c r="Q963" i="5"/>
  <c r="P963" i="5"/>
  <c r="S962" i="5"/>
  <c r="Q962" i="5"/>
  <c r="P962" i="5"/>
  <c r="S961" i="5"/>
  <c r="Q961" i="5"/>
  <c r="P961" i="5"/>
  <c r="S960" i="5"/>
  <c r="Q960" i="5"/>
  <c r="P960" i="5"/>
  <c r="S959" i="5"/>
  <c r="Q959" i="5"/>
  <c r="P959" i="5"/>
  <c r="S958" i="5"/>
  <c r="Q958" i="5"/>
  <c r="P958" i="5"/>
  <c r="S957" i="5"/>
  <c r="Q957" i="5"/>
  <c r="P957" i="5"/>
  <c r="S956" i="5"/>
  <c r="Q956" i="5"/>
  <c r="P956" i="5"/>
  <c r="S955" i="5"/>
  <c r="Q955" i="5"/>
  <c r="P955" i="5"/>
  <c r="S954" i="5"/>
  <c r="Q954" i="5"/>
  <c r="P954" i="5"/>
  <c r="S953" i="5"/>
  <c r="Q953" i="5"/>
  <c r="P953" i="5"/>
  <c r="S952" i="5"/>
  <c r="Q952" i="5"/>
  <c r="P952" i="5"/>
  <c r="S951" i="5"/>
  <c r="Q951" i="5"/>
  <c r="P951" i="5"/>
  <c r="S950" i="5"/>
  <c r="Q950" i="5"/>
  <c r="P950" i="5"/>
  <c r="S949" i="5"/>
  <c r="Q949" i="5"/>
  <c r="P949" i="5"/>
  <c r="S948" i="5"/>
  <c r="Q948" i="5"/>
  <c r="P948" i="5"/>
  <c r="S947" i="5"/>
  <c r="Q947" i="5"/>
  <c r="P947" i="5"/>
  <c r="S946" i="5"/>
  <c r="Q946" i="5"/>
  <c r="P946" i="5"/>
  <c r="S945" i="5"/>
  <c r="Q945" i="5"/>
  <c r="P945" i="5"/>
  <c r="S944" i="5"/>
  <c r="Q944" i="5"/>
  <c r="P944" i="5"/>
  <c r="S943" i="5"/>
  <c r="Q943" i="5"/>
  <c r="P943" i="5"/>
  <c r="S942" i="5"/>
  <c r="Q942" i="5"/>
  <c r="P942" i="5"/>
  <c r="S941" i="5"/>
  <c r="Q941" i="5"/>
  <c r="P941" i="5"/>
  <c r="S940" i="5"/>
  <c r="Q940" i="5"/>
  <c r="P940" i="5"/>
  <c r="S939" i="5"/>
  <c r="Q939" i="5"/>
  <c r="P939" i="5"/>
  <c r="S938" i="5"/>
  <c r="Q938" i="5"/>
  <c r="P938" i="5"/>
  <c r="S937" i="5"/>
  <c r="Q937" i="5"/>
  <c r="P937" i="5"/>
  <c r="S936" i="5"/>
  <c r="Q936" i="5"/>
  <c r="P936" i="5"/>
  <c r="S935" i="5"/>
  <c r="Q935" i="5"/>
  <c r="P935" i="5"/>
  <c r="S934" i="5"/>
  <c r="Q934" i="5"/>
  <c r="P934" i="5"/>
  <c r="S933" i="5"/>
  <c r="Q933" i="5"/>
  <c r="P933" i="5"/>
  <c r="S932" i="5"/>
  <c r="Q932" i="5"/>
  <c r="P932" i="5"/>
  <c r="S931" i="5"/>
  <c r="Q931" i="5"/>
  <c r="P931" i="5"/>
  <c r="S930" i="5"/>
  <c r="Q930" i="5"/>
  <c r="P930" i="5"/>
  <c r="S929" i="5"/>
  <c r="Q929" i="5"/>
  <c r="P929" i="5"/>
  <c r="S928" i="5"/>
  <c r="Q928" i="5"/>
  <c r="P928" i="5"/>
  <c r="S927" i="5"/>
  <c r="Q927" i="5"/>
  <c r="P927" i="5"/>
  <c r="S926" i="5"/>
  <c r="Q926" i="5"/>
  <c r="P926" i="5"/>
  <c r="S925" i="5"/>
  <c r="Q925" i="5"/>
  <c r="P925" i="5"/>
  <c r="S924" i="5"/>
  <c r="Q924" i="5"/>
  <c r="P924" i="5"/>
  <c r="S923" i="5"/>
  <c r="Q923" i="5"/>
  <c r="P923" i="5"/>
  <c r="S922" i="5"/>
  <c r="Q922" i="5"/>
  <c r="P922" i="5"/>
  <c r="S921" i="5"/>
  <c r="Q921" i="5"/>
  <c r="P921" i="5"/>
  <c r="S920" i="5"/>
  <c r="Q920" i="5"/>
  <c r="P920" i="5"/>
  <c r="S919" i="5"/>
  <c r="Q919" i="5"/>
  <c r="P919" i="5"/>
  <c r="S918" i="5"/>
  <c r="Q918" i="5"/>
  <c r="P918" i="5"/>
  <c r="S917" i="5"/>
  <c r="Q917" i="5"/>
  <c r="P917" i="5"/>
  <c r="S916" i="5"/>
  <c r="Q916" i="5"/>
  <c r="P916" i="5"/>
  <c r="S915" i="5"/>
  <c r="Q915" i="5"/>
  <c r="P915" i="5"/>
  <c r="S914" i="5"/>
  <c r="Q914" i="5"/>
  <c r="P914" i="5"/>
  <c r="S913" i="5"/>
  <c r="Q913" i="5"/>
  <c r="P913" i="5"/>
  <c r="S912" i="5"/>
  <c r="Q912" i="5"/>
  <c r="P912" i="5"/>
  <c r="S911" i="5"/>
  <c r="Q911" i="5"/>
  <c r="P911" i="5"/>
  <c r="S910" i="5"/>
  <c r="Q910" i="5"/>
  <c r="P910" i="5"/>
  <c r="S909" i="5"/>
  <c r="Q909" i="5"/>
  <c r="P909" i="5"/>
  <c r="S908" i="5"/>
  <c r="Q908" i="5"/>
  <c r="P908" i="5"/>
  <c r="S907" i="5"/>
  <c r="Q907" i="5"/>
  <c r="P907" i="5"/>
  <c r="S906" i="5"/>
  <c r="Q906" i="5"/>
  <c r="P906" i="5"/>
  <c r="S905" i="5"/>
  <c r="Q905" i="5"/>
  <c r="P905" i="5"/>
  <c r="S904" i="5"/>
  <c r="Q904" i="5"/>
  <c r="P904" i="5"/>
  <c r="S903" i="5"/>
  <c r="Q903" i="5"/>
  <c r="P903" i="5"/>
  <c r="S902" i="5"/>
  <c r="Q902" i="5"/>
  <c r="P902" i="5"/>
  <c r="S901" i="5"/>
  <c r="Q901" i="5"/>
  <c r="P901" i="5"/>
  <c r="S900" i="5"/>
  <c r="Q900" i="5"/>
  <c r="P900" i="5"/>
  <c r="S899" i="5"/>
  <c r="Q899" i="5"/>
  <c r="P899" i="5"/>
  <c r="S898" i="5"/>
  <c r="Q898" i="5"/>
  <c r="P898" i="5"/>
  <c r="S897" i="5"/>
  <c r="Q897" i="5"/>
  <c r="P897" i="5"/>
  <c r="S896" i="5"/>
  <c r="Q896" i="5"/>
  <c r="P896" i="5"/>
  <c r="S895" i="5"/>
  <c r="Q895" i="5"/>
  <c r="P895" i="5"/>
  <c r="S894" i="5"/>
  <c r="Q894" i="5"/>
  <c r="P894" i="5"/>
  <c r="S893" i="5"/>
  <c r="Q893" i="5"/>
  <c r="P893" i="5"/>
  <c r="S892" i="5"/>
  <c r="Q892" i="5"/>
  <c r="P892" i="5"/>
  <c r="S891" i="5"/>
  <c r="Q891" i="5"/>
  <c r="P891" i="5"/>
  <c r="S890" i="5"/>
  <c r="Q890" i="5"/>
  <c r="P890" i="5"/>
  <c r="S889" i="5"/>
  <c r="Q889" i="5"/>
  <c r="P889" i="5"/>
  <c r="S888" i="5"/>
  <c r="Q888" i="5"/>
  <c r="P888" i="5"/>
  <c r="S887" i="5"/>
  <c r="Q887" i="5"/>
  <c r="P887" i="5"/>
  <c r="S886" i="5"/>
  <c r="Q886" i="5"/>
  <c r="P886" i="5"/>
  <c r="S885" i="5"/>
  <c r="Q885" i="5"/>
  <c r="P885" i="5"/>
  <c r="S884" i="5"/>
  <c r="Q884" i="5"/>
  <c r="P884" i="5"/>
  <c r="S883" i="5"/>
  <c r="Q883" i="5"/>
  <c r="P883" i="5"/>
  <c r="S882" i="5"/>
  <c r="Q882" i="5"/>
  <c r="P882" i="5"/>
  <c r="S881" i="5"/>
  <c r="Q881" i="5"/>
  <c r="P881" i="5"/>
  <c r="S880" i="5"/>
  <c r="Q880" i="5"/>
  <c r="P880" i="5"/>
  <c r="S879" i="5"/>
  <c r="Q879" i="5"/>
  <c r="P879" i="5"/>
  <c r="S878" i="5"/>
  <c r="Q878" i="5"/>
  <c r="P878" i="5"/>
  <c r="S877" i="5"/>
  <c r="Q877" i="5"/>
  <c r="P877" i="5"/>
  <c r="S876" i="5"/>
  <c r="Q876" i="5"/>
  <c r="P876" i="5"/>
  <c r="S875" i="5"/>
  <c r="Q875" i="5"/>
  <c r="P875" i="5"/>
  <c r="S874" i="5"/>
  <c r="Q874" i="5"/>
  <c r="P874" i="5"/>
  <c r="S873" i="5"/>
  <c r="Q873" i="5"/>
  <c r="P873" i="5"/>
  <c r="S872" i="5"/>
  <c r="Q872" i="5"/>
  <c r="P872" i="5"/>
  <c r="S871" i="5"/>
  <c r="Q871" i="5"/>
  <c r="P871" i="5"/>
  <c r="S870" i="5"/>
  <c r="Q870" i="5"/>
  <c r="P870" i="5"/>
  <c r="S869" i="5"/>
  <c r="Q869" i="5"/>
  <c r="P869" i="5"/>
  <c r="S868" i="5"/>
  <c r="Q868" i="5"/>
  <c r="P868" i="5"/>
  <c r="S867" i="5"/>
  <c r="Q867" i="5"/>
  <c r="P867" i="5"/>
  <c r="S866" i="5"/>
  <c r="Q866" i="5"/>
  <c r="P866" i="5"/>
  <c r="S865" i="5"/>
  <c r="Q865" i="5"/>
  <c r="P865" i="5"/>
  <c r="S864" i="5"/>
  <c r="Q864" i="5"/>
  <c r="P864" i="5"/>
  <c r="S863" i="5"/>
  <c r="Q863" i="5"/>
  <c r="P863" i="5"/>
  <c r="S862" i="5"/>
  <c r="Q862" i="5"/>
  <c r="P862" i="5"/>
  <c r="S861" i="5"/>
  <c r="Q861" i="5"/>
  <c r="P861" i="5"/>
  <c r="S860" i="5"/>
  <c r="Q860" i="5"/>
  <c r="P860" i="5"/>
  <c r="S859" i="5"/>
  <c r="Q859" i="5"/>
  <c r="P859" i="5"/>
  <c r="S858" i="5"/>
  <c r="Q858" i="5"/>
  <c r="P858" i="5"/>
  <c r="S857" i="5"/>
  <c r="Q857" i="5"/>
  <c r="P857" i="5"/>
  <c r="S856" i="5"/>
  <c r="Q856" i="5"/>
  <c r="P856" i="5"/>
  <c r="S855" i="5"/>
  <c r="Q855" i="5"/>
  <c r="P855" i="5"/>
  <c r="S854" i="5"/>
  <c r="Q854" i="5"/>
  <c r="P854" i="5"/>
  <c r="S853" i="5"/>
  <c r="Q853" i="5"/>
  <c r="P853" i="5"/>
  <c r="S852" i="5"/>
  <c r="Q852" i="5"/>
  <c r="P852" i="5"/>
  <c r="S851" i="5"/>
  <c r="Q851" i="5"/>
  <c r="P851" i="5"/>
  <c r="S850" i="5"/>
  <c r="Q850" i="5"/>
  <c r="P850" i="5"/>
  <c r="S849" i="5"/>
  <c r="Q849" i="5"/>
  <c r="P849" i="5"/>
  <c r="S848" i="5"/>
  <c r="Q848" i="5"/>
  <c r="P848" i="5"/>
  <c r="S847" i="5"/>
  <c r="Q847" i="5"/>
  <c r="P847" i="5"/>
  <c r="S846" i="5"/>
  <c r="Q846" i="5"/>
  <c r="P846" i="5"/>
  <c r="S845" i="5"/>
  <c r="Q845" i="5"/>
  <c r="P845" i="5"/>
  <c r="S844" i="5"/>
  <c r="Q844" i="5"/>
  <c r="P844" i="5"/>
  <c r="S843" i="5"/>
  <c r="Q843" i="5"/>
  <c r="P843" i="5"/>
  <c r="S842" i="5"/>
  <c r="Q842" i="5"/>
  <c r="P842" i="5"/>
  <c r="S841" i="5"/>
  <c r="Q841" i="5"/>
  <c r="P841" i="5"/>
  <c r="S840" i="5"/>
  <c r="Q840" i="5"/>
  <c r="P840" i="5"/>
  <c r="S839" i="5"/>
  <c r="Q839" i="5"/>
  <c r="P839" i="5"/>
  <c r="S838" i="5"/>
  <c r="Q838" i="5"/>
  <c r="P838" i="5"/>
  <c r="S837" i="5"/>
  <c r="Q837" i="5"/>
  <c r="P837" i="5"/>
  <c r="S836" i="5"/>
  <c r="Q836" i="5"/>
  <c r="P836" i="5"/>
  <c r="S835" i="5"/>
  <c r="Q835" i="5"/>
  <c r="P835" i="5"/>
  <c r="S834" i="5"/>
  <c r="Q834" i="5"/>
  <c r="P834" i="5"/>
  <c r="S833" i="5"/>
  <c r="Q833" i="5"/>
  <c r="P833" i="5"/>
  <c r="S832" i="5"/>
  <c r="Q832" i="5"/>
  <c r="P832" i="5"/>
  <c r="S831" i="5"/>
  <c r="Q831" i="5"/>
  <c r="P831" i="5"/>
  <c r="S830" i="5"/>
  <c r="Q830" i="5"/>
  <c r="P830" i="5"/>
  <c r="S829" i="5"/>
  <c r="Q829" i="5"/>
  <c r="P829" i="5"/>
  <c r="S828" i="5"/>
  <c r="Q828" i="5"/>
  <c r="P828" i="5"/>
  <c r="S827" i="5"/>
  <c r="Q827" i="5"/>
  <c r="P827" i="5"/>
  <c r="S826" i="5"/>
  <c r="Q826" i="5"/>
  <c r="P826" i="5"/>
  <c r="S825" i="5"/>
  <c r="Q825" i="5"/>
  <c r="P825" i="5"/>
  <c r="S824" i="5"/>
  <c r="Q824" i="5"/>
  <c r="P824" i="5"/>
  <c r="S823" i="5"/>
  <c r="Q823" i="5"/>
  <c r="P823" i="5"/>
  <c r="S822" i="5"/>
  <c r="Q822" i="5"/>
  <c r="P822" i="5"/>
  <c r="S821" i="5"/>
  <c r="Q821" i="5"/>
  <c r="P821" i="5"/>
  <c r="S820" i="5"/>
  <c r="Q820" i="5"/>
  <c r="P820" i="5"/>
  <c r="S819" i="5"/>
  <c r="Q819" i="5"/>
  <c r="P819" i="5"/>
  <c r="S818" i="5"/>
  <c r="Q818" i="5"/>
  <c r="P818" i="5"/>
  <c r="S817" i="5"/>
  <c r="Q817" i="5"/>
  <c r="P817" i="5"/>
  <c r="S816" i="5"/>
  <c r="Q816" i="5"/>
  <c r="P816" i="5"/>
  <c r="S815" i="5"/>
  <c r="Q815" i="5"/>
  <c r="P815" i="5"/>
  <c r="S814" i="5"/>
  <c r="Q814" i="5"/>
  <c r="P814" i="5"/>
  <c r="S813" i="5"/>
  <c r="Q813" i="5"/>
  <c r="P813" i="5"/>
  <c r="S812" i="5"/>
  <c r="Q812" i="5"/>
  <c r="P812" i="5"/>
  <c r="S811" i="5"/>
  <c r="Q811" i="5"/>
  <c r="P811" i="5"/>
  <c r="S810" i="5"/>
  <c r="Q810" i="5"/>
  <c r="P810" i="5"/>
  <c r="S809" i="5"/>
  <c r="Q809" i="5"/>
  <c r="P809" i="5"/>
  <c r="S808" i="5"/>
  <c r="Q808" i="5"/>
  <c r="P808" i="5"/>
  <c r="S807" i="5"/>
  <c r="Q807" i="5"/>
  <c r="P807" i="5"/>
  <c r="S806" i="5"/>
  <c r="Q806" i="5"/>
  <c r="P806" i="5"/>
  <c r="S805" i="5"/>
  <c r="Q805" i="5"/>
  <c r="P805" i="5"/>
  <c r="S804" i="5"/>
  <c r="Q804" i="5"/>
  <c r="P804" i="5"/>
  <c r="S803" i="5"/>
  <c r="Q803" i="5"/>
  <c r="P803" i="5"/>
  <c r="S802" i="5"/>
  <c r="Q802" i="5"/>
  <c r="P802" i="5"/>
  <c r="S801" i="5"/>
  <c r="Q801" i="5"/>
  <c r="P801" i="5"/>
  <c r="S800" i="5"/>
  <c r="Q800" i="5"/>
  <c r="P800" i="5"/>
  <c r="S799" i="5"/>
  <c r="Q799" i="5"/>
  <c r="P799" i="5"/>
  <c r="S798" i="5"/>
  <c r="Q798" i="5"/>
  <c r="P798" i="5"/>
  <c r="S797" i="5"/>
  <c r="Q797" i="5"/>
  <c r="P797" i="5"/>
  <c r="S796" i="5"/>
  <c r="Q796" i="5"/>
  <c r="P796" i="5"/>
  <c r="S795" i="5"/>
  <c r="Q795" i="5"/>
  <c r="P795" i="5"/>
  <c r="S794" i="5"/>
  <c r="Q794" i="5"/>
  <c r="P794" i="5"/>
  <c r="S793" i="5"/>
  <c r="Q793" i="5"/>
  <c r="P793" i="5"/>
  <c r="S792" i="5"/>
  <c r="Q792" i="5"/>
  <c r="P792" i="5"/>
  <c r="S791" i="5"/>
  <c r="Q791" i="5"/>
  <c r="P791" i="5"/>
  <c r="S790" i="5"/>
  <c r="Q790" i="5"/>
  <c r="P790" i="5"/>
  <c r="S789" i="5"/>
  <c r="Q789" i="5"/>
  <c r="P789" i="5"/>
  <c r="S788" i="5"/>
  <c r="Q788" i="5"/>
  <c r="P788" i="5"/>
  <c r="S787" i="5"/>
  <c r="Q787" i="5"/>
  <c r="P787" i="5"/>
  <c r="S786" i="5"/>
  <c r="Q786" i="5"/>
  <c r="P786" i="5"/>
  <c r="S785" i="5"/>
  <c r="Q785" i="5"/>
  <c r="P785" i="5"/>
  <c r="S784" i="5"/>
  <c r="Q784" i="5"/>
  <c r="P784" i="5"/>
  <c r="S783" i="5"/>
  <c r="Q783" i="5"/>
  <c r="P783" i="5"/>
  <c r="S782" i="5"/>
  <c r="Q782" i="5"/>
  <c r="P782" i="5"/>
  <c r="S781" i="5"/>
  <c r="Q781" i="5"/>
  <c r="P781" i="5"/>
  <c r="S780" i="5"/>
  <c r="Q780" i="5"/>
  <c r="P780" i="5"/>
  <c r="S779" i="5"/>
  <c r="Q779" i="5"/>
  <c r="P779" i="5"/>
  <c r="S778" i="5"/>
  <c r="Q778" i="5"/>
  <c r="P778" i="5"/>
  <c r="S777" i="5"/>
  <c r="Q777" i="5"/>
  <c r="P777" i="5"/>
  <c r="S776" i="5"/>
  <c r="Q776" i="5"/>
  <c r="P776" i="5"/>
  <c r="S775" i="5"/>
  <c r="Q775" i="5"/>
  <c r="P775" i="5"/>
  <c r="S774" i="5"/>
  <c r="Q774" i="5"/>
  <c r="P774" i="5"/>
  <c r="S773" i="5"/>
  <c r="Q773" i="5"/>
  <c r="P773" i="5"/>
  <c r="S772" i="5"/>
  <c r="Q772" i="5"/>
  <c r="P772" i="5"/>
  <c r="S771" i="5"/>
  <c r="Q771" i="5"/>
  <c r="P771" i="5"/>
  <c r="S770" i="5"/>
  <c r="Q770" i="5"/>
  <c r="P770" i="5"/>
  <c r="S769" i="5"/>
  <c r="Q769" i="5"/>
  <c r="P769" i="5"/>
  <c r="S768" i="5"/>
  <c r="Q768" i="5"/>
  <c r="P768" i="5"/>
  <c r="S767" i="5"/>
  <c r="Q767" i="5"/>
  <c r="P767" i="5"/>
  <c r="S766" i="5"/>
  <c r="Q766" i="5"/>
  <c r="P766" i="5"/>
  <c r="S765" i="5"/>
  <c r="Q765" i="5"/>
  <c r="P765" i="5"/>
  <c r="S764" i="5"/>
  <c r="Q764" i="5"/>
  <c r="P764" i="5"/>
  <c r="S763" i="5"/>
  <c r="Q763" i="5"/>
  <c r="P763" i="5"/>
  <c r="S762" i="5"/>
  <c r="Q762" i="5"/>
  <c r="P762" i="5"/>
  <c r="S761" i="5"/>
  <c r="Q761" i="5"/>
  <c r="P761" i="5"/>
  <c r="S760" i="5"/>
  <c r="Q760" i="5"/>
  <c r="P760" i="5"/>
  <c r="S759" i="5"/>
  <c r="Q759" i="5"/>
  <c r="P759" i="5"/>
  <c r="S758" i="5"/>
  <c r="Q758" i="5"/>
  <c r="P758" i="5"/>
  <c r="S757" i="5"/>
  <c r="Q757" i="5"/>
  <c r="P757" i="5"/>
  <c r="S756" i="5"/>
  <c r="Q756" i="5"/>
  <c r="P756" i="5"/>
  <c r="S755" i="5"/>
  <c r="Q755" i="5"/>
  <c r="P755" i="5"/>
  <c r="S754" i="5"/>
  <c r="Q754" i="5"/>
  <c r="P754" i="5"/>
  <c r="S753" i="5"/>
  <c r="Q753" i="5"/>
  <c r="P753" i="5"/>
  <c r="S752" i="5"/>
  <c r="Q752" i="5"/>
  <c r="P752" i="5"/>
  <c r="S751" i="5"/>
  <c r="Q751" i="5"/>
  <c r="P751" i="5"/>
  <c r="S750" i="5"/>
  <c r="Q750" i="5"/>
  <c r="P750" i="5"/>
  <c r="S749" i="5"/>
  <c r="Q749" i="5"/>
  <c r="P749" i="5"/>
  <c r="S748" i="5"/>
  <c r="Q748" i="5"/>
  <c r="P748" i="5"/>
  <c r="S747" i="5"/>
  <c r="Q747" i="5"/>
  <c r="P747" i="5"/>
  <c r="S746" i="5"/>
  <c r="Q746" i="5"/>
  <c r="P746" i="5"/>
  <c r="S745" i="5"/>
  <c r="Q745" i="5"/>
  <c r="P745" i="5"/>
  <c r="S744" i="5"/>
  <c r="Q744" i="5"/>
  <c r="P744" i="5"/>
  <c r="S743" i="5"/>
  <c r="Q743" i="5"/>
  <c r="P743" i="5"/>
  <c r="S742" i="5"/>
  <c r="Q742" i="5"/>
  <c r="P742" i="5"/>
  <c r="S741" i="5"/>
  <c r="Q741" i="5"/>
  <c r="P741" i="5"/>
  <c r="S740" i="5"/>
  <c r="Q740" i="5"/>
  <c r="P740" i="5"/>
  <c r="S739" i="5"/>
  <c r="Q739" i="5"/>
  <c r="P739" i="5"/>
  <c r="S738" i="5"/>
  <c r="Q738" i="5"/>
  <c r="P738" i="5"/>
  <c r="S737" i="5"/>
  <c r="Q737" i="5"/>
  <c r="P737" i="5"/>
  <c r="S736" i="5"/>
  <c r="Q736" i="5"/>
  <c r="P736" i="5"/>
  <c r="S735" i="5"/>
  <c r="Q735" i="5"/>
  <c r="P735" i="5"/>
  <c r="S734" i="5"/>
  <c r="Q734" i="5"/>
  <c r="P734" i="5"/>
  <c r="S733" i="5"/>
  <c r="Q733" i="5"/>
  <c r="P733" i="5"/>
  <c r="S732" i="5"/>
  <c r="Q732" i="5"/>
  <c r="P732" i="5"/>
  <c r="S731" i="5"/>
  <c r="Q731" i="5"/>
  <c r="P731" i="5"/>
  <c r="S730" i="5"/>
  <c r="Q730" i="5"/>
  <c r="P730" i="5"/>
  <c r="S729" i="5"/>
  <c r="Q729" i="5"/>
  <c r="P729" i="5"/>
  <c r="S728" i="5"/>
  <c r="Q728" i="5"/>
  <c r="P728" i="5"/>
  <c r="S727" i="5"/>
  <c r="Q727" i="5"/>
  <c r="P727" i="5"/>
  <c r="S726" i="5"/>
  <c r="Q726" i="5"/>
  <c r="P726" i="5"/>
  <c r="S725" i="5"/>
  <c r="Q725" i="5"/>
  <c r="P725" i="5"/>
  <c r="S724" i="5"/>
  <c r="Q724" i="5"/>
  <c r="P724" i="5"/>
  <c r="S723" i="5"/>
  <c r="Q723" i="5"/>
  <c r="P723" i="5"/>
  <c r="S722" i="5"/>
  <c r="Q722" i="5"/>
  <c r="P722" i="5"/>
  <c r="S721" i="5"/>
  <c r="Q721" i="5"/>
  <c r="P721" i="5"/>
  <c r="S720" i="5"/>
  <c r="Q720" i="5"/>
  <c r="P720" i="5"/>
  <c r="S719" i="5"/>
  <c r="Q719" i="5"/>
  <c r="P719" i="5"/>
  <c r="S718" i="5"/>
  <c r="Q718" i="5"/>
  <c r="P718" i="5"/>
  <c r="S717" i="5"/>
  <c r="Q717" i="5"/>
  <c r="P717" i="5"/>
  <c r="S716" i="5"/>
  <c r="Q716" i="5"/>
  <c r="P716" i="5"/>
  <c r="S715" i="5"/>
  <c r="Q715" i="5"/>
  <c r="P715" i="5"/>
  <c r="S714" i="5"/>
  <c r="Q714" i="5"/>
  <c r="P714" i="5"/>
  <c r="S713" i="5"/>
  <c r="Q713" i="5"/>
  <c r="P713" i="5"/>
  <c r="S712" i="5"/>
  <c r="Q712" i="5"/>
  <c r="P712" i="5"/>
  <c r="S711" i="5"/>
  <c r="Q711" i="5"/>
  <c r="P711" i="5"/>
  <c r="S710" i="5"/>
  <c r="Q710" i="5"/>
  <c r="P710" i="5"/>
  <c r="S709" i="5"/>
  <c r="Q709" i="5"/>
  <c r="P709" i="5"/>
  <c r="S708" i="5"/>
  <c r="Q708" i="5"/>
  <c r="P708" i="5"/>
  <c r="S707" i="5"/>
  <c r="Q707" i="5"/>
  <c r="P707" i="5"/>
  <c r="S706" i="5"/>
  <c r="Q706" i="5"/>
  <c r="P706" i="5"/>
  <c r="S705" i="5"/>
  <c r="Q705" i="5"/>
  <c r="P705" i="5"/>
  <c r="S704" i="5"/>
  <c r="Q704" i="5"/>
  <c r="P704" i="5"/>
  <c r="S703" i="5"/>
  <c r="Q703" i="5"/>
  <c r="P703" i="5"/>
  <c r="S702" i="5"/>
  <c r="Q702" i="5"/>
  <c r="P702" i="5"/>
  <c r="S701" i="5"/>
  <c r="Q701" i="5"/>
  <c r="P701" i="5"/>
  <c r="S700" i="5"/>
  <c r="Q700" i="5"/>
  <c r="P700" i="5"/>
  <c r="S699" i="5"/>
  <c r="Q699" i="5"/>
  <c r="P699" i="5"/>
  <c r="S698" i="5"/>
  <c r="Q698" i="5"/>
  <c r="P698" i="5"/>
  <c r="S697" i="5"/>
  <c r="Q697" i="5"/>
  <c r="P697" i="5"/>
  <c r="S696" i="5"/>
  <c r="Q696" i="5"/>
  <c r="P696" i="5"/>
  <c r="S695" i="5"/>
  <c r="Q695" i="5"/>
  <c r="P695" i="5"/>
  <c r="S694" i="5"/>
  <c r="Q694" i="5"/>
  <c r="P694" i="5"/>
  <c r="S693" i="5"/>
  <c r="Q693" i="5"/>
  <c r="P693" i="5"/>
  <c r="S692" i="5"/>
  <c r="Q692" i="5"/>
  <c r="P692" i="5"/>
  <c r="S691" i="5"/>
  <c r="Q691" i="5"/>
  <c r="P691" i="5"/>
  <c r="S690" i="5"/>
  <c r="Q690" i="5"/>
  <c r="P690" i="5"/>
  <c r="S689" i="5"/>
  <c r="Q689" i="5"/>
  <c r="P689" i="5"/>
  <c r="S688" i="5"/>
  <c r="Q688" i="5"/>
  <c r="P688" i="5"/>
  <c r="S687" i="5"/>
  <c r="Q687" i="5"/>
  <c r="P687" i="5"/>
  <c r="S686" i="5"/>
  <c r="Q686" i="5"/>
  <c r="P686" i="5"/>
  <c r="S685" i="5"/>
  <c r="Q685" i="5"/>
  <c r="P685" i="5"/>
  <c r="S684" i="5"/>
  <c r="Q684" i="5"/>
  <c r="P684" i="5"/>
  <c r="S683" i="5"/>
  <c r="Q683" i="5"/>
  <c r="P683" i="5"/>
  <c r="S682" i="5"/>
  <c r="Q682" i="5"/>
  <c r="P682" i="5"/>
  <c r="S681" i="5"/>
  <c r="Q681" i="5"/>
  <c r="P681" i="5"/>
  <c r="S680" i="5"/>
  <c r="Q680" i="5"/>
  <c r="P680" i="5"/>
  <c r="S679" i="5"/>
  <c r="Q679" i="5"/>
  <c r="P679" i="5"/>
  <c r="S678" i="5"/>
  <c r="Q678" i="5"/>
  <c r="P678" i="5"/>
  <c r="S677" i="5"/>
  <c r="Q677" i="5"/>
  <c r="P677" i="5"/>
  <c r="S676" i="5"/>
  <c r="Q676" i="5"/>
  <c r="P676" i="5"/>
  <c r="S675" i="5"/>
  <c r="Q675" i="5"/>
  <c r="P675" i="5"/>
  <c r="S674" i="5"/>
  <c r="Q674" i="5"/>
  <c r="P674" i="5"/>
  <c r="S673" i="5"/>
  <c r="Q673" i="5"/>
  <c r="P673" i="5"/>
  <c r="S672" i="5"/>
  <c r="Q672" i="5"/>
  <c r="P672" i="5"/>
  <c r="S671" i="5"/>
  <c r="Q671" i="5"/>
  <c r="P671" i="5"/>
  <c r="S670" i="5"/>
  <c r="Q670" i="5"/>
  <c r="P670" i="5"/>
  <c r="S669" i="5"/>
  <c r="Q669" i="5"/>
  <c r="P669" i="5"/>
  <c r="S668" i="5"/>
  <c r="Q668" i="5"/>
  <c r="P668" i="5"/>
  <c r="S667" i="5"/>
  <c r="Q667" i="5"/>
  <c r="P667" i="5"/>
  <c r="S666" i="5"/>
  <c r="Q666" i="5"/>
  <c r="P666" i="5"/>
  <c r="S665" i="5"/>
  <c r="Q665" i="5"/>
  <c r="P665" i="5"/>
  <c r="S664" i="5"/>
  <c r="Q664" i="5"/>
  <c r="P664" i="5"/>
  <c r="S663" i="5"/>
  <c r="Q663" i="5"/>
  <c r="P663" i="5"/>
  <c r="S662" i="5"/>
  <c r="Q662" i="5"/>
  <c r="P662" i="5"/>
  <c r="S661" i="5"/>
  <c r="Q661" i="5"/>
  <c r="P661" i="5"/>
  <c r="S660" i="5"/>
  <c r="Q660" i="5"/>
  <c r="P660" i="5"/>
  <c r="S659" i="5"/>
  <c r="Q659" i="5"/>
  <c r="P659" i="5"/>
  <c r="S658" i="5"/>
  <c r="Q658" i="5"/>
  <c r="P658" i="5"/>
  <c r="S657" i="5"/>
  <c r="Q657" i="5"/>
  <c r="P657" i="5"/>
  <c r="S656" i="5"/>
  <c r="Q656" i="5"/>
  <c r="P656" i="5"/>
  <c r="S655" i="5"/>
  <c r="Q655" i="5"/>
  <c r="P655" i="5"/>
  <c r="S654" i="5"/>
  <c r="Q654" i="5"/>
  <c r="P654" i="5"/>
  <c r="S653" i="5"/>
  <c r="Q653" i="5"/>
  <c r="P653" i="5"/>
  <c r="S652" i="5"/>
  <c r="Q652" i="5"/>
  <c r="P652" i="5"/>
  <c r="S651" i="5"/>
  <c r="Q651" i="5"/>
  <c r="P651" i="5"/>
  <c r="S650" i="5"/>
  <c r="Q650" i="5"/>
  <c r="P650" i="5"/>
  <c r="S649" i="5"/>
  <c r="Q649" i="5"/>
  <c r="P649" i="5"/>
  <c r="S648" i="5"/>
  <c r="Q648" i="5"/>
  <c r="P648" i="5"/>
  <c r="S647" i="5"/>
  <c r="Q647" i="5"/>
  <c r="P647" i="5"/>
  <c r="S646" i="5"/>
  <c r="Q646" i="5"/>
  <c r="P646" i="5"/>
  <c r="S645" i="5"/>
  <c r="Q645" i="5"/>
  <c r="P645" i="5"/>
  <c r="S644" i="5"/>
  <c r="Q644" i="5"/>
  <c r="P644" i="5"/>
  <c r="S643" i="5"/>
  <c r="Q643" i="5"/>
  <c r="P643" i="5"/>
  <c r="S642" i="5"/>
  <c r="Q642" i="5"/>
  <c r="P642" i="5"/>
  <c r="S641" i="5"/>
  <c r="Q641" i="5"/>
  <c r="P641" i="5"/>
  <c r="S640" i="5"/>
  <c r="Q640" i="5"/>
  <c r="P640" i="5"/>
  <c r="S639" i="5"/>
  <c r="Q639" i="5"/>
  <c r="P639" i="5"/>
  <c r="S638" i="5"/>
  <c r="Q638" i="5"/>
  <c r="P638" i="5"/>
  <c r="S637" i="5"/>
  <c r="Q637" i="5"/>
  <c r="P637" i="5"/>
  <c r="S636" i="5"/>
  <c r="Q636" i="5"/>
  <c r="P636" i="5"/>
  <c r="S635" i="5"/>
  <c r="Q635" i="5"/>
  <c r="P635" i="5"/>
  <c r="S634" i="5"/>
  <c r="Q634" i="5"/>
  <c r="P634" i="5"/>
  <c r="S633" i="5"/>
  <c r="Q633" i="5"/>
  <c r="P633" i="5"/>
  <c r="S632" i="5"/>
  <c r="Q632" i="5"/>
  <c r="P632" i="5"/>
  <c r="S631" i="5"/>
  <c r="Q631" i="5"/>
  <c r="P631" i="5"/>
  <c r="S630" i="5"/>
  <c r="Q630" i="5"/>
  <c r="P630" i="5"/>
  <c r="S629" i="5"/>
  <c r="Q629" i="5"/>
  <c r="P629" i="5"/>
  <c r="S628" i="5"/>
  <c r="Q628" i="5"/>
  <c r="P628" i="5"/>
  <c r="S627" i="5"/>
  <c r="Q627" i="5"/>
  <c r="P627" i="5"/>
  <c r="S626" i="5"/>
  <c r="Q626" i="5"/>
  <c r="P626" i="5"/>
  <c r="S625" i="5"/>
  <c r="Q625" i="5"/>
  <c r="P625" i="5"/>
  <c r="S624" i="5"/>
  <c r="Q624" i="5"/>
  <c r="P624" i="5"/>
  <c r="S623" i="5"/>
  <c r="Q623" i="5"/>
  <c r="P623" i="5"/>
  <c r="S622" i="5"/>
  <c r="Q622" i="5"/>
  <c r="P622" i="5"/>
  <c r="S621" i="5"/>
  <c r="Q621" i="5"/>
  <c r="P621" i="5"/>
  <c r="S620" i="5"/>
  <c r="Q620" i="5"/>
  <c r="P620" i="5"/>
  <c r="S619" i="5"/>
  <c r="Q619" i="5"/>
  <c r="P619" i="5"/>
  <c r="S618" i="5"/>
  <c r="Q618" i="5"/>
  <c r="P618" i="5"/>
  <c r="S617" i="5"/>
  <c r="Q617" i="5"/>
  <c r="P617" i="5"/>
  <c r="S616" i="5"/>
  <c r="Q616" i="5"/>
  <c r="P616" i="5"/>
  <c r="S615" i="5"/>
  <c r="Q615" i="5"/>
  <c r="P615" i="5"/>
  <c r="S614" i="5"/>
  <c r="Q614" i="5"/>
  <c r="P614" i="5"/>
  <c r="S613" i="5"/>
  <c r="Q613" i="5"/>
  <c r="P613" i="5"/>
  <c r="S612" i="5"/>
  <c r="Q612" i="5"/>
  <c r="P612" i="5"/>
  <c r="S611" i="5"/>
  <c r="Q611" i="5"/>
  <c r="P611" i="5"/>
  <c r="S610" i="5"/>
  <c r="Q610" i="5"/>
  <c r="P610" i="5"/>
  <c r="S609" i="5"/>
  <c r="Q609" i="5"/>
  <c r="P609" i="5"/>
  <c r="S608" i="5"/>
  <c r="Q608" i="5"/>
  <c r="P608" i="5"/>
  <c r="S607" i="5"/>
  <c r="Q607" i="5"/>
  <c r="P607" i="5"/>
  <c r="S606" i="5"/>
  <c r="Q606" i="5"/>
  <c r="P606" i="5"/>
  <c r="S605" i="5"/>
  <c r="Q605" i="5"/>
  <c r="P605" i="5"/>
  <c r="S604" i="5"/>
  <c r="Q604" i="5"/>
  <c r="P604" i="5"/>
  <c r="S603" i="5"/>
  <c r="Q603" i="5"/>
  <c r="P603" i="5"/>
  <c r="S602" i="5"/>
  <c r="Q602" i="5"/>
  <c r="P602" i="5"/>
  <c r="S601" i="5"/>
  <c r="Q601" i="5"/>
  <c r="P601" i="5"/>
  <c r="S600" i="5"/>
  <c r="Q600" i="5"/>
  <c r="P600" i="5"/>
  <c r="S599" i="5"/>
  <c r="Q599" i="5"/>
  <c r="P599" i="5"/>
  <c r="S598" i="5"/>
  <c r="Q598" i="5"/>
  <c r="P598" i="5"/>
  <c r="S597" i="5"/>
  <c r="Q597" i="5"/>
  <c r="P597" i="5"/>
  <c r="S596" i="5"/>
  <c r="Q596" i="5"/>
  <c r="P596" i="5"/>
  <c r="S595" i="5"/>
  <c r="Q595" i="5"/>
  <c r="P595" i="5"/>
  <c r="S594" i="5"/>
  <c r="Q594" i="5"/>
  <c r="P594" i="5"/>
  <c r="S593" i="5"/>
  <c r="Q593" i="5"/>
  <c r="P593" i="5"/>
  <c r="S592" i="5"/>
  <c r="Q592" i="5"/>
  <c r="P592" i="5"/>
  <c r="S591" i="5"/>
  <c r="Q591" i="5"/>
  <c r="P591" i="5"/>
  <c r="S590" i="5"/>
  <c r="Q590" i="5"/>
  <c r="P590" i="5"/>
  <c r="S589" i="5"/>
  <c r="Q589" i="5"/>
  <c r="P589" i="5"/>
  <c r="S588" i="5"/>
  <c r="Q588" i="5"/>
  <c r="P588" i="5"/>
  <c r="S587" i="5"/>
  <c r="Q587" i="5"/>
  <c r="P587" i="5"/>
  <c r="S586" i="5"/>
  <c r="Q586" i="5"/>
  <c r="P586" i="5"/>
  <c r="S585" i="5"/>
  <c r="Q585" i="5"/>
  <c r="P585" i="5"/>
  <c r="S584" i="5"/>
  <c r="Q584" i="5"/>
  <c r="P584" i="5"/>
  <c r="S583" i="5"/>
  <c r="Q583" i="5"/>
  <c r="P583" i="5"/>
  <c r="S582" i="5"/>
  <c r="Q582" i="5"/>
  <c r="P582" i="5"/>
  <c r="S581" i="5"/>
  <c r="Q581" i="5"/>
  <c r="P581" i="5"/>
  <c r="S580" i="5"/>
  <c r="Q580" i="5"/>
  <c r="P580" i="5"/>
  <c r="S579" i="5"/>
  <c r="Q579" i="5"/>
  <c r="P579" i="5"/>
  <c r="S578" i="5"/>
  <c r="Q578" i="5"/>
  <c r="P578" i="5"/>
  <c r="S577" i="5"/>
  <c r="Q577" i="5"/>
  <c r="P577" i="5"/>
  <c r="S576" i="5"/>
  <c r="Q576" i="5"/>
  <c r="P576" i="5"/>
  <c r="S575" i="5"/>
  <c r="Q575" i="5"/>
  <c r="P575" i="5"/>
  <c r="S574" i="5"/>
  <c r="Q574" i="5"/>
  <c r="P574" i="5"/>
  <c r="S573" i="5"/>
  <c r="Q573" i="5"/>
  <c r="P573" i="5"/>
  <c r="S572" i="5"/>
  <c r="Q572" i="5"/>
  <c r="P572" i="5"/>
  <c r="S571" i="5"/>
  <c r="Q571" i="5"/>
  <c r="P571" i="5"/>
  <c r="S570" i="5"/>
  <c r="Q570" i="5"/>
  <c r="P570" i="5"/>
  <c r="S569" i="5"/>
  <c r="Q569" i="5"/>
  <c r="P569" i="5"/>
  <c r="S568" i="5"/>
  <c r="Q568" i="5"/>
  <c r="P568" i="5"/>
  <c r="S567" i="5"/>
  <c r="Q567" i="5"/>
  <c r="P567" i="5"/>
  <c r="S566" i="5"/>
  <c r="Q566" i="5"/>
  <c r="P566" i="5"/>
  <c r="S565" i="5"/>
  <c r="Q565" i="5"/>
  <c r="P565" i="5"/>
  <c r="S564" i="5"/>
  <c r="Q564" i="5"/>
  <c r="P564" i="5"/>
  <c r="S563" i="5"/>
  <c r="Q563" i="5"/>
  <c r="P563" i="5"/>
  <c r="S562" i="5"/>
  <c r="Q562" i="5"/>
  <c r="P562" i="5"/>
  <c r="S561" i="5"/>
  <c r="Q561" i="5"/>
  <c r="P561" i="5"/>
  <c r="S560" i="5"/>
  <c r="Q560" i="5"/>
  <c r="P560" i="5"/>
  <c r="S559" i="5"/>
  <c r="Q559" i="5"/>
  <c r="P559" i="5"/>
  <c r="S558" i="5"/>
  <c r="Q558" i="5"/>
  <c r="P558" i="5"/>
  <c r="S557" i="5"/>
  <c r="Q557" i="5"/>
  <c r="P557" i="5"/>
  <c r="S556" i="5"/>
  <c r="Q556" i="5"/>
  <c r="P556" i="5"/>
  <c r="S555" i="5"/>
  <c r="Q555" i="5"/>
  <c r="P555" i="5"/>
  <c r="S554" i="5"/>
  <c r="Q554" i="5"/>
  <c r="P554" i="5"/>
  <c r="S553" i="5"/>
  <c r="Q553" i="5"/>
  <c r="P553" i="5"/>
  <c r="S552" i="5"/>
  <c r="Q552" i="5"/>
  <c r="P552" i="5"/>
  <c r="S551" i="5"/>
  <c r="Q551" i="5"/>
  <c r="P551" i="5"/>
  <c r="S550" i="5"/>
  <c r="Q550" i="5"/>
  <c r="P550" i="5"/>
  <c r="S549" i="5"/>
  <c r="Q549" i="5"/>
  <c r="P549" i="5"/>
  <c r="S548" i="5"/>
  <c r="Q548" i="5"/>
  <c r="P548" i="5"/>
  <c r="S547" i="5"/>
  <c r="Q547" i="5"/>
  <c r="P547" i="5"/>
  <c r="S546" i="5"/>
  <c r="Q546" i="5"/>
  <c r="P546" i="5"/>
  <c r="S545" i="5"/>
  <c r="Q545" i="5"/>
  <c r="P545" i="5"/>
  <c r="S544" i="5"/>
  <c r="Q544" i="5"/>
  <c r="P544" i="5"/>
  <c r="S543" i="5"/>
  <c r="Q543" i="5"/>
  <c r="P543" i="5"/>
  <c r="S542" i="5"/>
  <c r="Q542" i="5"/>
  <c r="P542" i="5"/>
  <c r="S541" i="5"/>
  <c r="Q541" i="5"/>
  <c r="P541" i="5"/>
  <c r="S540" i="5"/>
  <c r="Q540" i="5"/>
  <c r="P540" i="5"/>
  <c r="S539" i="5"/>
  <c r="Q539" i="5"/>
  <c r="P539" i="5"/>
  <c r="S538" i="5"/>
  <c r="Q538" i="5"/>
  <c r="P538" i="5"/>
  <c r="S537" i="5"/>
  <c r="Q537" i="5"/>
  <c r="P537" i="5"/>
  <c r="S536" i="5"/>
  <c r="Q536" i="5"/>
  <c r="P536" i="5"/>
  <c r="S535" i="5"/>
  <c r="Q535" i="5"/>
  <c r="P535" i="5"/>
  <c r="S534" i="5"/>
  <c r="Q534" i="5"/>
  <c r="P534" i="5"/>
  <c r="S533" i="5"/>
  <c r="Q533" i="5"/>
  <c r="P533" i="5"/>
  <c r="S532" i="5"/>
  <c r="Q532" i="5"/>
  <c r="P532" i="5"/>
  <c r="S531" i="5"/>
  <c r="Q531" i="5"/>
  <c r="P531" i="5"/>
  <c r="S530" i="5"/>
  <c r="Q530" i="5"/>
  <c r="P530" i="5"/>
  <c r="S529" i="5"/>
  <c r="Q529" i="5"/>
  <c r="P529" i="5"/>
  <c r="S528" i="5"/>
  <c r="Q528" i="5"/>
  <c r="P528" i="5"/>
  <c r="S527" i="5"/>
  <c r="Q527" i="5"/>
  <c r="P527" i="5"/>
  <c r="S526" i="5"/>
  <c r="Q526" i="5"/>
  <c r="P526" i="5"/>
  <c r="S525" i="5"/>
  <c r="Q525" i="5"/>
  <c r="P525" i="5"/>
  <c r="S524" i="5"/>
  <c r="Q524" i="5"/>
  <c r="P524" i="5"/>
  <c r="S523" i="5"/>
  <c r="Q523" i="5"/>
  <c r="P523" i="5"/>
  <c r="S522" i="5"/>
  <c r="Q522" i="5"/>
  <c r="P522" i="5"/>
  <c r="S521" i="5"/>
  <c r="Q521" i="5"/>
  <c r="P521" i="5"/>
  <c r="S520" i="5"/>
  <c r="Q520" i="5"/>
  <c r="P520" i="5"/>
  <c r="S519" i="5"/>
  <c r="Q519" i="5"/>
  <c r="P519" i="5"/>
  <c r="S518" i="5"/>
  <c r="Q518" i="5"/>
  <c r="P518" i="5"/>
  <c r="S517" i="5"/>
  <c r="Q517" i="5"/>
  <c r="P517" i="5"/>
  <c r="S516" i="5"/>
  <c r="Q516" i="5"/>
  <c r="P516" i="5"/>
  <c r="S515" i="5"/>
  <c r="Q515" i="5"/>
  <c r="P515" i="5"/>
  <c r="S514" i="5"/>
  <c r="Q514" i="5"/>
  <c r="P514" i="5"/>
  <c r="S513" i="5"/>
  <c r="Q513" i="5"/>
  <c r="P513" i="5"/>
  <c r="S512" i="5"/>
  <c r="Q512" i="5"/>
  <c r="P512" i="5"/>
  <c r="S511" i="5"/>
  <c r="Q511" i="5"/>
  <c r="P511" i="5"/>
  <c r="S510" i="5"/>
  <c r="Q510" i="5"/>
  <c r="P510" i="5"/>
  <c r="S509" i="5"/>
  <c r="Q509" i="5"/>
  <c r="P509" i="5"/>
  <c r="S508" i="5"/>
  <c r="Q508" i="5"/>
  <c r="P508" i="5"/>
  <c r="S507" i="5"/>
  <c r="Q507" i="5"/>
  <c r="P507" i="5"/>
  <c r="S506" i="5"/>
  <c r="Q506" i="5"/>
  <c r="P506" i="5"/>
  <c r="S505" i="5"/>
  <c r="Q505" i="5"/>
  <c r="P505" i="5"/>
  <c r="S504" i="5"/>
  <c r="Q504" i="5"/>
  <c r="P504" i="5"/>
  <c r="S503" i="5"/>
  <c r="Q503" i="5"/>
  <c r="P503" i="5"/>
  <c r="S502" i="5"/>
  <c r="Q502" i="5"/>
  <c r="P502" i="5"/>
  <c r="S501" i="5"/>
  <c r="Q501" i="5"/>
  <c r="P501" i="5"/>
  <c r="S500" i="5"/>
  <c r="Q500" i="5"/>
  <c r="P500" i="5"/>
  <c r="S499" i="5"/>
  <c r="Q499" i="5"/>
  <c r="P499" i="5"/>
  <c r="S498" i="5"/>
  <c r="Q498" i="5"/>
  <c r="P498" i="5"/>
  <c r="S497" i="5"/>
  <c r="Q497" i="5"/>
  <c r="P497" i="5"/>
  <c r="S496" i="5"/>
  <c r="Q496" i="5"/>
  <c r="P496" i="5"/>
  <c r="S495" i="5"/>
  <c r="Q495" i="5"/>
  <c r="P495" i="5"/>
  <c r="S494" i="5"/>
  <c r="Q494" i="5"/>
  <c r="P494" i="5"/>
  <c r="S493" i="5"/>
  <c r="Q493" i="5"/>
  <c r="P493" i="5"/>
  <c r="S492" i="5"/>
  <c r="Q492" i="5"/>
  <c r="P492" i="5"/>
  <c r="S491" i="5"/>
  <c r="Q491" i="5"/>
  <c r="P491" i="5"/>
  <c r="S490" i="5"/>
  <c r="Q490" i="5"/>
  <c r="P490" i="5"/>
  <c r="S489" i="5"/>
  <c r="Q489" i="5"/>
  <c r="P489" i="5"/>
  <c r="S488" i="5"/>
  <c r="Q488" i="5"/>
  <c r="P488" i="5"/>
  <c r="S487" i="5"/>
  <c r="Q487" i="5"/>
  <c r="P487" i="5"/>
  <c r="S486" i="5"/>
  <c r="Q486" i="5"/>
  <c r="P486" i="5"/>
  <c r="S485" i="5"/>
  <c r="Q485" i="5"/>
  <c r="P485" i="5"/>
  <c r="S484" i="5"/>
  <c r="Q484" i="5"/>
  <c r="P484" i="5"/>
  <c r="S483" i="5"/>
  <c r="Q483" i="5"/>
  <c r="P483" i="5"/>
  <c r="S482" i="5"/>
  <c r="Q482" i="5"/>
  <c r="P482" i="5"/>
  <c r="S481" i="5"/>
  <c r="Q481" i="5"/>
  <c r="P481" i="5"/>
  <c r="S480" i="5"/>
  <c r="Q480" i="5"/>
  <c r="P480" i="5"/>
  <c r="S479" i="5"/>
  <c r="Q479" i="5"/>
  <c r="P479" i="5"/>
  <c r="S478" i="5"/>
  <c r="Q478" i="5"/>
  <c r="P478" i="5"/>
  <c r="S477" i="5"/>
  <c r="Q477" i="5"/>
  <c r="P477" i="5"/>
  <c r="S476" i="5"/>
  <c r="Q476" i="5"/>
  <c r="P476" i="5"/>
  <c r="S475" i="5"/>
  <c r="Q475" i="5"/>
  <c r="P475" i="5"/>
  <c r="S474" i="5"/>
  <c r="Q474" i="5"/>
  <c r="P474" i="5"/>
  <c r="S473" i="5"/>
  <c r="Q473" i="5"/>
  <c r="P473" i="5"/>
  <c r="S472" i="5"/>
  <c r="Q472" i="5"/>
  <c r="P472" i="5"/>
  <c r="S471" i="5"/>
  <c r="Q471" i="5"/>
  <c r="P471" i="5"/>
  <c r="S470" i="5"/>
  <c r="Q470" i="5"/>
  <c r="P470" i="5"/>
  <c r="S469" i="5"/>
  <c r="Q469" i="5"/>
  <c r="P469" i="5"/>
  <c r="S468" i="5"/>
  <c r="Q468" i="5"/>
  <c r="P468" i="5"/>
  <c r="S467" i="5"/>
  <c r="Q467" i="5"/>
  <c r="P467" i="5"/>
  <c r="S466" i="5"/>
  <c r="Q466" i="5"/>
  <c r="P466" i="5"/>
  <c r="S465" i="5"/>
  <c r="Q465" i="5"/>
  <c r="P465" i="5"/>
  <c r="S464" i="5"/>
  <c r="Q464" i="5"/>
  <c r="P464" i="5"/>
  <c r="S463" i="5"/>
  <c r="Q463" i="5"/>
  <c r="P463" i="5"/>
  <c r="S462" i="5"/>
  <c r="Q462" i="5"/>
  <c r="P462" i="5"/>
  <c r="S461" i="5"/>
  <c r="Q461" i="5"/>
  <c r="P461" i="5"/>
  <c r="S460" i="5"/>
  <c r="Q460" i="5"/>
  <c r="P460" i="5"/>
  <c r="S459" i="5"/>
  <c r="Q459" i="5"/>
  <c r="P459" i="5"/>
  <c r="S458" i="5"/>
  <c r="Q458" i="5"/>
  <c r="P458" i="5"/>
  <c r="S457" i="5"/>
  <c r="Q457" i="5"/>
  <c r="P457" i="5"/>
  <c r="S456" i="5"/>
  <c r="Q456" i="5"/>
  <c r="P456" i="5"/>
  <c r="S455" i="5"/>
  <c r="Q455" i="5"/>
  <c r="P455" i="5"/>
  <c r="S454" i="5"/>
  <c r="Q454" i="5"/>
  <c r="P454" i="5"/>
  <c r="S453" i="5"/>
  <c r="Q453" i="5"/>
  <c r="P453" i="5"/>
  <c r="S452" i="5"/>
  <c r="Q452" i="5"/>
  <c r="P452" i="5"/>
  <c r="S451" i="5"/>
  <c r="Q451" i="5"/>
  <c r="P451" i="5"/>
  <c r="S450" i="5"/>
  <c r="Q450" i="5"/>
  <c r="P450" i="5"/>
  <c r="S449" i="5"/>
  <c r="Q449" i="5"/>
  <c r="P449" i="5"/>
  <c r="S448" i="5"/>
  <c r="Q448" i="5"/>
  <c r="P448" i="5"/>
  <c r="S447" i="5"/>
  <c r="Q447" i="5"/>
  <c r="P447" i="5"/>
  <c r="S446" i="5"/>
  <c r="Q446" i="5"/>
  <c r="P446" i="5"/>
  <c r="S445" i="5"/>
  <c r="Q445" i="5"/>
  <c r="P445" i="5"/>
  <c r="S444" i="5"/>
  <c r="Q444" i="5"/>
  <c r="P444" i="5"/>
  <c r="S443" i="5"/>
  <c r="Q443" i="5"/>
  <c r="P443" i="5"/>
  <c r="S442" i="5"/>
  <c r="Q442" i="5"/>
  <c r="P442" i="5"/>
  <c r="S441" i="5"/>
  <c r="Q441" i="5"/>
  <c r="P441" i="5"/>
  <c r="S440" i="5"/>
  <c r="Q440" i="5"/>
  <c r="P440" i="5"/>
  <c r="S439" i="5"/>
  <c r="Q439" i="5"/>
  <c r="P439" i="5"/>
  <c r="S438" i="5"/>
  <c r="Q438" i="5"/>
  <c r="P438" i="5"/>
  <c r="S437" i="5"/>
  <c r="Q437" i="5"/>
  <c r="P437" i="5"/>
  <c r="S436" i="5"/>
  <c r="Q436" i="5"/>
  <c r="P436" i="5"/>
  <c r="S435" i="5"/>
  <c r="Q435" i="5"/>
  <c r="P435" i="5"/>
  <c r="S434" i="5"/>
  <c r="Q434" i="5"/>
  <c r="P434" i="5"/>
  <c r="S433" i="5"/>
  <c r="Q433" i="5"/>
  <c r="P433" i="5"/>
  <c r="S432" i="5"/>
  <c r="Q432" i="5"/>
  <c r="P432" i="5"/>
  <c r="S431" i="5"/>
  <c r="Q431" i="5"/>
  <c r="P431" i="5"/>
  <c r="S430" i="5"/>
  <c r="Q430" i="5"/>
  <c r="P430" i="5"/>
  <c r="S429" i="5"/>
  <c r="Q429" i="5"/>
  <c r="P429" i="5"/>
  <c r="S428" i="5"/>
  <c r="Q428" i="5"/>
  <c r="P428" i="5"/>
  <c r="S427" i="5"/>
  <c r="Q427" i="5"/>
  <c r="P427" i="5"/>
  <c r="S426" i="5"/>
  <c r="Q426" i="5"/>
  <c r="P426" i="5"/>
  <c r="S425" i="5"/>
  <c r="Q425" i="5"/>
  <c r="P425" i="5"/>
  <c r="S424" i="5"/>
  <c r="Q424" i="5"/>
  <c r="P424" i="5"/>
  <c r="S423" i="5"/>
  <c r="Q423" i="5"/>
  <c r="P423" i="5"/>
  <c r="S422" i="5"/>
  <c r="Q422" i="5"/>
  <c r="P422" i="5"/>
  <c r="S421" i="5"/>
  <c r="Q421" i="5"/>
  <c r="P421" i="5"/>
  <c r="S420" i="5"/>
  <c r="Q420" i="5"/>
  <c r="P420" i="5"/>
  <c r="S419" i="5"/>
  <c r="Q419" i="5"/>
  <c r="P419" i="5"/>
  <c r="S418" i="5"/>
  <c r="Q418" i="5"/>
  <c r="P418" i="5"/>
  <c r="S417" i="5"/>
  <c r="Q417" i="5"/>
  <c r="P417" i="5"/>
  <c r="S416" i="5"/>
  <c r="Q416" i="5"/>
  <c r="P416" i="5"/>
  <c r="S415" i="5"/>
  <c r="Q415" i="5"/>
  <c r="P415" i="5"/>
  <c r="S414" i="5"/>
  <c r="Q414" i="5"/>
  <c r="P414" i="5"/>
  <c r="S413" i="5"/>
  <c r="Q413" i="5"/>
  <c r="P413" i="5"/>
  <c r="S412" i="5"/>
  <c r="Q412" i="5"/>
  <c r="P412" i="5"/>
  <c r="S411" i="5"/>
  <c r="Q411" i="5"/>
  <c r="P411" i="5"/>
  <c r="S410" i="5"/>
  <c r="Q410" i="5"/>
  <c r="P410" i="5"/>
  <c r="S409" i="5"/>
  <c r="Q409" i="5"/>
  <c r="P409" i="5"/>
  <c r="S408" i="5"/>
  <c r="Q408" i="5"/>
  <c r="P408" i="5"/>
  <c r="S407" i="5"/>
  <c r="Q407" i="5"/>
  <c r="P407" i="5"/>
  <c r="S406" i="5"/>
  <c r="Q406" i="5"/>
  <c r="P406" i="5"/>
  <c r="S405" i="5"/>
  <c r="Q405" i="5"/>
  <c r="P405" i="5"/>
  <c r="S404" i="5"/>
  <c r="Q404" i="5"/>
  <c r="P404" i="5"/>
  <c r="S403" i="5"/>
  <c r="Q403" i="5"/>
  <c r="P403" i="5"/>
  <c r="S402" i="5"/>
  <c r="Q402" i="5"/>
  <c r="P402" i="5"/>
  <c r="S401" i="5"/>
  <c r="Q401" i="5"/>
  <c r="P401" i="5"/>
  <c r="S400" i="5"/>
  <c r="Q400" i="5"/>
  <c r="P400" i="5"/>
  <c r="S399" i="5"/>
  <c r="Q399" i="5"/>
  <c r="P399" i="5"/>
  <c r="S398" i="5"/>
  <c r="Q398" i="5"/>
  <c r="P398" i="5"/>
  <c r="S397" i="5"/>
  <c r="Q397" i="5"/>
  <c r="P397" i="5"/>
  <c r="S396" i="5"/>
  <c r="Q396" i="5"/>
  <c r="P396" i="5"/>
  <c r="S395" i="5"/>
  <c r="Q395" i="5"/>
  <c r="P395" i="5"/>
  <c r="S394" i="5"/>
  <c r="Q394" i="5"/>
  <c r="P394" i="5"/>
  <c r="S393" i="5"/>
  <c r="Q393" i="5"/>
  <c r="P393" i="5"/>
  <c r="S392" i="5"/>
  <c r="Q392" i="5"/>
  <c r="P392" i="5"/>
  <c r="S391" i="5"/>
  <c r="Q391" i="5"/>
  <c r="P391" i="5"/>
  <c r="S390" i="5"/>
  <c r="Q390" i="5"/>
  <c r="P390" i="5"/>
  <c r="S389" i="5"/>
  <c r="Q389" i="5"/>
  <c r="P389" i="5"/>
  <c r="S388" i="5"/>
  <c r="Q388" i="5"/>
  <c r="P388" i="5"/>
  <c r="S387" i="5"/>
  <c r="Q387" i="5"/>
  <c r="P387" i="5"/>
  <c r="S386" i="5"/>
  <c r="Q386" i="5"/>
  <c r="P386" i="5"/>
  <c r="S385" i="5"/>
  <c r="Q385" i="5"/>
  <c r="P385" i="5"/>
  <c r="S384" i="5"/>
  <c r="Q384" i="5"/>
  <c r="P384" i="5"/>
  <c r="S383" i="5"/>
  <c r="Q383" i="5"/>
  <c r="P383" i="5"/>
  <c r="S382" i="5"/>
  <c r="Q382" i="5"/>
  <c r="P382" i="5"/>
  <c r="S381" i="5"/>
  <c r="Q381" i="5"/>
  <c r="P381" i="5"/>
  <c r="S380" i="5"/>
  <c r="Q380" i="5"/>
  <c r="P380" i="5"/>
  <c r="S379" i="5"/>
  <c r="Q379" i="5"/>
  <c r="P379" i="5"/>
  <c r="S378" i="5"/>
  <c r="Q378" i="5"/>
  <c r="P378" i="5"/>
  <c r="S377" i="5"/>
  <c r="Q377" i="5"/>
  <c r="P377" i="5"/>
  <c r="S376" i="5"/>
  <c r="Q376" i="5"/>
  <c r="P376" i="5"/>
  <c r="S375" i="5"/>
  <c r="Q375" i="5"/>
  <c r="P375" i="5"/>
  <c r="S374" i="5"/>
  <c r="Q374" i="5"/>
  <c r="P374" i="5"/>
  <c r="S373" i="5"/>
  <c r="Q373" i="5"/>
  <c r="P373" i="5"/>
  <c r="S372" i="5"/>
  <c r="Q372" i="5"/>
  <c r="P372" i="5"/>
  <c r="S371" i="5"/>
  <c r="Q371" i="5"/>
  <c r="P371" i="5"/>
  <c r="S370" i="5"/>
  <c r="Q370" i="5"/>
  <c r="P370" i="5"/>
  <c r="S369" i="5"/>
  <c r="Q369" i="5"/>
  <c r="P369" i="5"/>
  <c r="S368" i="5"/>
  <c r="Q368" i="5"/>
  <c r="P368" i="5"/>
  <c r="S367" i="5"/>
  <c r="Q367" i="5"/>
  <c r="P367" i="5"/>
  <c r="S366" i="5"/>
  <c r="Q366" i="5"/>
  <c r="P366" i="5"/>
  <c r="S365" i="5"/>
  <c r="Q365" i="5"/>
  <c r="P365" i="5"/>
  <c r="S364" i="5"/>
  <c r="Q364" i="5"/>
  <c r="P364" i="5"/>
  <c r="S363" i="5"/>
  <c r="Q363" i="5"/>
  <c r="P363" i="5"/>
  <c r="S362" i="5"/>
  <c r="Q362" i="5"/>
  <c r="P362" i="5"/>
  <c r="S361" i="5"/>
  <c r="Q361" i="5"/>
  <c r="P361" i="5"/>
  <c r="S360" i="5"/>
  <c r="Q360" i="5"/>
  <c r="P360" i="5"/>
  <c r="S359" i="5"/>
  <c r="Q359" i="5"/>
  <c r="P359" i="5"/>
  <c r="S358" i="5"/>
  <c r="Q358" i="5"/>
  <c r="P358" i="5"/>
  <c r="S357" i="5"/>
  <c r="Q357" i="5"/>
  <c r="P357" i="5"/>
  <c r="S356" i="5"/>
  <c r="Q356" i="5"/>
  <c r="P356" i="5"/>
  <c r="S355" i="5"/>
  <c r="Q355" i="5"/>
  <c r="P355" i="5"/>
  <c r="S354" i="5"/>
  <c r="Q354" i="5"/>
  <c r="P354" i="5"/>
  <c r="S353" i="5"/>
  <c r="Q353" i="5"/>
  <c r="P353" i="5"/>
  <c r="S352" i="5"/>
  <c r="Q352" i="5"/>
  <c r="P352" i="5"/>
  <c r="S351" i="5"/>
  <c r="Q351" i="5"/>
  <c r="P351" i="5"/>
  <c r="S350" i="5"/>
  <c r="Q350" i="5"/>
  <c r="P350" i="5"/>
  <c r="S349" i="5"/>
  <c r="Q349" i="5"/>
  <c r="P349" i="5"/>
  <c r="S348" i="5"/>
  <c r="Q348" i="5"/>
  <c r="P348" i="5"/>
  <c r="S347" i="5"/>
  <c r="Q347" i="5"/>
  <c r="P347" i="5"/>
  <c r="S346" i="5"/>
  <c r="Q346" i="5"/>
  <c r="P346" i="5"/>
  <c r="S345" i="5"/>
  <c r="Q345" i="5"/>
  <c r="P345" i="5"/>
  <c r="S344" i="5"/>
  <c r="Q344" i="5"/>
  <c r="P344" i="5"/>
  <c r="S343" i="5"/>
  <c r="Q343" i="5"/>
  <c r="P343" i="5"/>
  <c r="S342" i="5"/>
  <c r="Q342" i="5"/>
  <c r="P342" i="5"/>
  <c r="S341" i="5"/>
  <c r="Q341" i="5"/>
  <c r="P341" i="5"/>
  <c r="S340" i="5"/>
  <c r="Q340" i="5"/>
  <c r="P340" i="5"/>
  <c r="S339" i="5"/>
  <c r="Q339" i="5"/>
  <c r="P339" i="5"/>
  <c r="S338" i="5"/>
  <c r="Q338" i="5"/>
  <c r="P338" i="5"/>
  <c r="S337" i="5"/>
  <c r="Q337" i="5"/>
  <c r="P337" i="5"/>
  <c r="S336" i="5"/>
  <c r="Q336" i="5"/>
  <c r="P336" i="5"/>
  <c r="S335" i="5"/>
  <c r="Q335" i="5"/>
  <c r="P335" i="5"/>
  <c r="S334" i="5"/>
  <c r="Q334" i="5"/>
  <c r="P334" i="5"/>
  <c r="S333" i="5"/>
  <c r="Q333" i="5"/>
  <c r="P333" i="5"/>
  <c r="S332" i="5"/>
  <c r="Q332" i="5"/>
  <c r="P332" i="5"/>
  <c r="S331" i="5"/>
  <c r="Q331" i="5"/>
  <c r="P331" i="5"/>
  <c r="S330" i="5"/>
  <c r="Q330" i="5"/>
  <c r="P330" i="5"/>
  <c r="S329" i="5"/>
  <c r="Q329" i="5"/>
  <c r="P329" i="5"/>
  <c r="S328" i="5"/>
  <c r="Q328" i="5"/>
  <c r="P328" i="5"/>
  <c r="S327" i="5"/>
  <c r="Q327" i="5"/>
  <c r="P327" i="5"/>
  <c r="S326" i="5"/>
  <c r="Q326" i="5"/>
  <c r="P326" i="5"/>
  <c r="S325" i="5"/>
  <c r="Q325" i="5"/>
  <c r="P325" i="5"/>
  <c r="S324" i="5"/>
  <c r="Q324" i="5"/>
  <c r="P324" i="5"/>
  <c r="S323" i="5"/>
  <c r="Q323" i="5"/>
  <c r="P323" i="5"/>
  <c r="S322" i="5"/>
  <c r="Q322" i="5"/>
  <c r="P322" i="5"/>
  <c r="S321" i="5"/>
  <c r="Q321" i="5"/>
  <c r="P321" i="5"/>
  <c r="S320" i="5"/>
  <c r="Q320" i="5"/>
  <c r="P320" i="5"/>
  <c r="S319" i="5"/>
  <c r="Q319" i="5"/>
  <c r="P319" i="5"/>
  <c r="S318" i="5"/>
  <c r="Q318" i="5"/>
  <c r="P318" i="5"/>
  <c r="S317" i="5"/>
  <c r="Q317" i="5"/>
  <c r="P317" i="5"/>
  <c r="S316" i="5"/>
  <c r="Q316" i="5"/>
  <c r="P316" i="5"/>
  <c r="S315" i="5"/>
  <c r="Q315" i="5"/>
  <c r="P315" i="5"/>
  <c r="S314" i="5"/>
  <c r="Q314" i="5"/>
  <c r="P314" i="5"/>
  <c r="S313" i="5"/>
  <c r="Q313" i="5"/>
  <c r="P313" i="5"/>
  <c r="S312" i="5"/>
  <c r="Q312" i="5"/>
  <c r="P312" i="5"/>
  <c r="S311" i="5"/>
  <c r="Q311" i="5"/>
  <c r="P311" i="5"/>
  <c r="S310" i="5"/>
  <c r="Q310" i="5"/>
  <c r="P310" i="5"/>
  <c r="S309" i="5"/>
  <c r="Q309" i="5"/>
  <c r="P309" i="5"/>
  <c r="S308" i="5"/>
  <c r="Q308" i="5"/>
  <c r="P308" i="5"/>
  <c r="S307" i="5"/>
  <c r="Q307" i="5"/>
  <c r="P307" i="5"/>
  <c r="S306" i="5"/>
  <c r="Q306" i="5"/>
  <c r="P306" i="5"/>
  <c r="S305" i="5"/>
  <c r="Q305" i="5"/>
  <c r="P305" i="5"/>
  <c r="S304" i="5"/>
  <c r="Q304" i="5"/>
  <c r="P304" i="5"/>
  <c r="S303" i="5"/>
  <c r="Q303" i="5"/>
  <c r="P303" i="5"/>
  <c r="S302" i="5"/>
  <c r="Q302" i="5"/>
  <c r="P302" i="5"/>
  <c r="S301" i="5"/>
  <c r="Q301" i="5"/>
  <c r="P301" i="5"/>
  <c r="S300" i="5"/>
  <c r="Q300" i="5"/>
  <c r="P300" i="5"/>
  <c r="S299" i="5"/>
  <c r="Q299" i="5"/>
  <c r="P299" i="5"/>
  <c r="S298" i="5"/>
  <c r="Q298" i="5"/>
  <c r="P298" i="5"/>
  <c r="S297" i="5"/>
  <c r="Q297" i="5"/>
  <c r="P297" i="5"/>
  <c r="S296" i="5"/>
  <c r="Q296" i="5"/>
  <c r="P296" i="5"/>
  <c r="S295" i="5"/>
  <c r="Q295" i="5"/>
  <c r="P295" i="5"/>
  <c r="S294" i="5"/>
  <c r="Q294" i="5"/>
  <c r="P294" i="5"/>
  <c r="S293" i="5"/>
  <c r="Q293" i="5"/>
  <c r="P293" i="5"/>
  <c r="S292" i="5"/>
  <c r="Q292" i="5"/>
  <c r="P292" i="5"/>
  <c r="S291" i="5"/>
  <c r="Q291" i="5"/>
  <c r="P291" i="5"/>
  <c r="S290" i="5"/>
  <c r="Q290" i="5"/>
  <c r="P290" i="5"/>
  <c r="S289" i="5"/>
  <c r="Q289" i="5"/>
  <c r="P289" i="5"/>
  <c r="S288" i="5"/>
  <c r="Q288" i="5"/>
  <c r="P288" i="5"/>
  <c r="S287" i="5"/>
  <c r="Q287" i="5"/>
  <c r="P287" i="5"/>
  <c r="S286" i="5"/>
  <c r="Q286" i="5"/>
  <c r="P286" i="5"/>
  <c r="S285" i="5"/>
  <c r="Q285" i="5"/>
  <c r="P285" i="5"/>
  <c r="S284" i="5"/>
  <c r="Q284" i="5"/>
  <c r="P284" i="5"/>
  <c r="S283" i="5"/>
  <c r="Q283" i="5"/>
  <c r="P283" i="5"/>
  <c r="S282" i="5"/>
  <c r="Q282" i="5"/>
  <c r="P282" i="5"/>
  <c r="S281" i="5"/>
  <c r="Q281" i="5"/>
  <c r="P281" i="5"/>
  <c r="S280" i="5"/>
  <c r="Q280" i="5"/>
  <c r="P280" i="5"/>
  <c r="S279" i="5"/>
  <c r="Q279" i="5"/>
  <c r="P279" i="5"/>
  <c r="S278" i="5"/>
  <c r="Q278" i="5"/>
  <c r="P278" i="5"/>
  <c r="S277" i="5"/>
  <c r="Q277" i="5"/>
  <c r="P277" i="5"/>
  <c r="S276" i="5"/>
  <c r="Q276" i="5"/>
  <c r="P276" i="5"/>
  <c r="S275" i="5"/>
  <c r="Q275" i="5"/>
  <c r="P275" i="5"/>
  <c r="S274" i="5"/>
  <c r="Q274" i="5"/>
  <c r="P274" i="5"/>
  <c r="S273" i="5"/>
  <c r="Q273" i="5"/>
  <c r="P273" i="5"/>
  <c r="S272" i="5"/>
  <c r="Q272" i="5"/>
  <c r="P272" i="5"/>
  <c r="S271" i="5"/>
  <c r="Q271" i="5"/>
  <c r="P271" i="5"/>
  <c r="S270" i="5"/>
  <c r="Q270" i="5"/>
  <c r="P270" i="5"/>
  <c r="S269" i="5"/>
  <c r="Q269" i="5"/>
  <c r="P269" i="5"/>
  <c r="S268" i="5"/>
  <c r="Q268" i="5"/>
  <c r="P268" i="5"/>
  <c r="S267" i="5"/>
  <c r="Q267" i="5"/>
  <c r="P267" i="5"/>
  <c r="S266" i="5"/>
  <c r="Q266" i="5"/>
  <c r="P266" i="5"/>
  <c r="S265" i="5"/>
  <c r="Q265" i="5"/>
  <c r="P265" i="5"/>
  <c r="S264" i="5"/>
  <c r="Q264" i="5"/>
  <c r="P264" i="5"/>
  <c r="S263" i="5"/>
  <c r="Q263" i="5"/>
  <c r="P263" i="5"/>
  <c r="S262" i="5"/>
  <c r="Q262" i="5"/>
  <c r="P262" i="5"/>
  <c r="S261" i="5"/>
  <c r="Q261" i="5"/>
  <c r="P261" i="5"/>
  <c r="S260" i="5"/>
  <c r="Q260" i="5"/>
  <c r="P260" i="5"/>
  <c r="S259" i="5"/>
  <c r="Q259" i="5"/>
  <c r="P259" i="5"/>
  <c r="S258" i="5"/>
  <c r="Q258" i="5"/>
  <c r="P258" i="5"/>
  <c r="S257" i="5"/>
  <c r="Q257" i="5"/>
  <c r="P257" i="5"/>
  <c r="S256" i="5"/>
  <c r="Q256" i="5"/>
  <c r="P256" i="5"/>
  <c r="S255" i="5"/>
  <c r="Q255" i="5"/>
  <c r="P255" i="5"/>
  <c r="S254" i="5"/>
  <c r="Q254" i="5"/>
  <c r="P254" i="5"/>
  <c r="S253" i="5"/>
  <c r="Q253" i="5"/>
  <c r="P253" i="5"/>
  <c r="S252" i="5"/>
  <c r="Q252" i="5"/>
  <c r="P252" i="5"/>
  <c r="S251" i="5"/>
  <c r="Q251" i="5"/>
  <c r="P251" i="5"/>
  <c r="S250" i="5"/>
  <c r="Q250" i="5"/>
  <c r="P250" i="5"/>
  <c r="S249" i="5"/>
  <c r="Q249" i="5"/>
  <c r="P249" i="5"/>
  <c r="S248" i="5"/>
  <c r="Q248" i="5"/>
  <c r="P248" i="5"/>
  <c r="S247" i="5"/>
  <c r="Q247" i="5"/>
  <c r="P247" i="5"/>
  <c r="S246" i="5"/>
  <c r="Q246" i="5"/>
  <c r="P246" i="5"/>
  <c r="S245" i="5"/>
  <c r="Q245" i="5"/>
  <c r="P245" i="5"/>
  <c r="S244" i="5"/>
  <c r="Q244" i="5"/>
  <c r="P244" i="5"/>
  <c r="S243" i="5"/>
  <c r="Q243" i="5"/>
  <c r="P243" i="5"/>
  <c r="S242" i="5"/>
  <c r="Q242" i="5"/>
  <c r="P242" i="5"/>
  <c r="S241" i="5"/>
  <c r="Q241" i="5"/>
  <c r="P241" i="5"/>
  <c r="S240" i="5"/>
  <c r="Q240" i="5"/>
  <c r="P240" i="5"/>
  <c r="S239" i="5"/>
  <c r="Q239" i="5"/>
  <c r="P239" i="5"/>
  <c r="S238" i="5"/>
  <c r="Q238" i="5"/>
  <c r="P238" i="5"/>
  <c r="S237" i="5"/>
  <c r="Q237" i="5"/>
  <c r="P237" i="5"/>
  <c r="S236" i="5"/>
  <c r="Q236" i="5"/>
  <c r="P236" i="5"/>
  <c r="S235" i="5"/>
  <c r="Q235" i="5"/>
  <c r="P235" i="5"/>
  <c r="S234" i="5"/>
  <c r="Q234" i="5"/>
  <c r="P234" i="5"/>
  <c r="S233" i="5"/>
  <c r="Q233" i="5"/>
  <c r="P233" i="5"/>
  <c r="S232" i="5"/>
  <c r="Q232" i="5"/>
  <c r="P232" i="5"/>
  <c r="S231" i="5"/>
  <c r="Q231" i="5"/>
  <c r="P231" i="5"/>
  <c r="S230" i="5"/>
  <c r="Q230" i="5"/>
  <c r="P230" i="5"/>
  <c r="S229" i="5"/>
  <c r="Q229" i="5"/>
  <c r="P229" i="5"/>
  <c r="S228" i="5"/>
  <c r="Q228" i="5"/>
  <c r="P228" i="5"/>
  <c r="S227" i="5"/>
  <c r="Q227" i="5"/>
  <c r="P227" i="5"/>
  <c r="S226" i="5"/>
  <c r="Q226" i="5"/>
  <c r="P226" i="5"/>
  <c r="S225" i="5"/>
  <c r="Q225" i="5"/>
  <c r="P225" i="5"/>
  <c r="S224" i="5"/>
  <c r="Q224" i="5"/>
  <c r="P224" i="5"/>
  <c r="S223" i="5"/>
  <c r="Q223" i="5"/>
  <c r="P223" i="5"/>
  <c r="S222" i="5"/>
  <c r="Q222" i="5"/>
  <c r="P222" i="5"/>
  <c r="S221" i="5"/>
  <c r="Q221" i="5"/>
  <c r="P221" i="5"/>
  <c r="S220" i="5"/>
  <c r="Q220" i="5"/>
  <c r="P220" i="5"/>
  <c r="S219" i="5"/>
  <c r="Q219" i="5"/>
  <c r="P219" i="5"/>
  <c r="S218" i="5"/>
  <c r="Q218" i="5"/>
  <c r="P218" i="5"/>
  <c r="S217" i="5"/>
  <c r="Q217" i="5"/>
  <c r="P217" i="5"/>
  <c r="S216" i="5"/>
  <c r="Q216" i="5"/>
  <c r="P216" i="5"/>
  <c r="S215" i="5"/>
  <c r="Q215" i="5"/>
  <c r="P215" i="5"/>
  <c r="S214" i="5"/>
  <c r="Q214" i="5"/>
  <c r="P214" i="5"/>
  <c r="S213" i="5"/>
  <c r="Q213" i="5"/>
  <c r="P213" i="5"/>
  <c r="S212" i="5"/>
  <c r="Q212" i="5"/>
  <c r="P212" i="5"/>
  <c r="S211" i="5"/>
  <c r="Q211" i="5"/>
  <c r="P211" i="5"/>
  <c r="S210" i="5"/>
  <c r="Q210" i="5"/>
  <c r="P210" i="5"/>
  <c r="S209" i="5"/>
  <c r="Q209" i="5"/>
  <c r="P209" i="5"/>
  <c r="S208" i="5"/>
  <c r="Q208" i="5"/>
  <c r="P208" i="5"/>
  <c r="S207" i="5"/>
  <c r="Q207" i="5"/>
  <c r="P207" i="5"/>
  <c r="S206" i="5"/>
  <c r="Q206" i="5"/>
  <c r="P206" i="5"/>
  <c r="S205" i="5"/>
  <c r="Q205" i="5"/>
  <c r="P205" i="5"/>
  <c r="S204" i="5"/>
  <c r="Q204" i="5"/>
  <c r="P204" i="5"/>
  <c r="S203" i="5"/>
  <c r="Q203" i="5"/>
  <c r="P203" i="5"/>
  <c r="S202" i="5"/>
  <c r="Q202" i="5"/>
  <c r="P202" i="5"/>
  <c r="S201" i="5"/>
  <c r="Q201" i="5"/>
  <c r="P201" i="5"/>
  <c r="S200" i="5"/>
  <c r="Q200" i="5"/>
  <c r="P200" i="5"/>
  <c r="S199" i="5"/>
  <c r="Q199" i="5"/>
  <c r="P199" i="5"/>
  <c r="S198" i="5"/>
  <c r="Q198" i="5"/>
  <c r="P198" i="5"/>
  <c r="S197" i="5"/>
  <c r="Q197" i="5"/>
  <c r="P197" i="5"/>
  <c r="S196" i="5"/>
  <c r="Q196" i="5"/>
  <c r="P196" i="5"/>
  <c r="S195" i="5"/>
  <c r="Q195" i="5"/>
  <c r="P195" i="5"/>
  <c r="S194" i="5"/>
  <c r="Q194" i="5"/>
  <c r="P194" i="5"/>
  <c r="S193" i="5"/>
  <c r="Q193" i="5"/>
  <c r="P193" i="5"/>
  <c r="S192" i="5"/>
  <c r="Q192" i="5"/>
  <c r="P192" i="5"/>
  <c r="S191" i="5"/>
  <c r="Q191" i="5"/>
  <c r="P191" i="5"/>
  <c r="S190" i="5"/>
  <c r="Q190" i="5"/>
  <c r="P190" i="5"/>
  <c r="S189" i="5"/>
  <c r="Q189" i="5"/>
  <c r="P189" i="5"/>
  <c r="S188" i="5"/>
  <c r="Q188" i="5"/>
  <c r="P188" i="5"/>
  <c r="S187" i="5"/>
  <c r="Q187" i="5"/>
  <c r="P187" i="5"/>
  <c r="S186" i="5"/>
  <c r="Q186" i="5"/>
  <c r="P186" i="5"/>
  <c r="S185" i="5"/>
  <c r="Q185" i="5"/>
  <c r="P185" i="5"/>
  <c r="S184" i="5"/>
  <c r="Q184" i="5"/>
  <c r="P184" i="5"/>
  <c r="S183" i="5"/>
  <c r="Q183" i="5"/>
  <c r="P183" i="5"/>
  <c r="S182" i="5"/>
  <c r="Q182" i="5"/>
  <c r="P182" i="5"/>
  <c r="S181" i="5"/>
  <c r="Q181" i="5"/>
  <c r="P181" i="5"/>
  <c r="S180" i="5"/>
  <c r="Q180" i="5"/>
  <c r="P180" i="5"/>
  <c r="S179" i="5"/>
  <c r="Q179" i="5"/>
  <c r="P179" i="5"/>
  <c r="S178" i="5"/>
  <c r="Q178" i="5"/>
  <c r="P178" i="5"/>
  <c r="S177" i="5"/>
  <c r="Q177" i="5"/>
  <c r="P177" i="5"/>
  <c r="S176" i="5"/>
  <c r="Q176" i="5"/>
  <c r="P176" i="5"/>
  <c r="S175" i="5"/>
  <c r="Q175" i="5"/>
  <c r="P175" i="5"/>
  <c r="S174" i="5"/>
  <c r="Q174" i="5"/>
  <c r="P174" i="5"/>
  <c r="S173" i="5"/>
  <c r="Q173" i="5"/>
  <c r="P173" i="5"/>
  <c r="S172" i="5"/>
  <c r="Q172" i="5"/>
  <c r="P172" i="5"/>
  <c r="S171" i="5"/>
  <c r="Q171" i="5"/>
  <c r="P171" i="5"/>
  <c r="S170" i="5"/>
  <c r="Q170" i="5"/>
  <c r="P170" i="5"/>
  <c r="S169" i="5"/>
  <c r="Q169" i="5"/>
  <c r="P169" i="5"/>
  <c r="S168" i="5"/>
  <c r="Q168" i="5"/>
  <c r="P168" i="5"/>
  <c r="S167" i="5"/>
  <c r="Q167" i="5"/>
  <c r="P167" i="5"/>
  <c r="S166" i="5"/>
  <c r="Q166" i="5"/>
  <c r="P166" i="5"/>
  <c r="S165" i="5"/>
  <c r="Q165" i="5"/>
  <c r="P165" i="5"/>
  <c r="S164" i="5"/>
  <c r="Q164" i="5"/>
  <c r="P164" i="5"/>
  <c r="S163" i="5"/>
  <c r="Q163" i="5"/>
  <c r="P163" i="5"/>
  <c r="S162" i="5"/>
  <c r="Q162" i="5"/>
  <c r="P162" i="5"/>
  <c r="S161" i="5"/>
  <c r="Q161" i="5"/>
  <c r="P161" i="5"/>
  <c r="S160" i="5"/>
  <c r="Q160" i="5"/>
  <c r="P160" i="5"/>
  <c r="S159" i="5"/>
  <c r="Q159" i="5"/>
  <c r="P159" i="5"/>
  <c r="S158" i="5"/>
  <c r="Q158" i="5"/>
  <c r="P158" i="5"/>
  <c r="S157" i="5"/>
  <c r="Q157" i="5"/>
  <c r="P157" i="5"/>
  <c r="S156" i="5"/>
  <c r="Q156" i="5"/>
  <c r="P156" i="5"/>
  <c r="S155" i="5"/>
  <c r="Q155" i="5"/>
  <c r="P155" i="5"/>
  <c r="S154" i="5"/>
  <c r="Q154" i="5"/>
  <c r="P154" i="5"/>
  <c r="S153" i="5"/>
  <c r="Q153" i="5"/>
  <c r="P153" i="5"/>
  <c r="S152" i="5"/>
  <c r="Q152" i="5"/>
  <c r="P152" i="5"/>
  <c r="S151" i="5"/>
  <c r="Q151" i="5"/>
  <c r="P151" i="5"/>
  <c r="S150" i="5"/>
  <c r="Q150" i="5"/>
  <c r="P150" i="5"/>
  <c r="S149" i="5"/>
  <c r="Q149" i="5"/>
  <c r="P149" i="5"/>
  <c r="S148" i="5"/>
  <c r="Q148" i="5"/>
  <c r="P148" i="5"/>
  <c r="S147" i="5"/>
  <c r="Q147" i="5"/>
  <c r="P147" i="5"/>
  <c r="S146" i="5"/>
  <c r="Q146" i="5"/>
  <c r="P146" i="5"/>
  <c r="S145" i="5"/>
  <c r="Q145" i="5"/>
  <c r="P145" i="5"/>
  <c r="S144" i="5"/>
  <c r="Q144" i="5"/>
  <c r="P144" i="5"/>
  <c r="S143" i="5"/>
  <c r="Q143" i="5"/>
  <c r="P143" i="5"/>
  <c r="S142" i="5"/>
  <c r="Q142" i="5"/>
  <c r="P142" i="5"/>
  <c r="S141" i="5"/>
  <c r="Q141" i="5"/>
  <c r="P141" i="5"/>
  <c r="S140" i="5"/>
  <c r="Q140" i="5"/>
  <c r="P140" i="5"/>
  <c r="S139" i="5"/>
  <c r="Q139" i="5"/>
  <c r="P139" i="5"/>
  <c r="S138" i="5"/>
  <c r="Q138" i="5"/>
  <c r="P138" i="5"/>
  <c r="S137" i="5"/>
  <c r="Q137" i="5"/>
  <c r="P137" i="5"/>
  <c r="S136" i="5"/>
  <c r="Q136" i="5"/>
  <c r="P136" i="5"/>
  <c r="S135" i="5"/>
  <c r="Q135" i="5"/>
  <c r="P135" i="5"/>
  <c r="S134" i="5"/>
  <c r="Q134" i="5"/>
  <c r="P134" i="5"/>
  <c r="S133" i="5"/>
  <c r="Q133" i="5"/>
  <c r="P133" i="5"/>
  <c r="S132" i="5"/>
  <c r="Q132" i="5"/>
  <c r="P132" i="5"/>
  <c r="S131" i="5"/>
  <c r="Q131" i="5"/>
  <c r="P131" i="5"/>
  <c r="S130" i="5"/>
  <c r="Q130" i="5"/>
  <c r="P130" i="5"/>
  <c r="S129" i="5"/>
  <c r="Q129" i="5"/>
  <c r="P129" i="5"/>
  <c r="S128" i="5"/>
  <c r="Q128" i="5"/>
  <c r="P128" i="5"/>
  <c r="S127" i="5"/>
  <c r="Q127" i="5"/>
  <c r="P127" i="5"/>
  <c r="S126" i="5"/>
  <c r="Q126" i="5"/>
  <c r="P126" i="5"/>
  <c r="S125" i="5"/>
  <c r="Q125" i="5"/>
  <c r="P125" i="5"/>
  <c r="S124" i="5"/>
  <c r="Q124" i="5"/>
  <c r="P124" i="5"/>
  <c r="S123" i="5"/>
  <c r="Q123" i="5"/>
  <c r="P123" i="5"/>
  <c r="S122" i="5"/>
  <c r="Q122" i="5"/>
  <c r="P122" i="5"/>
  <c r="S121" i="5"/>
  <c r="Q121" i="5"/>
  <c r="P121" i="5"/>
  <c r="S120" i="5"/>
  <c r="Q120" i="5"/>
  <c r="P120" i="5"/>
  <c r="S119" i="5"/>
  <c r="Q119" i="5"/>
  <c r="P119" i="5"/>
  <c r="S118" i="5"/>
  <c r="Q118" i="5"/>
  <c r="P118" i="5"/>
  <c r="S117" i="5"/>
  <c r="Q117" i="5"/>
  <c r="P117" i="5"/>
  <c r="S116" i="5"/>
  <c r="Q116" i="5"/>
  <c r="P116" i="5"/>
  <c r="S115" i="5"/>
  <c r="Q115" i="5"/>
  <c r="P115" i="5"/>
  <c r="S114" i="5"/>
  <c r="Q114" i="5"/>
  <c r="P114" i="5"/>
  <c r="S113" i="5"/>
  <c r="Q113" i="5"/>
  <c r="P113" i="5"/>
  <c r="S112" i="5"/>
  <c r="Q112" i="5"/>
  <c r="P112" i="5"/>
  <c r="S111" i="5"/>
  <c r="Q111" i="5"/>
  <c r="P111" i="5"/>
  <c r="S110" i="5"/>
  <c r="Q110" i="5"/>
  <c r="P110" i="5"/>
  <c r="S109" i="5"/>
  <c r="Q109" i="5"/>
  <c r="P109" i="5"/>
  <c r="S108" i="5"/>
  <c r="Q108" i="5"/>
  <c r="P108" i="5"/>
  <c r="S107" i="5"/>
  <c r="Q107" i="5"/>
  <c r="P107" i="5"/>
  <c r="S106" i="5"/>
  <c r="Q106" i="5"/>
  <c r="P106" i="5"/>
  <c r="S105" i="5"/>
  <c r="Q105" i="5"/>
  <c r="P105" i="5"/>
  <c r="S104" i="5"/>
  <c r="Q104" i="5"/>
  <c r="P104" i="5"/>
  <c r="S103" i="5"/>
  <c r="Q103" i="5"/>
  <c r="P103" i="5"/>
  <c r="S102" i="5"/>
  <c r="Q102" i="5"/>
  <c r="P102" i="5"/>
  <c r="S101" i="5"/>
  <c r="Q101" i="5"/>
  <c r="P101" i="5"/>
  <c r="S100" i="5"/>
  <c r="Q100" i="5"/>
  <c r="P100" i="5"/>
  <c r="S99" i="5"/>
  <c r="Q99" i="5"/>
  <c r="P99" i="5"/>
  <c r="S98" i="5"/>
  <c r="Q98" i="5"/>
  <c r="P98" i="5"/>
  <c r="S97" i="5"/>
  <c r="Q97" i="5"/>
  <c r="P97" i="5"/>
  <c r="S96" i="5"/>
  <c r="Q96" i="5"/>
  <c r="P96" i="5"/>
  <c r="S95" i="5"/>
  <c r="Q95" i="5"/>
  <c r="P95" i="5"/>
  <c r="S94" i="5"/>
  <c r="Q94" i="5"/>
  <c r="P94" i="5"/>
  <c r="S93" i="5"/>
  <c r="Q93" i="5"/>
  <c r="P93" i="5"/>
  <c r="S92" i="5"/>
  <c r="Q92" i="5"/>
  <c r="P92" i="5"/>
  <c r="S91" i="5"/>
  <c r="Q91" i="5"/>
  <c r="P91" i="5"/>
  <c r="S90" i="5"/>
  <c r="Q90" i="5"/>
  <c r="P90" i="5"/>
  <c r="S89" i="5"/>
  <c r="Q89" i="5"/>
  <c r="P89" i="5"/>
  <c r="S88" i="5"/>
  <c r="Q88" i="5"/>
  <c r="P88" i="5"/>
  <c r="S87" i="5"/>
  <c r="Q87" i="5"/>
  <c r="P87" i="5"/>
  <c r="S86" i="5"/>
  <c r="Q86" i="5"/>
  <c r="P86" i="5"/>
  <c r="S85" i="5"/>
  <c r="Q85" i="5"/>
  <c r="P85" i="5"/>
  <c r="S84" i="5"/>
  <c r="Q84" i="5"/>
  <c r="P84" i="5"/>
  <c r="S83" i="5"/>
  <c r="Q83" i="5"/>
  <c r="P83" i="5"/>
  <c r="S82" i="5"/>
  <c r="Q82" i="5"/>
  <c r="P82" i="5"/>
  <c r="S81" i="5"/>
  <c r="Q81" i="5"/>
  <c r="P81" i="5"/>
  <c r="S80" i="5"/>
  <c r="Q80" i="5"/>
  <c r="P80" i="5"/>
  <c r="S79" i="5"/>
  <c r="Q79" i="5"/>
  <c r="P79" i="5"/>
  <c r="S78" i="5"/>
  <c r="P78" i="5"/>
  <c r="S77" i="5"/>
  <c r="P77" i="5"/>
  <c r="S76" i="5"/>
  <c r="P76" i="5"/>
  <c r="S75" i="5"/>
  <c r="P75" i="5"/>
  <c r="S74" i="5"/>
  <c r="P74" i="5"/>
  <c r="S73" i="5"/>
  <c r="P73" i="5"/>
  <c r="S72" i="5"/>
  <c r="P72" i="5"/>
  <c r="S71" i="5"/>
  <c r="P71" i="5"/>
  <c r="S70" i="5"/>
  <c r="P70" i="5"/>
  <c r="S69" i="5"/>
  <c r="P69" i="5"/>
  <c r="S68" i="5"/>
  <c r="P68" i="5"/>
  <c r="S67" i="5"/>
  <c r="P67" i="5"/>
  <c r="S66" i="5"/>
  <c r="P66" i="5"/>
  <c r="S65" i="5"/>
  <c r="P65" i="5"/>
  <c r="S64" i="5"/>
  <c r="P64" i="5"/>
  <c r="S63" i="5"/>
  <c r="P63" i="5"/>
  <c r="S62" i="5"/>
  <c r="P62" i="5"/>
  <c r="S61" i="5"/>
  <c r="P61" i="5"/>
  <c r="S60" i="5"/>
  <c r="P60" i="5"/>
  <c r="S59" i="5"/>
  <c r="P59" i="5"/>
  <c r="S58" i="5"/>
  <c r="P58" i="5"/>
  <c r="S57" i="5"/>
  <c r="P57" i="5"/>
  <c r="S56" i="5"/>
  <c r="P56" i="5"/>
  <c r="S55" i="5"/>
  <c r="P55" i="5"/>
  <c r="S54" i="5"/>
  <c r="P54" i="5"/>
  <c r="S53" i="5"/>
  <c r="P53" i="5"/>
  <c r="S52" i="5"/>
  <c r="P52" i="5"/>
  <c r="S51" i="5"/>
  <c r="P51" i="5"/>
  <c r="S50" i="5"/>
  <c r="P50" i="5"/>
  <c r="S49" i="5"/>
  <c r="P49" i="5"/>
  <c r="S48" i="5"/>
  <c r="P48" i="5"/>
  <c r="S47" i="5"/>
  <c r="P47" i="5"/>
  <c r="S46" i="5"/>
  <c r="P46" i="5"/>
  <c r="S45" i="5"/>
  <c r="P45" i="5"/>
  <c r="S44" i="5"/>
  <c r="P44" i="5"/>
  <c r="S43" i="5"/>
  <c r="P43" i="5"/>
  <c r="B43" i="5"/>
  <c r="S42" i="5"/>
  <c r="P42" i="5"/>
  <c r="B42" i="5"/>
  <c r="S41" i="5"/>
  <c r="P41" i="5"/>
  <c r="B41" i="5"/>
  <c r="S40" i="5"/>
  <c r="P40" i="5"/>
  <c r="B40" i="5"/>
  <c r="S39" i="5"/>
  <c r="P39" i="5"/>
  <c r="B39" i="5"/>
  <c r="S38" i="5"/>
  <c r="P38" i="5"/>
  <c r="B38" i="5"/>
  <c r="S37" i="5"/>
  <c r="P37" i="5"/>
  <c r="B37" i="5"/>
  <c r="S36" i="5"/>
  <c r="P36" i="5"/>
  <c r="B36" i="5"/>
  <c r="S35" i="5"/>
  <c r="P35" i="5"/>
  <c r="B35" i="5"/>
  <c r="S34" i="5"/>
  <c r="P34" i="5"/>
  <c r="B34" i="5"/>
  <c r="S33" i="5"/>
  <c r="P33" i="5"/>
  <c r="B33" i="5"/>
  <c r="S32" i="5"/>
  <c r="P32" i="5"/>
  <c r="B32" i="5"/>
  <c r="S31" i="5"/>
  <c r="P31" i="5"/>
  <c r="B31" i="5"/>
  <c r="S30" i="5"/>
  <c r="P30" i="5"/>
  <c r="B30" i="5"/>
  <c r="S29" i="5"/>
  <c r="P29" i="5"/>
  <c r="B29" i="5"/>
  <c r="S28" i="5"/>
  <c r="P28" i="5"/>
  <c r="B28" i="5"/>
  <c r="S27" i="5"/>
  <c r="P27" i="5"/>
  <c r="B27" i="5"/>
  <c r="S26" i="5"/>
  <c r="P26" i="5"/>
  <c r="B26" i="5"/>
  <c r="S25" i="5"/>
  <c r="P25" i="5"/>
  <c r="B25" i="5"/>
  <c r="S24" i="5"/>
  <c r="P24" i="5"/>
  <c r="B24" i="5"/>
  <c r="S23" i="5"/>
  <c r="P23" i="5"/>
  <c r="B23" i="5"/>
  <c r="S22" i="5"/>
  <c r="P22" i="5"/>
  <c r="B22" i="5"/>
  <c r="S21" i="5"/>
  <c r="P21" i="5"/>
  <c r="B21" i="5"/>
  <c r="S20" i="5"/>
  <c r="P20" i="5"/>
  <c r="B20" i="5"/>
  <c r="S19" i="5"/>
  <c r="P19" i="5"/>
  <c r="B19" i="5"/>
  <c r="S18" i="5"/>
  <c r="P18" i="5"/>
  <c r="B18" i="5"/>
  <c r="S17" i="5"/>
  <c r="P17" i="5"/>
  <c r="B17" i="5"/>
  <c r="S16" i="5"/>
  <c r="P16" i="5"/>
  <c r="B16" i="5"/>
  <c r="S15" i="5"/>
  <c r="P15" i="5"/>
  <c r="B15" i="5"/>
  <c r="S14" i="5"/>
  <c r="P14" i="5"/>
  <c r="S13" i="5"/>
  <c r="P13" i="5"/>
  <c r="B13" i="5"/>
  <c r="S12" i="5"/>
  <c r="P12" i="5"/>
  <c r="S11" i="5"/>
  <c r="P11" i="5"/>
  <c r="B11" i="5"/>
  <c r="BH10" i="5"/>
  <c r="S10" i="5"/>
  <c r="B10" i="5"/>
  <c r="AC9" i="5"/>
  <c r="AA9" i="5"/>
  <c r="Z9" i="5"/>
  <c r="Y9" i="5"/>
  <c r="X9" i="5"/>
  <c r="V9" i="5"/>
  <c r="U9" i="5"/>
  <c r="R9" i="5"/>
  <c r="Q9" i="5"/>
  <c r="P9" i="5"/>
  <c r="B9" i="5"/>
  <c r="U8" i="5"/>
  <c r="I7" i="5"/>
  <c r="A199" i="4"/>
  <c r="M199" i="4"/>
  <c r="AC199" i="4"/>
  <c r="Y199" i="4" l="1"/>
  <c r="P199" i="4"/>
  <c r="X199" i="4"/>
  <c r="W199" i="4"/>
  <c r="V199" i="4"/>
  <c r="U199" i="4"/>
  <c r="S199" i="4"/>
  <c r="Q199" i="4"/>
  <c r="T199" i="4"/>
  <c r="E199" i="4"/>
  <c r="H199" i="4"/>
  <c r="K199" i="4"/>
  <c r="A198" i="4"/>
  <c r="M198" i="4"/>
  <c r="AC198" i="4"/>
  <c r="U198" i="4" l="1"/>
  <c r="P198" i="4"/>
  <c r="W198" i="4"/>
  <c r="V198" i="4"/>
  <c r="T198" i="4"/>
  <c r="S198" i="4"/>
  <c r="Q198" i="4"/>
  <c r="Y198" i="4"/>
  <c r="X198" i="4"/>
  <c r="E198" i="4"/>
  <c r="H198" i="4"/>
  <c r="K198" i="4"/>
  <c r="A197" i="4"/>
  <c r="M197" i="4"/>
  <c r="AC197" i="4"/>
  <c r="U197" i="4" l="1"/>
  <c r="S197" i="4"/>
  <c r="Q197" i="4"/>
  <c r="P197" i="4"/>
  <c r="X197" i="4"/>
  <c r="T197" i="4"/>
  <c r="Y197" i="4"/>
  <c r="W197" i="4"/>
  <c r="V197" i="4"/>
  <c r="E197" i="4"/>
  <c r="H197" i="4"/>
  <c r="K197" i="4"/>
  <c r="A196" i="4"/>
  <c r="M196" i="4"/>
  <c r="AC196" i="4"/>
  <c r="U196" i="4" l="1"/>
  <c r="T196" i="4"/>
  <c r="S196" i="4"/>
  <c r="Q196" i="4"/>
  <c r="Y196" i="4"/>
  <c r="P196" i="4"/>
  <c r="W196" i="4"/>
  <c r="V196" i="4"/>
  <c r="X196" i="4"/>
  <c r="E196" i="4"/>
  <c r="H196" i="4"/>
  <c r="K196" i="4"/>
  <c r="A195" i="4"/>
  <c r="M195" i="4"/>
  <c r="AC195" i="4"/>
  <c r="U195" i="4" l="1"/>
  <c r="T195" i="4"/>
  <c r="S195" i="4"/>
  <c r="V195" i="4"/>
  <c r="Y195" i="4"/>
  <c r="W195" i="4"/>
  <c r="Q195" i="4"/>
  <c r="P195" i="4"/>
  <c r="X195" i="4"/>
  <c r="E195" i="4"/>
  <c r="H195" i="4"/>
  <c r="K195" i="4"/>
  <c r="A194" i="4"/>
  <c r="M194" i="4"/>
  <c r="AC194" i="4"/>
  <c r="U194" i="4" l="1"/>
  <c r="S194" i="4"/>
  <c r="Y194" i="4"/>
  <c r="T194" i="4"/>
  <c r="Q194" i="4"/>
  <c r="P194" i="4"/>
  <c r="X194" i="4"/>
  <c r="W194" i="4"/>
  <c r="V194" i="4"/>
  <c r="E194" i="4"/>
  <c r="H194" i="4"/>
  <c r="K194" i="4"/>
  <c r="A193" i="4"/>
  <c r="M193" i="4"/>
  <c r="AC193" i="4"/>
  <c r="U193" i="4" l="1"/>
  <c r="S193" i="4"/>
  <c r="Y193" i="4"/>
  <c r="T193" i="4"/>
  <c r="P193" i="4"/>
  <c r="X193" i="4"/>
  <c r="Q193" i="4"/>
  <c r="W193" i="4"/>
  <c r="V193" i="4"/>
  <c r="E193" i="4"/>
  <c r="H193" i="4"/>
  <c r="K193" i="4"/>
  <c r="A192" i="4"/>
  <c r="M192" i="4"/>
  <c r="AC192" i="4"/>
  <c r="U192" i="4" l="1"/>
  <c r="V192" i="4"/>
  <c r="T192" i="4"/>
  <c r="Q192" i="4"/>
  <c r="P192" i="4"/>
  <c r="S192" i="4"/>
  <c r="Y192" i="4"/>
  <c r="X192" i="4"/>
  <c r="W192" i="4"/>
  <c r="E192" i="4"/>
  <c r="H192" i="4"/>
  <c r="K192" i="4"/>
  <c r="A191" i="4"/>
  <c r="M191" i="4"/>
  <c r="AC191" i="4"/>
  <c r="U191" i="4" l="1"/>
  <c r="T191" i="4"/>
  <c r="S191" i="4"/>
  <c r="Y191" i="4"/>
  <c r="P191" i="4"/>
  <c r="Q191" i="4"/>
  <c r="X191" i="4"/>
  <c r="W191" i="4"/>
  <c r="V191" i="4"/>
  <c r="E191" i="4"/>
  <c r="H191" i="4"/>
  <c r="K191" i="4"/>
  <c r="A190" i="4"/>
  <c r="M190" i="4"/>
  <c r="AC190" i="4"/>
  <c r="U190" i="4" l="1"/>
  <c r="T190" i="4"/>
  <c r="W190" i="4"/>
  <c r="V190" i="4"/>
  <c r="S190" i="4"/>
  <c r="P190" i="4"/>
  <c r="Q190" i="4"/>
  <c r="Y190" i="4"/>
  <c r="X190" i="4"/>
  <c r="E190" i="4"/>
  <c r="H190" i="4"/>
  <c r="K190" i="4"/>
  <c r="A189" i="4"/>
  <c r="M189" i="4"/>
  <c r="AC189" i="4"/>
  <c r="U189" i="4" l="1"/>
  <c r="T189" i="4"/>
  <c r="Q189" i="4"/>
  <c r="Y189" i="4"/>
  <c r="P189" i="4"/>
  <c r="X189" i="4"/>
  <c r="S189" i="4"/>
  <c r="V189" i="4"/>
  <c r="W189" i="4"/>
  <c r="E189" i="4"/>
  <c r="H189" i="4"/>
  <c r="K189" i="4"/>
  <c r="A188" i="4"/>
  <c r="M188" i="4"/>
  <c r="AC188" i="4"/>
  <c r="U188" i="4" l="1"/>
  <c r="T188" i="4"/>
  <c r="Q188" i="4"/>
  <c r="Y188" i="4"/>
  <c r="S188" i="4"/>
  <c r="P188" i="4"/>
  <c r="X188" i="4"/>
  <c r="W188" i="4"/>
  <c r="V188" i="4"/>
  <c r="E188" i="4"/>
  <c r="H188" i="4"/>
  <c r="K188" i="4"/>
  <c r="A187" i="4"/>
  <c r="M187" i="4"/>
  <c r="AC187" i="4"/>
  <c r="U187" i="4" l="1"/>
  <c r="T187" i="4"/>
  <c r="X187" i="4"/>
  <c r="W187" i="4"/>
  <c r="S187" i="4"/>
  <c r="P187" i="4"/>
  <c r="V187" i="4"/>
  <c r="Q187" i="4"/>
  <c r="Y187" i="4"/>
  <c r="E187" i="4"/>
  <c r="H187" i="4"/>
  <c r="K187" i="4"/>
  <c r="A186" i="4"/>
  <c r="M186" i="4"/>
  <c r="AC186" i="4"/>
  <c r="U186" i="4" l="1"/>
  <c r="T186" i="4"/>
  <c r="Y186" i="4"/>
  <c r="V186" i="4"/>
  <c r="S186" i="4"/>
  <c r="Q186" i="4"/>
  <c r="P186" i="4"/>
  <c r="X186" i="4"/>
  <c r="W186" i="4"/>
  <c r="E186" i="4"/>
  <c r="H186" i="4"/>
  <c r="K186" i="4"/>
  <c r="A185" i="4"/>
  <c r="M185" i="4"/>
  <c r="AC185" i="4"/>
  <c r="U185" i="4" l="1"/>
  <c r="T185" i="4"/>
  <c r="Q185" i="4"/>
  <c r="P185" i="4"/>
  <c r="W185" i="4"/>
  <c r="S185" i="4"/>
  <c r="Y185" i="4"/>
  <c r="X185" i="4"/>
  <c r="V185" i="4"/>
  <c r="E185" i="4"/>
  <c r="H185" i="4"/>
  <c r="K185" i="4"/>
  <c r="A184" i="4"/>
  <c r="M184" i="4"/>
  <c r="AC184" i="4"/>
  <c r="U184" i="4" l="1"/>
  <c r="T184" i="4"/>
  <c r="S184" i="4"/>
  <c r="Q184" i="4"/>
  <c r="P184" i="4"/>
  <c r="W184" i="4"/>
  <c r="Y184" i="4"/>
  <c r="X184" i="4"/>
  <c r="V184" i="4"/>
  <c r="E184" i="4"/>
  <c r="H184" i="4"/>
  <c r="K184" i="4"/>
  <c r="A183" i="4"/>
  <c r="M183" i="4"/>
  <c r="AC183" i="4"/>
  <c r="U183" i="4" l="1"/>
  <c r="T183" i="4"/>
  <c r="S183" i="4"/>
  <c r="X183" i="4"/>
  <c r="Y183" i="4"/>
  <c r="Q183" i="4"/>
  <c r="P183" i="4"/>
  <c r="W183" i="4"/>
  <c r="V183" i="4"/>
  <c r="E183" i="4"/>
  <c r="H183" i="4"/>
  <c r="K183" i="4"/>
  <c r="A182" i="4"/>
  <c r="M182" i="4"/>
  <c r="AC182" i="4"/>
  <c r="U182" i="4" l="1"/>
  <c r="T182" i="4"/>
  <c r="S182" i="4"/>
  <c r="X182" i="4"/>
  <c r="W182" i="4"/>
  <c r="Y182" i="4"/>
  <c r="P182" i="4"/>
  <c r="V182" i="4"/>
  <c r="Q182" i="4"/>
  <c r="E182" i="4"/>
  <c r="H182" i="4"/>
  <c r="K182" i="4"/>
  <c r="A181" i="4"/>
  <c r="M181" i="4"/>
  <c r="AC181" i="4"/>
  <c r="U181" i="4" l="1"/>
  <c r="T181" i="4"/>
  <c r="S181" i="4"/>
  <c r="X181" i="4"/>
  <c r="W181" i="4"/>
  <c r="Y181" i="4"/>
  <c r="P181" i="4"/>
  <c r="V181" i="4"/>
  <c r="Q181" i="4"/>
  <c r="E181" i="4"/>
  <c r="H181" i="4"/>
  <c r="K181" i="4"/>
  <c r="A180" i="4"/>
  <c r="M180" i="4"/>
  <c r="AC180" i="4"/>
  <c r="U180" i="4" l="1"/>
  <c r="Y180" i="4"/>
  <c r="W180" i="4"/>
  <c r="V180" i="4"/>
  <c r="T180" i="4"/>
  <c r="P180" i="4"/>
  <c r="X180" i="4"/>
  <c r="S180" i="4"/>
  <c r="Q180" i="4"/>
  <c r="E180" i="4"/>
  <c r="H180" i="4"/>
  <c r="K180" i="4"/>
  <c r="A179" i="4"/>
  <c r="M179" i="4"/>
  <c r="AC179" i="4"/>
  <c r="U179" i="4" l="1"/>
  <c r="T179" i="4"/>
  <c r="S179" i="4"/>
  <c r="W179" i="4"/>
  <c r="V179" i="4"/>
  <c r="Q179" i="4"/>
  <c r="Y179" i="4"/>
  <c r="P179" i="4"/>
  <c r="X179" i="4"/>
  <c r="E179" i="4"/>
  <c r="H179" i="4"/>
  <c r="K179" i="4"/>
  <c r="A178" i="4"/>
  <c r="M178" i="4"/>
  <c r="AC178" i="4"/>
  <c r="U178" i="4" l="1"/>
  <c r="T178" i="4"/>
  <c r="Q178" i="4"/>
  <c r="W178" i="4"/>
  <c r="S178" i="4"/>
  <c r="Y178" i="4"/>
  <c r="P178" i="4"/>
  <c r="X178" i="4"/>
  <c r="V178" i="4"/>
  <c r="E178" i="4"/>
  <c r="H178" i="4"/>
  <c r="K178" i="4"/>
  <c r="A177" i="4"/>
  <c r="M177" i="4"/>
  <c r="AC177" i="4"/>
  <c r="U177" i="4" l="1"/>
  <c r="T177" i="4"/>
  <c r="S177" i="4"/>
  <c r="P177" i="4"/>
  <c r="X177" i="4"/>
  <c r="W177" i="4"/>
  <c r="Q177" i="4"/>
  <c r="Y177" i="4"/>
  <c r="V177" i="4"/>
  <c r="E177" i="4"/>
  <c r="H177" i="4"/>
  <c r="K177" i="4"/>
  <c r="A176" i="4"/>
  <c r="M176" i="4"/>
  <c r="AC176" i="4"/>
  <c r="U176" i="4" l="1"/>
  <c r="T176" i="4"/>
  <c r="P176" i="4"/>
  <c r="X176" i="4"/>
  <c r="W176" i="4"/>
  <c r="V176" i="4"/>
  <c r="S176" i="4"/>
  <c r="Q176" i="4"/>
  <c r="Y176" i="4"/>
  <c r="E176" i="4"/>
  <c r="H176" i="4"/>
  <c r="K176" i="4"/>
  <c r="A175" i="4"/>
  <c r="M175" i="4"/>
  <c r="AC175" i="4"/>
  <c r="U175" i="4" l="1"/>
  <c r="T175" i="4"/>
  <c r="X175" i="4"/>
  <c r="W175" i="4"/>
  <c r="S175" i="4"/>
  <c r="Q175" i="4"/>
  <c r="Y175" i="4"/>
  <c r="P175" i="4"/>
  <c r="V175" i="4"/>
  <c r="E175" i="4"/>
  <c r="H175" i="4"/>
  <c r="K175" i="4"/>
  <c r="A174" i="4"/>
  <c r="M174" i="4"/>
  <c r="AC174" i="4"/>
  <c r="U174" i="4" l="1"/>
  <c r="T174" i="4"/>
  <c r="S174" i="4"/>
  <c r="Q174" i="4"/>
  <c r="Y174" i="4"/>
  <c r="X174" i="4"/>
  <c r="W174" i="4"/>
  <c r="V174" i="4"/>
  <c r="P174" i="4"/>
  <c r="E174" i="4"/>
  <c r="H174" i="4"/>
  <c r="K174" i="4"/>
  <c r="A173" i="4"/>
  <c r="M173" i="4"/>
  <c r="AC173" i="4"/>
  <c r="U173" i="4" l="1"/>
  <c r="T173" i="4"/>
  <c r="Y173" i="4"/>
  <c r="X173" i="4"/>
  <c r="S173" i="4"/>
  <c r="W173" i="4"/>
  <c r="Q173" i="4"/>
  <c r="P173" i="4"/>
  <c r="V173" i="4"/>
  <c r="E173" i="4"/>
  <c r="H173" i="4"/>
  <c r="K173" i="4"/>
  <c r="A172" i="4"/>
  <c r="M172" i="4"/>
  <c r="AC172" i="4"/>
  <c r="U172" i="4" l="1"/>
  <c r="S172" i="4"/>
  <c r="Q172" i="4"/>
  <c r="Y172" i="4"/>
  <c r="T172" i="4"/>
  <c r="P172" i="4"/>
  <c r="X172" i="4"/>
  <c r="W172" i="4"/>
  <c r="V172" i="4"/>
  <c r="E172" i="4"/>
  <c r="H172" i="4"/>
  <c r="K172" i="4"/>
  <c r="A171" i="4"/>
  <c r="M171" i="4"/>
  <c r="AC171" i="4"/>
  <c r="U171" i="4" l="1"/>
  <c r="T171" i="4"/>
  <c r="S171" i="4"/>
  <c r="Q171" i="4"/>
  <c r="W171" i="4"/>
  <c r="V171" i="4"/>
  <c r="P171" i="4"/>
  <c r="Y171" i="4"/>
  <c r="X171" i="4"/>
  <c r="E171" i="4"/>
  <c r="H171" i="4"/>
  <c r="K171" i="4"/>
  <c r="A170" i="4"/>
  <c r="M170" i="4"/>
  <c r="AC170" i="4"/>
  <c r="U170" i="4" l="1"/>
  <c r="S170" i="4"/>
  <c r="T170" i="4"/>
  <c r="Y170" i="4"/>
  <c r="Q170" i="4"/>
  <c r="P170" i="4"/>
  <c r="X170" i="4"/>
  <c r="W170" i="4"/>
  <c r="V170" i="4"/>
  <c r="E170" i="4"/>
  <c r="H170" i="4"/>
  <c r="K170" i="4"/>
  <c r="A169" i="4"/>
  <c r="M169" i="4"/>
  <c r="AC169" i="4"/>
  <c r="U169" i="4" l="1"/>
  <c r="T169" i="4"/>
  <c r="S169" i="4"/>
  <c r="P169" i="4"/>
  <c r="V169" i="4"/>
  <c r="Q169" i="4"/>
  <c r="Y169" i="4"/>
  <c r="X169" i="4"/>
  <c r="W169" i="4"/>
  <c r="E169" i="4"/>
  <c r="H169" i="4"/>
  <c r="K169" i="4"/>
  <c r="A168" i="4"/>
  <c r="M168" i="4"/>
  <c r="AC168" i="4"/>
  <c r="U168" i="4" l="1"/>
  <c r="T168" i="4"/>
  <c r="S168" i="4"/>
  <c r="P168" i="4"/>
  <c r="X168" i="4"/>
  <c r="W168" i="4"/>
  <c r="Q168" i="4"/>
  <c r="Y168" i="4"/>
  <c r="V168" i="4"/>
  <c r="E168" i="4"/>
  <c r="H168" i="4"/>
  <c r="K168" i="4"/>
  <c r="A167" i="4"/>
  <c r="M167" i="4"/>
  <c r="AC167" i="4"/>
  <c r="U167" i="4" l="1"/>
  <c r="S167" i="4"/>
  <c r="Q167" i="4"/>
  <c r="P167" i="4"/>
  <c r="T167" i="4"/>
  <c r="W167" i="4"/>
  <c r="V167" i="4"/>
  <c r="Y167" i="4"/>
  <c r="X167" i="4"/>
  <c r="E167" i="4"/>
  <c r="H167" i="4"/>
  <c r="K167" i="4"/>
  <c r="A166" i="4"/>
  <c r="M166" i="4"/>
  <c r="AC166" i="4"/>
  <c r="U166" i="4" l="1"/>
  <c r="T166" i="4"/>
  <c r="S166" i="4"/>
  <c r="V166" i="4"/>
  <c r="Q166" i="4"/>
  <c r="Y166" i="4"/>
  <c r="P166" i="4"/>
  <c r="X166" i="4"/>
  <c r="W166" i="4"/>
  <c r="E166" i="4"/>
  <c r="H166" i="4"/>
  <c r="K166" i="4"/>
  <c r="A165" i="4"/>
  <c r="M165" i="4"/>
  <c r="AC165" i="4"/>
  <c r="U165" i="4" l="1"/>
  <c r="T165" i="4"/>
  <c r="S165" i="4"/>
  <c r="Q165" i="4"/>
  <c r="P165" i="4"/>
  <c r="V165" i="4"/>
  <c r="Y165" i="4"/>
  <c r="X165" i="4"/>
  <c r="W165" i="4"/>
  <c r="E165" i="4"/>
  <c r="H165" i="4"/>
  <c r="K165" i="4"/>
  <c r="A164" i="4"/>
  <c r="M164" i="4"/>
  <c r="AC164" i="4"/>
  <c r="U164" i="4" l="1"/>
  <c r="T164" i="4"/>
  <c r="Y164" i="4"/>
  <c r="X164" i="4"/>
  <c r="S164" i="4"/>
  <c r="Q164" i="4"/>
  <c r="P164" i="4"/>
  <c r="W164" i="4"/>
  <c r="V164" i="4"/>
  <c r="E164" i="4"/>
  <c r="H164" i="4"/>
  <c r="K164" i="4"/>
  <c r="A163" i="4"/>
  <c r="M163" i="4"/>
  <c r="AC163" i="4"/>
  <c r="U163" i="4" l="1"/>
  <c r="T163" i="4"/>
  <c r="P163" i="4"/>
  <c r="V163" i="4"/>
  <c r="S163" i="4"/>
  <c r="Y163" i="4"/>
  <c r="X163" i="4"/>
  <c r="Q163" i="4"/>
  <c r="W163" i="4"/>
  <c r="E163" i="4"/>
  <c r="H163" i="4"/>
  <c r="K163" i="4"/>
  <c r="A162" i="4"/>
  <c r="M162" i="4"/>
  <c r="AC162" i="4"/>
  <c r="U162" i="4" l="1"/>
  <c r="Q162" i="4"/>
  <c r="V162" i="4"/>
  <c r="T162" i="4"/>
  <c r="S162" i="4"/>
  <c r="Y162" i="4"/>
  <c r="X162" i="4"/>
  <c r="W162" i="4"/>
  <c r="P162" i="4"/>
  <c r="E162" i="4"/>
  <c r="H162" i="4"/>
  <c r="K162" i="4"/>
  <c r="A161" i="4"/>
  <c r="M161" i="4"/>
  <c r="AC161" i="4"/>
  <c r="U161" i="4" l="1"/>
  <c r="T161" i="4"/>
  <c r="S161" i="4"/>
  <c r="Q161" i="4"/>
  <c r="P161" i="4"/>
  <c r="Y161" i="4"/>
  <c r="X161" i="4"/>
  <c r="W161" i="4"/>
  <c r="V161" i="4"/>
  <c r="E161" i="4"/>
  <c r="H161" i="4"/>
  <c r="K161" i="4"/>
  <c r="A160" i="4"/>
  <c r="M160" i="4"/>
  <c r="AC160" i="4"/>
  <c r="U160" i="4" l="1"/>
  <c r="T160" i="4"/>
  <c r="S160" i="4"/>
  <c r="X160" i="4"/>
  <c r="W160" i="4"/>
  <c r="Y160" i="4"/>
  <c r="V160" i="4"/>
  <c r="Q160" i="4"/>
  <c r="P160" i="4"/>
  <c r="E160" i="4"/>
  <c r="H160" i="4"/>
  <c r="K160" i="4"/>
  <c r="A159" i="4"/>
  <c r="M159" i="4"/>
  <c r="AC159" i="4"/>
  <c r="U159" i="4" l="1"/>
  <c r="T159" i="4"/>
  <c r="S159" i="4"/>
  <c r="Y159" i="4"/>
  <c r="W159" i="4"/>
  <c r="Q159" i="4"/>
  <c r="P159" i="4"/>
  <c r="X159" i="4"/>
  <c r="V159" i="4"/>
  <c r="E159" i="4"/>
  <c r="H159" i="4"/>
  <c r="K159" i="4"/>
  <c r="A158" i="4"/>
  <c r="M158" i="4"/>
  <c r="AC158" i="4"/>
  <c r="U158" i="4" l="1"/>
  <c r="Y158" i="4"/>
  <c r="P158" i="4"/>
  <c r="V158" i="4"/>
  <c r="T158" i="4"/>
  <c r="Q158" i="4"/>
  <c r="X158" i="4"/>
  <c r="W158" i="4"/>
  <c r="S158" i="4"/>
  <c r="E158" i="4"/>
  <c r="H158" i="4"/>
  <c r="K158" i="4"/>
  <c r="A157" i="4"/>
  <c r="H157" i="4" s="1"/>
  <c r="M157" i="4"/>
  <c r="AC157" i="4"/>
  <c r="U157" i="4" l="1"/>
  <c r="T157" i="4"/>
  <c r="S157" i="4"/>
  <c r="P157" i="4"/>
  <c r="X157" i="4"/>
  <c r="W157" i="4"/>
  <c r="Y157" i="4"/>
  <c r="V157" i="4"/>
  <c r="Q157" i="4"/>
  <c r="E157" i="4"/>
  <c r="K157" i="4"/>
  <c r="A156" i="4"/>
  <c r="M156" i="4"/>
  <c r="AC156" i="4"/>
  <c r="T156" i="4" l="1"/>
  <c r="S156" i="4"/>
  <c r="Y156" i="4"/>
  <c r="P156" i="4"/>
  <c r="X156" i="4"/>
  <c r="W156" i="4"/>
  <c r="Q156" i="4"/>
  <c r="V156" i="4"/>
  <c r="U156" i="4"/>
  <c r="E156" i="4"/>
  <c r="H156" i="4"/>
  <c r="K156" i="4"/>
  <c r="A155" i="4"/>
  <c r="M155" i="4"/>
  <c r="AC155" i="4"/>
  <c r="U155" i="4" l="1"/>
  <c r="T155" i="4"/>
  <c r="X155" i="4"/>
  <c r="W155" i="4"/>
  <c r="V155" i="4"/>
  <c r="P155" i="4"/>
  <c r="S155" i="4"/>
  <c r="Q155" i="4"/>
  <c r="Y155" i="4"/>
  <c r="E155" i="4"/>
  <c r="H155" i="4"/>
  <c r="K155" i="4"/>
  <c r="A154" i="4"/>
  <c r="M154" i="4"/>
  <c r="AC154" i="4"/>
  <c r="U154" i="4" l="1"/>
  <c r="T154" i="4"/>
  <c r="W154" i="4"/>
  <c r="S154" i="4"/>
  <c r="Q154" i="4"/>
  <c r="Y154" i="4"/>
  <c r="P154" i="4"/>
  <c r="X154" i="4"/>
  <c r="V154" i="4"/>
  <c r="E154" i="4"/>
  <c r="H154" i="4"/>
  <c r="K154" i="4"/>
  <c r="A153" i="4"/>
  <c r="M153" i="4"/>
  <c r="AC153" i="4"/>
  <c r="U153" i="4" l="1"/>
  <c r="S153" i="4"/>
  <c r="Q153" i="4"/>
  <c r="Y153" i="4"/>
  <c r="T153" i="4"/>
  <c r="X153" i="4"/>
  <c r="W153" i="4"/>
  <c r="V153" i="4"/>
  <c r="P153" i="4"/>
  <c r="E153" i="4"/>
  <c r="H153" i="4"/>
  <c r="K153" i="4"/>
  <c r="A152" i="4"/>
  <c r="M152" i="4"/>
  <c r="AC152" i="4"/>
  <c r="U152" i="4" l="1"/>
  <c r="T152" i="4"/>
  <c r="S152" i="4"/>
  <c r="Q152" i="4"/>
  <c r="P152" i="4"/>
  <c r="X152" i="4"/>
  <c r="V152" i="4"/>
  <c r="Y152" i="4"/>
  <c r="W152" i="4"/>
  <c r="E152" i="4"/>
  <c r="H152" i="4"/>
  <c r="K152" i="4"/>
  <c r="A151" i="4"/>
  <c r="M151" i="4"/>
  <c r="AC151" i="4"/>
  <c r="U151" i="4" l="1"/>
  <c r="T151" i="4"/>
  <c r="S151" i="4"/>
  <c r="Y151" i="4"/>
  <c r="Q151" i="4"/>
  <c r="P151" i="4"/>
  <c r="X151" i="4"/>
  <c r="W151" i="4"/>
  <c r="V151" i="4"/>
  <c r="E151" i="4"/>
  <c r="H151" i="4"/>
  <c r="K151" i="4"/>
  <c r="A150" i="4"/>
  <c r="M150" i="4"/>
  <c r="AC150" i="4"/>
  <c r="U150" i="4" l="1"/>
  <c r="W150" i="4"/>
  <c r="V150" i="4"/>
  <c r="T150" i="4"/>
  <c r="S150" i="4"/>
  <c r="Q150" i="4"/>
  <c r="Y150" i="4"/>
  <c r="P150" i="4"/>
  <c r="X150" i="4"/>
  <c r="E150" i="4"/>
  <c r="H150" i="4"/>
  <c r="K150" i="4"/>
  <c r="A149" i="4"/>
  <c r="M149" i="4"/>
  <c r="AC149" i="4"/>
  <c r="U149" i="4" l="1"/>
  <c r="T149" i="4"/>
  <c r="S149" i="4"/>
  <c r="V149" i="4"/>
  <c r="Y149" i="4"/>
  <c r="P149" i="4"/>
  <c r="X149" i="4"/>
  <c r="W149" i="4"/>
  <c r="Q149" i="4"/>
  <c r="E149" i="4"/>
  <c r="H149" i="4"/>
  <c r="K149" i="4"/>
  <c r="A148" i="4"/>
  <c r="M148" i="4"/>
  <c r="AC148" i="4"/>
  <c r="U148" i="4" l="1"/>
  <c r="T148" i="4"/>
  <c r="S148" i="4"/>
  <c r="Y148" i="4"/>
  <c r="W148" i="4"/>
  <c r="Q148" i="4"/>
  <c r="P148" i="4"/>
  <c r="X148" i="4"/>
  <c r="V148" i="4"/>
  <c r="E148" i="4"/>
  <c r="H148" i="4"/>
  <c r="K148" i="4"/>
  <c r="A147" i="4"/>
  <c r="M147" i="4"/>
  <c r="AC147" i="4"/>
  <c r="U147" i="4" l="1"/>
  <c r="T147" i="4"/>
  <c r="S147" i="4"/>
  <c r="Y147" i="4"/>
  <c r="X147" i="4"/>
  <c r="W147" i="4"/>
  <c r="P147" i="4"/>
  <c r="V147" i="4"/>
  <c r="Q147" i="4"/>
  <c r="E147" i="4"/>
  <c r="H147" i="4"/>
  <c r="K147" i="4"/>
  <c r="A146" i="4"/>
  <c r="M146" i="4"/>
  <c r="AC146" i="4"/>
  <c r="U146" i="4" l="1"/>
  <c r="W146" i="4"/>
  <c r="V146" i="4"/>
  <c r="T146" i="4"/>
  <c r="S146" i="4"/>
  <c r="Y146" i="4"/>
  <c r="Q146" i="4"/>
  <c r="P146" i="4"/>
  <c r="X146" i="4"/>
  <c r="E146" i="4"/>
  <c r="H146" i="4"/>
  <c r="K146" i="4"/>
  <c r="A145" i="4"/>
  <c r="M145" i="4"/>
  <c r="AC145" i="4"/>
  <c r="U145" i="4" l="1"/>
  <c r="T145" i="4"/>
  <c r="Q145" i="4"/>
  <c r="X145" i="4"/>
  <c r="S145" i="4"/>
  <c r="P145" i="4"/>
  <c r="Y145" i="4"/>
  <c r="W145" i="4"/>
  <c r="V145" i="4"/>
  <c r="E145" i="4"/>
  <c r="H145" i="4"/>
  <c r="K145" i="4"/>
  <c r="A144" i="4"/>
  <c r="M144" i="4"/>
  <c r="AC144" i="4"/>
  <c r="U144" i="4" l="1"/>
  <c r="S144" i="4"/>
  <c r="Y144" i="4"/>
  <c r="X144" i="4"/>
  <c r="W144" i="4"/>
  <c r="T144" i="4"/>
  <c r="Q144" i="4"/>
  <c r="V144" i="4"/>
  <c r="P144" i="4"/>
  <c r="E144" i="4"/>
  <c r="H144" i="4"/>
  <c r="K144" i="4"/>
  <c r="A143" i="4"/>
  <c r="M143" i="4"/>
  <c r="AC143" i="4"/>
  <c r="U143" i="4" l="1"/>
  <c r="S143" i="4"/>
  <c r="Y143" i="4"/>
  <c r="P143" i="4"/>
  <c r="T143" i="4"/>
  <c r="Q143" i="4"/>
  <c r="X143" i="4"/>
  <c r="W143" i="4"/>
  <c r="V143" i="4"/>
  <c r="E143" i="4"/>
  <c r="H143" i="4"/>
  <c r="K143" i="4"/>
  <c r="A142" i="4"/>
  <c r="M142" i="4"/>
  <c r="AC142" i="4"/>
  <c r="U142" i="4" l="1"/>
  <c r="T142" i="4"/>
  <c r="S142" i="4"/>
  <c r="Q142" i="4"/>
  <c r="P142" i="4"/>
  <c r="X142" i="4"/>
  <c r="W142" i="4"/>
  <c r="V142" i="4"/>
  <c r="Y142" i="4"/>
  <c r="E142" i="4"/>
  <c r="H142" i="4"/>
  <c r="K142" i="4"/>
  <c r="A141" i="4"/>
  <c r="M141" i="4"/>
  <c r="AC141" i="4"/>
  <c r="U141" i="4" l="1"/>
  <c r="T141" i="4"/>
  <c r="S141" i="4"/>
  <c r="Y141" i="4"/>
  <c r="P141" i="4"/>
  <c r="Q141" i="4"/>
  <c r="X141" i="4"/>
  <c r="W141" i="4"/>
  <c r="V141" i="4"/>
  <c r="E141" i="4"/>
  <c r="H141" i="4"/>
  <c r="K141" i="4"/>
  <c r="A140" i="4"/>
  <c r="M140" i="4"/>
  <c r="AC140" i="4"/>
  <c r="U140" i="4" l="1"/>
  <c r="T140" i="4"/>
  <c r="Q140" i="4"/>
  <c r="Y140" i="4"/>
  <c r="P140" i="4"/>
  <c r="X140" i="4"/>
  <c r="W140" i="4"/>
  <c r="V140" i="4"/>
  <c r="S140" i="4"/>
  <c r="E140" i="4"/>
  <c r="H140" i="4"/>
  <c r="K140" i="4"/>
  <c r="A139" i="4"/>
  <c r="M139" i="4"/>
  <c r="AC139" i="4"/>
  <c r="U139" i="4" l="1"/>
  <c r="P139" i="4"/>
  <c r="X139" i="4"/>
  <c r="T139" i="4"/>
  <c r="Y139" i="4"/>
  <c r="W139" i="4"/>
  <c r="V139" i="4"/>
  <c r="S139" i="4"/>
  <c r="Q139" i="4"/>
  <c r="E139" i="4"/>
  <c r="H139" i="4"/>
  <c r="K139" i="4"/>
  <c r="A138" i="4"/>
  <c r="M138" i="4"/>
  <c r="AC138" i="4"/>
  <c r="U138" i="4" l="1"/>
  <c r="T138" i="4"/>
  <c r="S138" i="4"/>
  <c r="Y138" i="4"/>
  <c r="Q138" i="4"/>
  <c r="X138" i="4"/>
  <c r="W138" i="4"/>
  <c r="V138" i="4"/>
  <c r="P138" i="4"/>
  <c r="E138" i="4"/>
  <c r="H138" i="4"/>
  <c r="K138" i="4"/>
  <c r="A137" i="4"/>
  <c r="M137" i="4"/>
  <c r="AC137" i="4"/>
  <c r="U137" i="4" l="1"/>
  <c r="T137" i="4"/>
  <c r="S137" i="4"/>
  <c r="X137" i="4"/>
  <c r="W137" i="4"/>
  <c r="Y137" i="4"/>
  <c r="P137" i="4"/>
  <c r="V137" i="4"/>
  <c r="Q137" i="4"/>
  <c r="E137" i="4"/>
  <c r="H137" i="4"/>
  <c r="K137" i="4"/>
  <c r="A136" i="4"/>
  <c r="M136" i="4"/>
  <c r="AC136" i="4"/>
  <c r="U136" i="4" l="1"/>
  <c r="T136" i="4"/>
  <c r="Y136" i="4"/>
  <c r="P136" i="4"/>
  <c r="W136" i="4"/>
  <c r="V136" i="4"/>
  <c r="X136" i="4"/>
  <c r="S136" i="4"/>
  <c r="Q136" i="4"/>
  <c r="E136" i="4"/>
  <c r="H136" i="4"/>
  <c r="K136" i="4"/>
  <c r="A135" i="4"/>
  <c r="M135" i="4"/>
  <c r="AC135" i="4"/>
  <c r="U135" i="4" l="1"/>
  <c r="T135" i="4"/>
  <c r="S135" i="4"/>
  <c r="V135" i="4"/>
  <c r="Y135" i="4"/>
  <c r="Q135" i="4"/>
  <c r="P135" i="4"/>
  <c r="X135" i="4"/>
  <c r="W135" i="4"/>
  <c r="E135" i="4"/>
  <c r="H135" i="4"/>
  <c r="K135" i="4"/>
  <c r="A134" i="4"/>
  <c r="M134" i="4"/>
  <c r="AC134" i="4"/>
  <c r="U134" i="4" l="1"/>
  <c r="T134" i="4"/>
  <c r="S134" i="4"/>
  <c r="Q134" i="4"/>
  <c r="Y134" i="4"/>
  <c r="W134" i="4"/>
  <c r="V134" i="4"/>
  <c r="X134" i="4"/>
  <c r="P134" i="4"/>
  <c r="E134" i="4"/>
  <c r="H134" i="4"/>
  <c r="K134" i="4"/>
  <c r="A133" i="4"/>
  <c r="M133" i="4"/>
  <c r="AC133" i="4"/>
  <c r="U133" i="4" l="1"/>
  <c r="S133" i="4"/>
  <c r="Q133" i="4"/>
  <c r="P133" i="4"/>
  <c r="X133" i="4"/>
  <c r="V133" i="4"/>
  <c r="T133" i="4"/>
  <c r="Y133" i="4"/>
  <c r="W133" i="4"/>
  <c r="K133" i="4"/>
  <c r="E133" i="4"/>
  <c r="H133" i="4"/>
  <c r="A132" i="4"/>
  <c r="M132" i="4"/>
  <c r="AC132" i="4"/>
  <c r="U132" i="4" l="1"/>
  <c r="Q132" i="4"/>
  <c r="Y132" i="4"/>
  <c r="T132" i="4"/>
  <c r="S132" i="4"/>
  <c r="P132" i="4"/>
  <c r="X132" i="4"/>
  <c r="W132" i="4"/>
  <c r="V132" i="4"/>
  <c r="E132" i="4"/>
  <c r="H132" i="4"/>
  <c r="K132" i="4"/>
  <c r="A131" i="4"/>
  <c r="M131" i="4"/>
  <c r="AC131" i="4"/>
  <c r="U131" i="4" l="1"/>
  <c r="T131" i="4"/>
  <c r="Q131" i="4"/>
  <c r="P131" i="4"/>
  <c r="X131" i="4"/>
  <c r="W131" i="4"/>
  <c r="S131" i="4"/>
  <c r="Y131" i="4"/>
  <c r="V131" i="4"/>
  <c r="E131" i="4"/>
  <c r="H131" i="4"/>
  <c r="K131" i="4"/>
  <c r="A130" i="4"/>
  <c r="M130" i="4"/>
  <c r="AC130" i="4"/>
  <c r="U130" i="4" l="1"/>
  <c r="T130" i="4"/>
  <c r="S130" i="4"/>
  <c r="Q130" i="4"/>
  <c r="P130" i="4"/>
  <c r="X130" i="4"/>
  <c r="Y130" i="4"/>
  <c r="W130" i="4"/>
  <c r="V130" i="4"/>
  <c r="E130" i="4"/>
  <c r="H130" i="4"/>
  <c r="K130" i="4"/>
  <c r="A129" i="4"/>
  <c r="M129" i="4"/>
  <c r="AC129" i="4"/>
  <c r="U129" i="4" l="1"/>
  <c r="T129" i="4"/>
  <c r="S129" i="4"/>
  <c r="Q129" i="4"/>
  <c r="W129" i="4"/>
  <c r="Y129" i="4"/>
  <c r="P129" i="4"/>
  <c r="X129" i="4"/>
  <c r="V129" i="4"/>
  <c r="E129" i="4"/>
  <c r="H129" i="4"/>
  <c r="K129" i="4"/>
  <c r="A128" i="4"/>
  <c r="M128" i="4"/>
  <c r="AC128" i="4"/>
  <c r="U128" i="4" l="1"/>
  <c r="T128" i="4"/>
  <c r="Q128" i="4"/>
  <c r="P128" i="4"/>
  <c r="W128" i="4"/>
  <c r="V128" i="4"/>
  <c r="S128" i="4"/>
  <c r="Y128" i="4"/>
  <c r="X128" i="4"/>
  <c r="E128" i="4"/>
  <c r="H128" i="4"/>
  <c r="K128" i="4"/>
  <c r="A127" i="4"/>
  <c r="M127" i="4"/>
  <c r="AC127" i="4"/>
  <c r="U127" i="4" l="1"/>
  <c r="T127" i="4"/>
  <c r="Q127" i="4"/>
  <c r="P127" i="4"/>
  <c r="V127" i="4"/>
  <c r="S127" i="4"/>
  <c r="W127" i="4"/>
  <c r="Y127" i="4"/>
  <c r="X127" i="4"/>
  <c r="E127" i="4"/>
  <c r="H127" i="4"/>
  <c r="K127" i="4"/>
  <c r="A126" i="4"/>
  <c r="M126" i="4"/>
  <c r="AC126" i="4"/>
  <c r="U126" i="4" l="1"/>
  <c r="T126" i="4"/>
  <c r="S126" i="4"/>
  <c r="Q126" i="4"/>
  <c r="P126" i="4"/>
  <c r="X126" i="4"/>
  <c r="W126" i="4"/>
  <c r="Y126" i="4"/>
  <c r="V126" i="4"/>
  <c r="E126" i="4"/>
  <c r="H126" i="4"/>
  <c r="K126" i="4"/>
  <c r="A125" i="4"/>
  <c r="M125" i="4"/>
  <c r="AC125" i="4"/>
  <c r="U125" i="4" l="1"/>
  <c r="T125" i="4"/>
  <c r="S125" i="4"/>
  <c r="Q125" i="4"/>
  <c r="P125" i="4"/>
  <c r="X125" i="4"/>
  <c r="W125" i="4"/>
  <c r="V125" i="4"/>
  <c r="Y125" i="4"/>
  <c r="H125" i="4"/>
  <c r="E125" i="4"/>
  <c r="K125" i="4"/>
  <c r="A124" i="4"/>
  <c r="M124" i="4"/>
  <c r="AC124" i="4"/>
  <c r="U124" i="4" l="1"/>
  <c r="T124" i="4"/>
  <c r="S124" i="4"/>
  <c r="Q124" i="4"/>
  <c r="P124" i="4"/>
  <c r="X124" i="4"/>
  <c r="W124" i="4"/>
  <c r="V124" i="4"/>
  <c r="Y124" i="4"/>
  <c r="E124" i="4"/>
  <c r="H124" i="4"/>
  <c r="K124" i="4"/>
  <c r="A123" i="4"/>
  <c r="M123" i="4"/>
  <c r="AC123" i="4"/>
  <c r="U123" i="4" l="1"/>
  <c r="T123" i="4"/>
  <c r="S123" i="4"/>
  <c r="Q123" i="4"/>
  <c r="P123" i="4"/>
  <c r="W123" i="4"/>
  <c r="V123" i="4"/>
  <c r="Y123" i="4"/>
  <c r="X123" i="4"/>
  <c r="E123" i="4"/>
  <c r="H123" i="4"/>
  <c r="K123" i="4"/>
  <c r="A122" i="4"/>
  <c r="M122" i="4"/>
  <c r="AC122" i="4"/>
  <c r="U122" i="4" l="1"/>
  <c r="T122" i="4"/>
  <c r="S122" i="4"/>
  <c r="Q122" i="4"/>
  <c r="P122" i="4"/>
  <c r="X122" i="4"/>
  <c r="W122" i="4"/>
  <c r="Y122" i="4"/>
  <c r="V122" i="4"/>
  <c r="E122" i="4"/>
  <c r="H122" i="4"/>
  <c r="K122" i="4"/>
  <c r="A121" i="4"/>
  <c r="M121" i="4"/>
  <c r="AC121" i="4"/>
  <c r="U121" i="4" l="1"/>
  <c r="T121" i="4"/>
  <c r="S121" i="4"/>
  <c r="W121" i="4"/>
  <c r="V121" i="4"/>
  <c r="Q121" i="4"/>
  <c r="Y121" i="4"/>
  <c r="P121" i="4"/>
  <c r="X121" i="4"/>
  <c r="E121" i="4"/>
  <c r="H121" i="4"/>
  <c r="K121" i="4"/>
  <c r="A120" i="4"/>
  <c r="M120" i="4"/>
  <c r="AC120" i="4"/>
  <c r="U120" i="4" l="1"/>
  <c r="T120" i="4"/>
  <c r="S120" i="4"/>
  <c r="Q120" i="4"/>
  <c r="W120" i="4"/>
  <c r="Y120" i="4"/>
  <c r="P120" i="4"/>
  <c r="X120" i="4"/>
  <c r="V120" i="4"/>
  <c r="E120" i="4"/>
  <c r="H120" i="4"/>
  <c r="K120" i="4"/>
  <c r="A119" i="4"/>
  <c r="M119" i="4"/>
  <c r="AC119" i="4"/>
  <c r="U119" i="4" l="1"/>
  <c r="X119" i="4"/>
  <c r="W119" i="4"/>
  <c r="T119" i="4"/>
  <c r="S119" i="4"/>
  <c r="V119" i="4"/>
  <c r="Q119" i="4"/>
  <c r="Y119" i="4"/>
  <c r="P119" i="4"/>
  <c r="E119" i="4"/>
  <c r="H119" i="4"/>
  <c r="K119" i="4"/>
  <c r="A118" i="4"/>
  <c r="M118" i="4"/>
  <c r="AC118" i="4"/>
  <c r="U118" i="4" l="1"/>
  <c r="T118" i="4"/>
  <c r="S118" i="4"/>
  <c r="Q118" i="4"/>
  <c r="Y118" i="4"/>
  <c r="P118" i="4"/>
  <c r="X118" i="4"/>
  <c r="W118" i="4"/>
  <c r="V118" i="4"/>
  <c r="E118" i="4"/>
  <c r="H118" i="4"/>
  <c r="K118" i="4"/>
  <c r="A117" i="4"/>
  <c r="M117" i="4"/>
  <c r="AC117" i="4"/>
  <c r="U117" i="4" l="1"/>
  <c r="T117" i="4"/>
  <c r="Q117" i="4"/>
  <c r="X117" i="4"/>
  <c r="S117" i="4"/>
  <c r="Y117" i="4"/>
  <c r="P117" i="4"/>
  <c r="W117" i="4"/>
  <c r="V117" i="4"/>
  <c r="E117" i="4"/>
  <c r="H117" i="4"/>
  <c r="K117" i="4"/>
  <c r="A116" i="4"/>
  <c r="M116" i="4"/>
  <c r="AC116" i="4"/>
  <c r="U116" i="4" l="1"/>
  <c r="T116" i="4"/>
  <c r="S116" i="4"/>
  <c r="P116" i="4"/>
  <c r="X116" i="4"/>
  <c r="W116" i="4"/>
  <c r="Q116" i="4"/>
  <c r="Y116" i="4"/>
  <c r="V116" i="4"/>
  <c r="E116" i="4"/>
  <c r="H116" i="4"/>
  <c r="K116" i="4"/>
  <c r="A115" i="4"/>
  <c r="M115" i="4"/>
  <c r="AC115" i="4"/>
  <c r="U115" i="4" l="1"/>
  <c r="Q115" i="4"/>
  <c r="X115" i="4"/>
  <c r="V115" i="4"/>
  <c r="T115" i="4"/>
  <c r="S115" i="4"/>
  <c r="Y115" i="4"/>
  <c r="P115" i="4"/>
  <c r="W115" i="4"/>
  <c r="E115" i="4"/>
  <c r="H115" i="4"/>
  <c r="K115" i="4"/>
  <c r="A114" i="4"/>
  <c r="H114" i="4" s="1"/>
  <c r="M114" i="4"/>
  <c r="AC114" i="4"/>
  <c r="E114" i="4" l="1"/>
  <c r="U114" i="4"/>
  <c r="S114" i="4"/>
  <c r="Q114" i="4"/>
  <c r="Y114" i="4"/>
  <c r="P114" i="4"/>
  <c r="X114" i="4"/>
  <c r="T114" i="4"/>
  <c r="W114" i="4"/>
  <c r="V114" i="4"/>
  <c r="K114" i="4"/>
  <c r="A113" i="4"/>
  <c r="M113" i="4"/>
  <c r="AC113" i="4"/>
  <c r="T113" i="4" l="1"/>
  <c r="Q113" i="4"/>
  <c r="W113" i="4"/>
  <c r="S113" i="4"/>
  <c r="Y113" i="4"/>
  <c r="P113" i="4"/>
  <c r="X113" i="4"/>
  <c r="V113" i="4"/>
  <c r="U113" i="4"/>
  <c r="E113" i="4"/>
  <c r="H113" i="4"/>
  <c r="K113" i="4"/>
  <c r="A112" i="4"/>
  <c r="M112" i="4"/>
  <c r="AC112" i="4"/>
  <c r="U112" i="4" l="1"/>
  <c r="T112" i="4"/>
  <c r="S112" i="4"/>
  <c r="Q112" i="4"/>
  <c r="W112" i="4"/>
  <c r="Y112" i="4"/>
  <c r="P112" i="4"/>
  <c r="X112" i="4"/>
  <c r="V112" i="4"/>
  <c r="E112" i="4"/>
  <c r="H112" i="4"/>
  <c r="K112" i="4"/>
  <c r="A111" i="4"/>
  <c r="M111" i="4"/>
  <c r="AC111" i="4"/>
  <c r="U111" i="4" l="1"/>
  <c r="T111" i="4"/>
  <c r="Q111" i="4"/>
  <c r="Y111" i="4"/>
  <c r="P111" i="4"/>
  <c r="W111" i="4"/>
  <c r="V111" i="4"/>
  <c r="S111" i="4"/>
  <c r="X111" i="4"/>
  <c r="E111" i="4"/>
  <c r="H111" i="4"/>
  <c r="K111" i="4"/>
  <c r="A110" i="4"/>
  <c r="M110" i="4"/>
  <c r="AC110" i="4"/>
  <c r="U110" i="4" l="1"/>
  <c r="T110" i="4"/>
  <c r="S110" i="4"/>
  <c r="P110" i="4"/>
  <c r="X110" i="4"/>
  <c r="Q110" i="4"/>
  <c r="Y110" i="4"/>
  <c r="W110" i="4"/>
  <c r="V110" i="4"/>
  <c r="E110" i="4"/>
  <c r="H110" i="4"/>
  <c r="K110" i="4"/>
  <c r="A109" i="4"/>
  <c r="E109" i="4" s="1"/>
  <c r="M109" i="4"/>
  <c r="AC109" i="4"/>
  <c r="U109" i="4" l="1"/>
  <c r="T109" i="4"/>
  <c r="S109" i="4"/>
  <c r="Y109" i="4"/>
  <c r="P109" i="4"/>
  <c r="Q109" i="4"/>
  <c r="X109" i="4"/>
  <c r="W109" i="4"/>
  <c r="V109" i="4"/>
  <c r="H109" i="4"/>
  <c r="K109" i="4"/>
  <c r="A108" i="4"/>
  <c r="H108" i="4" s="1"/>
  <c r="M108" i="4"/>
  <c r="AC108" i="4"/>
  <c r="E108" i="4" l="1"/>
  <c r="T108" i="4"/>
  <c r="S108" i="4"/>
  <c r="X108" i="4"/>
  <c r="Q108" i="4"/>
  <c r="Y108" i="4"/>
  <c r="P108" i="4"/>
  <c r="W108" i="4"/>
  <c r="V108" i="4"/>
  <c r="U108" i="4"/>
  <c r="K108" i="4"/>
  <c r="A107" i="4"/>
  <c r="M107" i="4"/>
  <c r="AC107" i="4"/>
  <c r="T107" i="4" l="1"/>
  <c r="Q107" i="4"/>
  <c r="Y107" i="4"/>
  <c r="S107" i="4"/>
  <c r="P107" i="4"/>
  <c r="X107" i="4"/>
  <c r="W107" i="4"/>
  <c r="V107" i="4"/>
  <c r="U107" i="4"/>
  <c r="E107" i="4"/>
  <c r="H107" i="4"/>
  <c r="K107" i="4"/>
  <c r="A106" i="4"/>
  <c r="M106" i="4"/>
  <c r="AC106" i="4"/>
  <c r="U106" i="4" l="1"/>
  <c r="T106" i="4"/>
  <c r="S106" i="4"/>
  <c r="Q106" i="4"/>
  <c r="P106" i="4"/>
  <c r="X106" i="4"/>
  <c r="W106" i="4"/>
  <c r="V106" i="4"/>
  <c r="Y106" i="4"/>
  <c r="E106" i="4"/>
  <c r="H106" i="4"/>
  <c r="K106" i="4"/>
  <c r="A105" i="4"/>
  <c r="M105" i="4"/>
  <c r="AC105" i="4"/>
  <c r="U105" i="4" l="1"/>
  <c r="T105" i="4"/>
  <c r="S105" i="4"/>
  <c r="Q105" i="4"/>
  <c r="P105" i="4"/>
  <c r="X105" i="4"/>
  <c r="W105" i="4"/>
  <c r="V105" i="4"/>
  <c r="Y105" i="4"/>
  <c r="E105" i="4"/>
  <c r="H105" i="4"/>
  <c r="K105" i="4"/>
  <c r="A104" i="4"/>
  <c r="M104" i="4"/>
  <c r="AC104" i="4"/>
  <c r="U104" i="4" l="1"/>
  <c r="T104" i="4"/>
  <c r="S104" i="4"/>
  <c r="Q104" i="4"/>
  <c r="Y104" i="4"/>
  <c r="P104" i="4"/>
  <c r="X104" i="4"/>
  <c r="V104" i="4"/>
  <c r="W104" i="4"/>
  <c r="E104" i="4"/>
  <c r="H104" i="4"/>
  <c r="K104" i="4"/>
  <c r="A103" i="4"/>
  <c r="M103" i="4"/>
  <c r="AC103" i="4"/>
  <c r="Y103" i="4" l="1"/>
  <c r="P103" i="4"/>
  <c r="X103" i="4"/>
  <c r="W103" i="4"/>
  <c r="V103" i="4"/>
  <c r="U103" i="4"/>
  <c r="T103" i="4"/>
  <c r="S103" i="4"/>
  <c r="Q103" i="4"/>
  <c r="E103" i="4"/>
  <c r="H103" i="4"/>
  <c r="K103" i="4"/>
  <c r="A102" i="4"/>
  <c r="M102" i="4"/>
  <c r="AC102" i="4"/>
  <c r="U102" i="4" l="1"/>
  <c r="T102" i="4"/>
  <c r="S102" i="4"/>
  <c r="Q102" i="4"/>
  <c r="Y102" i="4"/>
  <c r="P102" i="4"/>
  <c r="X102" i="4"/>
  <c r="W102" i="4"/>
  <c r="V102" i="4"/>
  <c r="E102" i="4"/>
  <c r="H102" i="4"/>
  <c r="K102" i="4"/>
  <c r="A101" i="4"/>
  <c r="M101" i="4"/>
  <c r="AC101" i="4"/>
  <c r="U101" i="4" l="1"/>
  <c r="T101" i="4"/>
  <c r="S101" i="4"/>
  <c r="Q101" i="4"/>
  <c r="P101" i="4"/>
  <c r="X101" i="4"/>
  <c r="V101" i="4"/>
  <c r="Y101" i="4"/>
  <c r="W101" i="4"/>
  <c r="E101" i="4"/>
  <c r="H101" i="4"/>
  <c r="K101" i="4"/>
  <c r="K100" i="4"/>
  <c r="H100" i="4"/>
  <c r="A100" i="4"/>
  <c r="M100" i="4"/>
  <c r="AC100" i="4"/>
  <c r="U100" i="4" l="1"/>
  <c r="T100" i="4"/>
  <c r="S100" i="4"/>
  <c r="Q100" i="4"/>
  <c r="X100" i="4"/>
  <c r="W100" i="4"/>
  <c r="Y100" i="4"/>
  <c r="P100" i="4"/>
  <c r="V100" i="4"/>
  <c r="E100" i="4"/>
  <c r="A99" i="4"/>
  <c r="M99" i="4"/>
  <c r="AC99" i="4"/>
  <c r="S99" i="4" l="1"/>
  <c r="Q99" i="4"/>
  <c r="Y99" i="4"/>
  <c r="P99" i="4"/>
  <c r="X99" i="4"/>
  <c r="W99" i="4"/>
  <c r="U99" i="4"/>
  <c r="T99" i="4"/>
  <c r="V99" i="4"/>
  <c r="E99" i="4"/>
  <c r="H99" i="4"/>
  <c r="K99" i="4"/>
  <c r="A98" i="4"/>
  <c r="M98" i="4"/>
  <c r="AC98" i="4"/>
  <c r="S98" i="4" l="1"/>
  <c r="Q98" i="4"/>
  <c r="Y98" i="4"/>
  <c r="X98" i="4"/>
  <c r="W98" i="4"/>
  <c r="V98" i="4"/>
  <c r="P98" i="4"/>
  <c r="U98" i="4"/>
  <c r="T98" i="4"/>
  <c r="E98" i="4"/>
  <c r="H98" i="4"/>
  <c r="K98" i="4"/>
  <c r="A97" i="4"/>
  <c r="M97" i="4"/>
  <c r="AC97" i="4"/>
  <c r="U97" i="4" l="1"/>
  <c r="T97" i="4"/>
  <c r="S97" i="4"/>
  <c r="Q97" i="4"/>
  <c r="Y97" i="4"/>
  <c r="P97" i="4"/>
  <c r="V97" i="4"/>
  <c r="X97" i="4"/>
  <c r="W97" i="4"/>
  <c r="E97" i="4"/>
  <c r="H97" i="4"/>
  <c r="K97" i="4"/>
  <c r="A96" i="4"/>
  <c r="M96" i="4"/>
  <c r="AC96" i="4"/>
  <c r="U96" i="4" l="1"/>
  <c r="T96" i="4"/>
  <c r="S96" i="4"/>
  <c r="Q96" i="4"/>
  <c r="Y96" i="4"/>
  <c r="P96" i="4"/>
  <c r="X96" i="4"/>
  <c r="W96" i="4"/>
  <c r="V96" i="4"/>
  <c r="E96" i="4"/>
  <c r="H96" i="4"/>
  <c r="K96" i="4"/>
  <c r="A95" i="4"/>
  <c r="M95" i="4"/>
  <c r="AC95" i="4"/>
  <c r="U95" i="4" l="1"/>
  <c r="T95" i="4"/>
  <c r="S95" i="4"/>
  <c r="Q95" i="4"/>
  <c r="P95" i="4"/>
  <c r="X95" i="4"/>
  <c r="W95" i="4"/>
  <c r="V95" i="4"/>
  <c r="Y95" i="4"/>
  <c r="E95" i="4"/>
  <c r="H95" i="4"/>
  <c r="K95" i="4"/>
  <c r="A94" i="4"/>
  <c r="M94" i="4"/>
  <c r="AC94" i="4"/>
  <c r="U94" i="4" l="1"/>
  <c r="T94" i="4"/>
  <c r="S94" i="4"/>
  <c r="Q94" i="4"/>
  <c r="Y94" i="4"/>
  <c r="W94" i="4"/>
  <c r="P94" i="4"/>
  <c r="X94" i="4"/>
  <c r="V94" i="4"/>
  <c r="E94" i="4"/>
  <c r="H94" i="4"/>
  <c r="K94" i="4"/>
  <c r="A93" i="4"/>
  <c r="M93" i="4"/>
  <c r="AC93" i="4"/>
  <c r="U93" i="4" l="1"/>
  <c r="T93" i="4"/>
  <c r="S93" i="4"/>
  <c r="Q93" i="4"/>
  <c r="Y93" i="4"/>
  <c r="P93" i="4"/>
  <c r="X93" i="4"/>
  <c r="W93" i="4"/>
  <c r="V93" i="4"/>
  <c r="E93" i="4"/>
  <c r="H93" i="4"/>
  <c r="K93" i="4"/>
  <c r="A92" i="4"/>
  <c r="M92" i="4"/>
  <c r="AC92" i="4"/>
  <c r="U92" i="4" l="1"/>
  <c r="T92" i="4"/>
  <c r="S92" i="4"/>
  <c r="Q92" i="4"/>
  <c r="Y92" i="4"/>
  <c r="P92" i="4"/>
  <c r="X92" i="4"/>
  <c r="W92" i="4"/>
  <c r="V92" i="4"/>
  <c r="E92" i="4"/>
  <c r="H92" i="4"/>
  <c r="K92" i="4"/>
  <c r="A91" i="4"/>
  <c r="H91" i="4" s="1"/>
  <c r="M91" i="4"/>
  <c r="AC91" i="4"/>
  <c r="U91" i="4" l="1"/>
  <c r="T91" i="4"/>
  <c r="S91" i="4"/>
  <c r="Q91" i="4"/>
  <c r="Y91" i="4"/>
  <c r="P91" i="4"/>
  <c r="W91" i="4"/>
  <c r="X91" i="4"/>
  <c r="V91" i="4"/>
  <c r="E91" i="4"/>
  <c r="K91" i="4"/>
  <c r="A90" i="4"/>
  <c r="M90" i="4"/>
  <c r="AC90" i="4"/>
  <c r="W90" i="4" l="1"/>
  <c r="Q90" i="4"/>
  <c r="X90" i="4"/>
  <c r="V90" i="4"/>
  <c r="U90" i="4"/>
  <c r="T90" i="4"/>
  <c r="S90" i="4"/>
  <c r="Y90" i="4"/>
  <c r="P90" i="4"/>
  <c r="E90" i="4"/>
  <c r="H90" i="4"/>
  <c r="K90" i="4"/>
  <c r="A89" i="4"/>
  <c r="M89" i="4"/>
  <c r="AC89" i="4"/>
  <c r="U89" i="4" l="1"/>
  <c r="Y89" i="4"/>
  <c r="P89" i="4"/>
  <c r="V89" i="4"/>
  <c r="T89" i="4"/>
  <c r="S89" i="4"/>
  <c r="Q89" i="4"/>
  <c r="X89" i="4"/>
  <c r="W89" i="4"/>
  <c r="E89" i="4"/>
  <c r="H89" i="4"/>
  <c r="K89" i="4"/>
  <c r="A88" i="4"/>
  <c r="M88" i="4"/>
  <c r="AC88" i="4"/>
  <c r="U88" i="4" l="1"/>
  <c r="T88" i="4"/>
  <c r="S88" i="4"/>
  <c r="Y88" i="4"/>
  <c r="V88" i="4"/>
  <c r="Q88" i="4"/>
  <c r="P88" i="4"/>
  <c r="X88" i="4"/>
  <c r="W88" i="4"/>
  <c r="E88" i="4"/>
  <c r="H88" i="4"/>
  <c r="K88" i="4"/>
  <c r="A87" i="4"/>
  <c r="M87" i="4"/>
  <c r="AC87" i="4"/>
  <c r="U87" i="4" l="1"/>
  <c r="T87" i="4"/>
  <c r="S87" i="4"/>
  <c r="Q87" i="4"/>
  <c r="P87" i="4"/>
  <c r="X87" i="4"/>
  <c r="W87" i="4"/>
  <c r="V87" i="4"/>
  <c r="Y87" i="4"/>
  <c r="E87" i="4"/>
  <c r="H87" i="4"/>
  <c r="K87" i="4"/>
  <c r="A86" i="4"/>
  <c r="M86" i="4"/>
  <c r="AC86" i="4"/>
  <c r="U86" i="4" l="1"/>
  <c r="T86" i="4"/>
  <c r="S86" i="4"/>
  <c r="Q86" i="4"/>
  <c r="P86" i="4"/>
  <c r="X86" i="4"/>
  <c r="W86" i="4"/>
  <c r="V86" i="4"/>
  <c r="Y86" i="4"/>
  <c r="E86" i="4"/>
  <c r="H86" i="4"/>
  <c r="K86" i="4"/>
  <c r="A85" i="4"/>
  <c r="M85" i="4"/>
  <c r="AC85" i="4"/>
  <c r="U85" i="4" l="1"/>
  <c r="S85" i="4"/>
  <c r="Q85" i="4"/>
  <c r="W85" i="4"/>
  <c r="V85" i="4"/>
  <c r="T85" i="4"/>
  <c r="Y85" i="4"/>
  <c r="P85" i="4"/>
  <c r="X85" i="4"/>
  <c r="E85" i="4"/>
  <c r="H85" i="4"/>
  <c r="K85" i="4"/>
  <c r="A84" i="4"/>
  <c r="M84" i="4"/>
  <c r="AC84" i="4"/>
  <c r="U84" i="4" l="1"/>
  <c r="T84" i="4"/>
  <c r="S84" i="4"/>
  <c r="Q84" i="4"/>
  <c r="Y84" i="4"/>
  <c r="P84" i="4"/>
  <c r="V84" i="4"/>
  <c r="X84" i="4"/>
  <c r="W84" i="4"/>
  <c r="E84" i="4"/>
  <c r="H84" i="4"/>
  <c r="K84" i="4"/>
  <c r="A83" i="4"/>
  <c r="M83" i="4"/>
  <c r="AC83" i="4"/>
  <c r="U83" i="4" l="1"/>
  <c r="S83" i="4"/>
  <c r="Q83" i="4"/>
  <c r="V83" i="4"/>
  <c r="T83" i="4"/>
  <c r="Y83" i="4"/>
  <c r="P83" i="4"/>
  <c r="X83" i="4"/>
  <c r="W83" i="4"/>
  <c r="E83" i="4"/>
  <c r="H83" i="4"/>
  <c r="K83" i="4"/>
  <c r="A82" i="4"/>
  <c r="M82" i="4"/>
  <c r="AC82" i="4"/>
  <c r="U82" i="4" l="1"/>
  <c r="S82" i="4"/>
  <c r="Q82" i="4"/>
  <c r="P82" i="4"/>
  <c r="X82" i="4"/>
  <c r="W82" i="4"/>
  <c r="T82" i="4"/>
  <c r="Y82" i="4"/>
  <c r="V82" i="4"/>
  <c r="E82" i="4"/>
  <c r="H82" i="4"/>
  <c r="K82" i="4"/>
  <c r="A81" i="4"/>
  <c r="M81" i="4"/>
  <c r="AC81" i="4"/>
  <c r="U81" i="4" l="1"/>
  <c r="T81" i="4"/>
  <c r="Q81" i="4"/>
  <c r="W81" i="4"/>
  <c r="S81" i="4"/>
  <c r="Y81" i="4"/>
  <c r="P81" i="4"/>
  <c r="X81" i="4"/>
  <c r="V81" i="4"/>
  <c r="E81" i="4"/>
  <c r="H81" i="4"/>
  <c r="K81" i="4"/>
  <c r="A80" i="4"/>
  <c r="M80" i="4"/>
  <c r="AC80" i="4"/>
  <c r="U80" i="4" l="1"/>
  <c r="T80" i="4"/>
  <c r="S80" i="4"/>
  <c r="Q80" i="4"/>
  <c r="P80" i="4"/>
  <c r="X80" i="4"/>
  <c r="W80" i="4"/>
  <c r="Y80" i="4"/>
  <c r="V80" i="4"/>
  <c r="E80" i="4"/>
  <c r="H80" i="4"/>
  <c r="K80" i="4"/>
  <c r="A79" i="4"/>
  <c r="M79" i="4"/>
  <c r="AC79" i="4"/>
  <c r="U79" i="4" l="1"/>
  <c r="S79" i="4"/>
  <c r="Q79" i="4"/>
  <c r="P79" i="4"/>
  <c r="X79" i="4"/>
  <c r="T79" i="4"/>
  <c r="Y79" i="4"/>
  <c r="W79" i="4"/>
  <c r="V79" i="4"/>
  <c r="E79" i="4"/>
  <c r="H79" i="4"/>
  <c r="K79" i="4"/>
  <c r="A78" i="4"/>
  <c r="M78" i="4"/>
  <c r="AC78" i="4"/>
  <c r="U78" i="4" l="1"/>
  <c r="T78" i="4"/>
  <c r="S78" i="4"/>
  <c r="Q78" i="4"/>
  <c r="P78" i="4"/>
  <c r="X78" i="4"/>
  <c r="W78" i="4"/>
  <c r="Y78" i="4"/>
  <c r="V78" i="4"/>
  <c r="E78" i="4"/>
  <c r="H78" i="4"/>
  <c r="K78" i="4"/>
  <c r="A77" i="4"/>
  <c r="M77" i="4"/>
  <c r="AC77" i="4"/>
  <c r="U77" i="4" l="1"/>
  <c r="T77" i="4"/>
  <c r="S77" i="4"/>
  <c r="Y77" i="4"/>
  <c r="V77" i="4"/>
  <c r="Q77" i="4"/>
  <c r="P77" i="4"/>
  <c r="X77" i="4"/>
  <c r="W77" i="4"/>
  <c r="E77" i="4"/>
  <c r="H77" i="4"/>
  <c r="K77" i="4"/>
  <c r="A76" i="4"/>
  <c r="M76" i="4"/>
  <c r="AC76" i="4"/>
  <c r="U76" i="4" l="1"/>
  <c r="T76" i="4"/>
  <c r="S76" i="4"/>
  <c r="Q76" i="4"/>
  <c r="Y76" i="4"/>
  <c r="X76" i="4"/>
  <c r="P76" i="4"/>
  <c r="W76" i="4"/>
  <c r="V76" i="4"/>
  <c r="E76" i="4"/>
  <c r="H76" i="4"/>
  <c r="K76" i="4"/>
  <c r="A75" i="4"/>
  <c r="M75" i="4"/>
  <c r="AC75" i="4"/>
  <c r="U75" i="4" l="1"/>
  <c r="T75" i="4"/>
  <c r="Y75" i="4"/>
  <c r="P75" i="4"/>
  <c r="W75" i="4"/>
  <c r="S75" i="4"/>
  <c r="Q75" i="4"/>
  <c r="X75" i="4"/>
  <c r="V75" i="4"/>
  <c r="E75" i="4"/>
  <c r="H75" i="4"/>
  <c r="K75" i="4"/>
  <c r="A74" i="4"/>
  <c r="M74" i="4"/>
  <c r="AC74" i="4"/>
  <c r="U74" i="4" l="1"/>
  <c r="W74" i="4"/>
  <c r="T74" i="4"/>
  <c r="S74" i="4"/>
  <c r="Q74" i="4"/>
  <c r="Y74" i="4"/>
  <c r="P74" i="4"/>
  <c r="X74" i="4"/>
  <c r="V74" i="4"/>
  <c r="E74" i="4"/>
  <c r="H74" i="4"/>
  <c r="K74" i="4"/>
  <c r="A73" i="4"/>
  <c r="M73" i="4"/>
  <c r="AC73" i="4"/>
  <c r="U73" i="4" l="1"/>
  <c r="T73" i="4"/>
  <c r="S73" i="4"/>
  <c r="Q73" i="4"/>
  <c r="Y73" i="4"/>
  <c r="P73" i="4"/>
  <c r="X73" i="4"/>
  <c r="W73" i="4"/>
  <c r="V73" i="4"/>
  <c r="E73" i="4"/>
  <c r="H73" i="4"/>
  <c r="K73" i="4"/>
  <c r="A72" i="4"/>
  <c r="M72" i="4"/>
  <c r="AC72" i="4"/>
  <c r="U72" i="4" l="1"/>
  <c r="V72" i="4"/>
  <c r="T72" i="4"/>
  <c r="S72" i="4"/>
  <c r="Q72" i="4"/>
  <c r="P72" i="4"/>
  <c r="X72" i="4"/>
  <c r="Y72" i="4"/>
  <c r="W72" i="4"/>
  <c r="E72" i="4"/>
  <c r="H72" i="4"/>
  <c r="K72" i="4"/>
  <c r="A71" i="4"/>
  <c r="M71" i="4"/>
  <c r="AC71" i="4"/>
  <c r="U71" i="4" l="1"/>
  <c r="T71" i="4"/>
  <c r="S71" i="4"/>
  <c r="Q71" i="4"/>
  <c r="Y71" i="4"/>
  <c r="P71" i="4"/>
  <c r="W71" i="4"/>
  <c r="X71" i="4"/>
  <c r="V71" i="4"/>
  <c r="E71" i="4"/>
  <c r="H71" i="4"/>
  <c r="K71" i="4"/>
  <c r="A70" i="4"/>
  <c r="E70" i="4" s="1"/>
  <c r="M70" i="4"/>
  <c r="AC70" i="4"/>
  <c r="U70" i="4" l="1"/>
  <c r="T70" i="4"/>
  <c r="S70" i="4"/>
  <c r="Q70" i="4"/>
  <c r="Y70" i="4"/>
  <c r="P70" i="4"/>
  <c r="X70" i="4"/>
  <c r="W70" i="4"/>
  <c r="V70" i="4"/>
  <c r="H70" i="4"/>
  <c r="K70" i="4"/>
  <c r="A69" i="4"/>
  <c r="M69" i="4"/>
  <c r="AC69" i="4"/>
  <c r="T69" i="4" l="1"/>
  <c r="S69" i="4"/>
  <c r="Q69" i="4"/>
  <c r="X69" i="4"/>
  <c r="V69" i="4"/>
  <c r="Y69" i="4"/>
  <c r="P69" i="4"/>
  <c r="W69" i="4"/>
  <c r="U69" i="4"/>
  <c r="E69" i="4"/>
  <c r="H69" i="4"/>
  <c r="K69" i="4"/>
  <c r="A68" i="4"/>
  <c r="M68" i="4"/>
  <c r="AC68" i="4"/>
  <c r="U68" i="4" l="1"/>
  <c r="T68" i="4"/>
  <c r="Q68" i="4"/>
  <c r="Y68" i="4"/>
  <c r="W68" i="4"/>
  <c r="S68" i="4"/>
  <c r="P68" i="4"/>
  <c r="V68" i="4"/>
  <c r="X68" i="4"/>
  <c r="E68" i="4"/>
  <c r="H68" i="4"/>
  <c r="K68" i="4"/>
  <c r="A67" i="4"/>
  <c r="M67" i="4"/>
  <c r="AC67" i="4"/>
  <c r="U67" i="4" l="1"/>
  <c r="T67" i="4"/>
  <c r="Y67" i="4"/>
  <c r="P67" i="4"/>
  <c r="W67" i="4"/>
  <c r="S67" i="4"/>
  <c r="Q67" i="4"/>
  <c r="X67" i="4"/>
  <c r="V67" i="4"/>
  <c r="E67" i="4"/>
  <c r="H67" i="4"/>
  <c r="K67" i="4"/>
  <c r="A66" i="4"/>
  <c r="M66" i="4"/>
  <c r="AC66" i="4"/>
  <c r="U66" i="4" l="1"/>
  <c r="S66" i="4"/>
  <c r="Y66" i="4"/>
  <c r="P66" i="4"/>
  <c r="T66" i="4"/>
  <c r="Q66" i="4"/>
  <c r="X66" i="4"/>
  <c r="W66" i="4"/>
  <c r="V66" i="4"/>
  <c r="E66" i="4"/>
  <c r="H66" i="4"/>
  <c r="K66" i="4"/>
  <c r="A65" i="4"/>
  <c r="M65" i="4"/>
  <c r="AC65" i="4"/>
  <c r="U65" i="4" l="1"/>
  <c r="Q65" i="4"/>
  <c r="Y65" i="4"/>
  <c r="P65" i="4"/>
  <c r="T65" i="4"/>
  <c r="S65" i="4"/>
  <c r="X65" i="4"/>
  <c r="W65" i="4"/>
  <c r="V65" i="4"/>
  <c r="E65" i="4"/>
  <c r="H65" i="4"/>
  <c r="K65" i="4"/>
  <c r="A64" i="4"/>
  <c r="M64" i="4"/>
  <c r="AC64" i="4"/>
  <c r="U64" i="4" l="1"/>
  <c r="Y64" i="4"/>
  <c r="W64" i="4"/>
  <c r="T64" i="4"/>
  <c r="P64" i="4"/>
  <c r="X64" i="4"/>
  <c r="V64" i="4"/>
  <c r="S64" i="4"/>
  <c r="Q64" i="4"/>
  <c r="E64" i="4"/>
  <c r="H64" i="4"/>
  <c r="K64" i="4"/>
  <c r="A63" i="4"/>
  <c r="M63" i="4"/>
  <c r="AC63" i="4"/>
  <c r="U63" i="4" l="1"/>
  <c r="T63" i="4"/>
  <c r="Q63" i="4"/>
  <c r="X63" i="4"/>
  <c r="S63" i="4"/>
  <c r="Y63" i="4"/>
  <c r="W63" i="4"/>
  <c r="P63" i="4"/>
  <c r="V63" i="4"/>
  <c r="E63" i="4"/>
  <c r="H63" i="4"/>
  <c r="K63" i="4"/>
  <c r="A62" i="4"/>
  <c r="M62" i="4"/>
  <c r="AC62" i="4"/>
  <c r="U62" i="4" l="1"/>
  <c r="T62" i="4"/>
  <c r="S62" i="4"/>
  <c r="X62" i="4"/>
  <c r="W62" i="4"/>
  <c r="P62" i="4"/>
  <c r="Q62" i="4"/>
  <c r="Y62" i="4"/>
  <c r="V62" i="4"/>
  <c r="E62" i="4"/>
  <c r="H62" i="4"/>
  <c r="K62" i="4"/>
  <c r="A61" i="4"/>
  <c r="M61" i="4"/>
  <c r="AC61" i="4"/>
  <c r="U61" i="4" l="1"/>
  <c r="T61" i="4"/>
  <c r="S61" i="4"/>
  <c r="Q61" i="4"/>
  <c r="P61" i="4"/>
  <c r="X61" i="4"/>
  <c r="Y61" i="4"/>
  <c r="W61" i="4"/>
  <c r="V61" i="4"/>
  <c r="E61" i="4"/>
  <c r="H61" i="4"/>
  <c r="K61" i="4"/>
  <c r="A60" i="4"/>
  <c r="M60" i="4"/>
  <c r="AC60" i="4"/>
  <c r="U60" i="4" l="1"/>
  <c r="T60" i="4"/>
  <c r="S60" i="4"/>
  <c r="Q60" i="4"/>
  <c r="Y60" i="4"/>
  <c r="P60" i="4"/>
  <c r="X60" i="4"/>
  <c r="W60" i="4"/>
  <c r="V60" i="4"/>
  <c r="E60" i="4"/>
  <c r="H60" i="4"/>
  <c r="K60" i="4"/>
  <c r="A59" i="4"/>
  <c r="M59" i="4"/>
  <c r="AC59" i="4"/>
  <c r="U59" i="4" l="1"/>
  <c r="T59" i="4"/>
  <c r="S59" i="4"/>
  <c r="Q59" i="4"/>
  <c r="X59" i="4"/>
  <c r="V59" i="4"/>
  <c r="Y59" i="4"/>
  <c r="W59" i="4"/>
  <c r="P59" i="4"/>
  <c r="E59" i="4"/>
  <c r="H59" i="4"/>
  <c r="K59" i="4"/>
  <c r="A58" i="4"/>
  <c r="M58" i="4"/>
  <c r="AC58" i="4"/>
  <c r="U58" i="4" l="1"/>
  <c r="T58" i="4"/>
  <c r="Q58" i="4"/>
  <c r="Y58" i="4"/>
  <c r="P58" i="4"/>
  <c r="S58" i="4"/>
  <c r="X58" i="4"/>
  <c r="W58" i="4"/>
  <c r="V58" i="4"/>
  <c r="E58" i="4"/>
  <c r="H58" i="4"/>
  <c r="K58" i="4"/>
  <c r="A57" i="4"/>
  <c r="M57" i="4"/>
  <c r="AC57" i="4"/>
  <c r="U57" i="4" l="1"/>
  <c r="T57" i="4"/>
  <c r="Q57" i="4"/>
  <c r="Y57" i="4"/>
  <c r="X57" i="4"/>
  <c r="S57" i="4"/>
  <c r="W57" i="4"/>
  <c r="V57" i="4"/>
  <c r="P57" i="4"/>
  <c r="E57" i="4"/>
  <c r="H57" i="4"/>
  <c r="K57" i="4"/>
  <c r="A56" i="4"/>
  <c r="M56" i="4"/>
  <c r="AC56" i="4"/>
  <c r="U56" i="4" l="1"/>
  <c r="T56" i="4"/>
  <c r="S56" i="4"/>
  <c r="Y56" i="4"/>
  <c r="V56" i="4"/>
  <c r="Q56" i="4"/>
  <c r="P56" i="4"/>
  <c r="X56" i="4"/>
  <c r="W56" i="4"/>
  <c r="E56" i="4"/>
  <c r="H56" i="4"/>
  <c r="K56" i="4"/>
  <c r="A55" i="4"/>
  <c r="M55" i="4"/>
  <c r="AC55" i="4"/>
  <c r="U55" i="4" l="1"/>
  <c r="Q55" i="4"/>
  <c r="Y55" i="4"/>
  <c r="T55" i="4"/>
  <c r="S55" i="4"/>
  <c r="P55" i="4"/>
  <c r="X55" i="4"/>
  <c r="W55" i="4"/>
  <c r="V55" i="4"/>
  <c r="E55" i="4"/>
  <c r="H55" i="4"/>
  <c r="K55" i="4"/>
  <c r="A54" i="4"/>
  <c r="M54" i="4"/>
  <c r="AC54" i="4"/>
  <c r="U54" i="4" l="1"/>
  <c r="T54" i="4"/>
  <c r="S54" i="4"/>
  <c r="Q54" i="4"/>
  <c r="Y54" i="4"/>
  <c r="P54" i="4"/>
  <c r="X54" i="4"/>
  <c r="W54" i="4"/>
  <c r="V54" i="4"/>
  <c r="E54" i="4"/>
  <c r="H54" i="4"/>
  <c r="K54" i="4"/>
  <c r="A53" i="4"/>
  <c r="M53" i="4"/>
  <c r="AC53" i="4"/>
  <c r="U53" i="4" l="1"/>
  <c r="S53" i="4"/>
  <c r="Q53" i="4"/>
  <c r="P53" i="4"/>
  <c r="X53" i="4"/>
  <c r="W53" i="4"/>
  <c r="T53" i="4"/>
  <c r="Y53" i="4"/>
  <c r="V53" i="4"/>
  <c r="E53" i="4"/>
  <c r="H53" i="4"/>
  <c r="K53" i="4"/>
  <c r="A52" i="4"/>
  <c r="M52" i="4"/>
  <c r="AC52" i="4"/>
  <c r="U52" i="4" l="1"/>
  <c r="S52" i="4"/>
  <c r="Q52" i="4"/>
  <c r="Y52" i="4"/>
  <c r="T52" i="4"/>
  <c r="X52" i="4"/>
  <c r="W52" i="4"/>
  <c r="P52" i="4"/>
  <c r="V52" i="4"/>
  <c r="E52" i="4"/>
  <c r="H52" i="4"/>
  <c r="K52" i="4"/>
  <c r="A51" i="4"/>
  <c r="M51" i="4"/>
  <c r="AC51" i="4"/>
  <c r="U51" i="4" l="1"/>
  <c r="T51" i="4"/>
  <c r="Q51" i="4"/>
  <c r="Y51" i="4"/>
  <c r="S51" i="4"/>
  <c r="P51" i="4"/>
  <c r="X51" i="4"/>
  <c r="W51" i="4"/>
  <c r="V51" i="4"/>
  <c r="E51" i="4"/>
  <c r="H51" i="4"/>
  <c r="K51" i="4"/>
  <c r="A50" i="4"/>
  <c r="M50" i="4"/>
  <c r="AC50" i="4"/>
  <c r="U50" i="4" l="1"/>
  <c r="T50" i="4"/>
  <c r="S50" i="4"/>
  <c r="Q50" i="4"/>
  <c r="W50" i="4"/>
  <c r="Y50" i="4"/>
  <c r="P50" i="4"/>
  <c r="X50" i="4"/>
  <c r="V50" i="4"/>
  <c r="E50" i="4"/>
  <c r="H50" i="4"/>
  <c r="K50" i="4"/>
  <c r="A49" i="4"/>
  <c r="H49" i="4" s="1"/>
  <c r="M49" i="4"/>
  <c r="AC49" i="4"/>
  <c r="E49" i="4" l="1"/>
  <c r="U49" i="4"/>
  <c r="T49" i="4"/>
  <c r="S49" i="4"/>
  <c r="Y49" i="4"/>
  <c r="W49" i="4"/>
  <c r="Q49" i="4"/>
  <c r="P49" i="4"/>
  <c r="X49" i="4"/>
  <c r="V49" i="4"/>
  <c r="K49" i="4"/>
  <c r="K48" i="4"/>
  <c r="A48" i="4"/>
  <c r="M48" i="4"/>
  <c r="AC48" i="4"/>
  <c r="S48" i="4" l="1"/>
  <c r="Q48" i="4"/>
  <c r="P48" i="4"/>
  <c r="W48" i="4"/>
  <c r="V48" i="4"/>
  <c r="U48" i="4"/>
  <c r="Y48" i="4"/>
  <c r="X48" i="4"/>
  <c r="T48" i="4"/>
  <c r="E48" i="4"/>
  <c r="H48" i="4"/>
  <c r="A47" i="4"/>
  <c r="M47" i="4"/>
  <c r="AC47" i="4"/>
  <c r="BI9" i="5" l="1"/>
  <c r="E47" i="4"/>
  <c r="D43" i="5" s="1"/>
  <c r="H47" i="4"/>
  <c r="K47" i="4"/>
  <c r="BI10" i="5" l="1"/>
  <c r="BI6" i="5"/>
  <c r="A46" i="4"/>
  <c r="M46" i="4"/>
  <c r="AC46" i="4"/>
  <c r="E46" i="4" l="1"/>
  <c r="D42" i="5" s="1"/>
  <c r="H46" i="4"/>
  <c r="K46" i="4"/>
  <c r="K45" i="4"/>
  <c r="A45" i="4"/>
  <c r="M45" i="4"/>
  <c r="AC45" i="4"/>
  <c r="BG9" i="5" l="1"/>
  <c r="E45" i="4"/>
  <c r="D41" i="5" s="1"/>
  <c r="H45" i="4"/>
  <c r="BG10" i="5" l="1"/>
  <c r="BG6" i="5"/>
  <c r="A44" i="4"/>
  <c r="M44" i="4"/>
  <c r="AC44" i="4"/>
  <c r="BF9" i="5" l="1"/>
  <c r="E44" i="4"/>
  <c r="D40" i="5" s="1"/>
  <c r="H44" i="4"/>
  <c r="K44" i="4"/>
  <c r="BF10" i="5" l="1"/>
  <c r="BF6" i="5"/>
  <c r="A43" i="4"/>
  <c r="M43" i="4"/>
  <c r="AC43" i="4"/>
  <c r="BE9" i="5" l="1"/>
  <c r="E43" i="4"/>
  <c r="D39" i="5" s="1"/>
  <c r="H43" i="4"/>
  <c r="K43" i="4"/>
  <c r="BE10" i="5" l="1"/>
  <c r="BE6" i="5"/>
  <c r="A42" i="4"/>
  <c r="M42" i="4"/>
  <c r="AC42" i="4"/>
  <c r="BD9" i="5" l="1"/>
  <c r="K42" i="4"/>
  <c r="E42" i="4"/>
  <c r="D38" i="5" s="1"/>
  <c r="H42" i="4"/>
  <c r="BD10" i="5" l="1"/>
  <c r="BD6" i="5"/>
  <c r="A41" i="4"/>
  <c r="K41" i="4" s="1"/>
  <c r="M41" i="4"/>
  <c r="AC41" i="4"/>
  <c r="E41" i="4" l="1"/>
  <c r="D37" i="5" s="1"/>
  <c r="BC9" i="5"/>
  <c r="H41" i="4"/>
  <c r="BC10" i="5" l="1"/>
  <c r="BC6" i="5"/>
  <c r="A40" i="4"/>
  <c r="K40" i="4" s="1"/>
  <c r="M40" i="4"/>
  <c r="AC40" i="4"/>
  <c r="E40" i="4" l="1"/>
  <c r="D36" i="5" s="1"/>
  <c r="BB9" i="5"/>
  <c r="H40" i="4"/>
  <c r="BB10" i="5" l="1"/>
  <c r="BB6" i="5"/>
  <c r="A39" i="4"/>
  <c r="M39" i="4"/>
  <c r="AC39" i="4"/>
  <c r="BA9" i="5" l="1"/>
  <c r="E39" i="4"/>
  <c r="D35" i="5" s="1"/>
  <c r="H39" i="4"/>
  <c r="K39" i="4"/>
  <c r="BA10" i="5" l="1"/>
  <c r="BA6" i="5"/>
  <c r="A38" i="4"/>
  <c r="M38" i="4"/>
  <c r="AC38" i="4"/>
  <c r="AZ9" i="5" l="1"/>
  <c r="K38" i="4"/>
  <c r="E38" i="4"/>
  <c r="D34" i="5" s="1"/>
  <c r="H38" i="4"/>
  <c r="AZ10" i="5" l="1"/>
  <c r="AZ6" i="5"/>
  <c r="A37" i="4"/>
  <c r="M37" i="4"/>
  <c r="AC37" i="4"/>
  <c r="AY9" i="5" l="1"/>
  <c r="E37" i="4"/>
  <c r="D33" i="5" s="1"/>
  <c r="H37" i="4"/>
  <c r="K37" i="4"/>
  <c r="AY10" i="5" l="1"/>
  <c r="AY6" i="5"/>
  <c r="A36" i="4"/>
  <c r="M36" i="4"/>
  <c r="AC36" i="4"/>
  <c r="AX9" i="5" l="1"/>
  <c r="E36" i="4"/>
  <c r="D32" i="5" s="1"/>
  <c r="H36" i="4"/>
  <c r="K36" i="4"/>
  <c r="AX10" i="5" l="1"/>
  <c r="AX6" i="5"/>
  <c r="A35" i="4"/>
  <c r="M35" i="4"/>
  <c r="AC35" i="4"/>
  <c r="AW9" i="5" l="1"/>
  <c r="E35" i="4"/>
  <c r="D31" i="5" s="1"/>
  <c r="H35" i="4"/>
  <c r="K35" i="4"/>
  <c r="AW10" i="5" l="1"/>
  <c r="AW6" i="5"/>
  <c r="A34" i="4"/>
  <c r="E34" i="4"/>
  <c r="H34" i="4"/>
  <c r="K34" i="4"/>
  <c r="M34" i="4"/>
  <c r="AC34" i="4"/>
  <c r="D30" i="5" l="1"/>
  <c r="AV9" i="5"/>
  <c r="AV10" i="5" s="1"/>
  <c r="A33" i="4"/>
  <c r="AV6" i="5"/>
  <c r="M33" i="4"/>
  <c r="H33" i="4"/>
  <c r="K33" i="4"/>
  <c r="E33" i="4"/>
  <c r="AC33" i="4"/>
  <c r="D29" i="5" l="1"/>
  <c r="AU9" i="5"/>
  <c r="AU10" i="5" s="1"/>
  <c r="A32" i="4"/>
  <c r="M32" i="4"/>
  <c r="H32" i="4"/>
  <c r="K32" i="4"/>
  <c r="E32" i="4"/>
  <c r="AU6" i="5"/>
  <c r="AC32" i="4"/>
  <c r="D28" i="5" l="1"/>
  <c r="AT9" i="5"/>
  <c r="AT10" i="5" s="1"/>
  <c r="A31" i="4"/>
  <c r="E31" i="4"/>
  <c r="H31" i="4"/>
  <c r="AT6" i="5"/>
  <c r="M31" i="4"/>
  <c r="K31" i="4"/>
  <c r="AC31" i="4"/>
  <c r="D27" i="5" l="1"/>
  <c r="AS9" i="5"/>
  <c r="AS10" i="5" s="1"/>
  <c r="A30" i="4"/>
  <c r="K30" i="4"/>
  <c r="H30" i="4"/>
  <c r="M30" i="4"/>
  <c r="E30" i="4"/>
  <c r="AC30" i="4"/>
  <c r="AS6" i="5" l="1"/>
  <c r="D26" i="5"/>
  <c r="AR9" i="5"/>
  <c r="AR10" i="5" s="1"/>
  <c r="A29" i="4"/>
  <c r="M29" i="4"/>
  <c r="K29" i="4"/>
  <c r="AR6" i="5"/>
  <c r="H29" i="4"/>
  <c r="E29" i="4"/>
  <c r="AC29" i="4"/>
  <c r="D25" i="5" l="1"/>
  <c r="AQ9" i="5"/>
  <c r="AQ10" i="5" s="1"/>
  <c r="A28" i="4"/>
  <c r="M28" i="4"/>
  <c r="AQ6" i="5"/>
  <c r="E28" i="4"/>
  <c r="K28" i="4"/>
  <c r="H28" i="4"/>
  <c r="AC28" i="4"/>
  <c r="D24" i="5" l="1"/>
  <c r="AP9" i="5"/>
  <c r="AP10" i="5" s="1"/>
  <c r="A27" i="4"/>
  <c r="M27" i="4"/>
  <c r="H27" i="4"/>
  <c r="AP6" i="5"/>
  <c r="K27" i="4"/>
  <c r="E27" i="4"/>
  <c r="AC27" i="4"/>
  <c r="D23" i="5" l="1"/>
  <c r="AO9" i="5"/>
  <c r="AO10" i="5" s="1"/>
  <c r="A26" i="4"/>
  <c r="M26" i="4"/>
  <c r="K26" i="4"/>
  <c r="AO6" i="5"/>
  <c r="E26" i="4"/>
  <c r="H26" i="4"/>
  <c r="AC26" i="4"/>
  <c r="D22" i="5" l="1"/>
  <c r="AN9" i="5"/>
  <c r="AN10" i="5" s="1"/>
  <c r="A25" i="4"/>
  <c r="AN6" i="5"/>
  <c r="M25" i="4"/>
  <c r="H25" i="4"/>
  <c r="AC25" i="4"/>
  <c r="K25" i="4"/>
  <c r="E25" i="4"/>
  <c r="D21" i="5" l="1"/>
  <c r="AM9" i="5"/>
  <c r="A24" i="4"/>
  <c r="AM6" i="5"/>
  <c r="H24" i="4"/>
  <c r="E24" i="4"/>
  <c r="AC24" i="4"/>
  <c r="M24" i="4"/>
  <c r="K24" i="4"/>
  <c r="D20" i="5" l="1"/>
  <c r="AL9" i="5"/>
  <c r="A23" i="4"/>
  <c r="K23" i="4"/>
  <c r="AC23" i="4"/>
  <c r="M23" i="4"/>
  <c r="H23" i="4"/>
  <c r="E23" i="4"/>
  <c r="AL6" i="5"/>
  <c r="D19" i="5" l="1"/>
  <c r="AK9" i="5"/>
  <c r="A22" i="4"/>
  <c r="AC22" i="4"/>
  <c r="K22" i="4"/>
  <c r="M22" i="4"/>
  <c r="H22" i="4"/>
  <c r="AK6" i="5"/>
  <c r="E22" i="4"/>
  <c r="D18" i="5" l="1"/>
  <c r="AJ9" i="5"/>
  <c r="A21" i="4"/>
  <c r="E21" i="4"/>
  <c r="AC21" i="4"/>
  <c r="M21" i="4"/>
  <c r="AJ6" i="5"/>
  <c r="H21" i="4"/>
  <c r="K21" i="4"/>
  <c r="D17" i="5" l="1"/>
  <c r="AI9" i="5"/>
  <c r="A20" i="4"/>
  <c r="AI6" i="5"/>
  <c r="M20" i="4"/>
  <c r="AC20" i="4"/>
  <c r="K20" i="4"/>
  <c r="E20" i="4"/>
  <c r="H20" i="4"/>
  <c r="D16" i="5" l="1"/>
  <c r="AH9" i="5"/>
  <c r="A19" i="4"/>
  <c r="E19" i="4"/>
  <c r="H19" i="4"/>
  <c r="M19" i="4"/>
  <c r="K19" i="4"/>
  <c r="AC19" i="4"/>
  <c r="AH6" i="5"/>
  <c r="D15" i="5" l="1"/>
  <c r="AG9" i="5"/>
  <c r="AG6" i="5"/>
  <c r="B14" i="5" l="1"/>
  <c r="A18" i="4"/>
  <c r="M17" i="4"/>
  <c r="H17" i="4"/>
  <c r="K17" i="4"/>
  <c r="AC17" i="4"/>
  <c r="M18" i="4"/>
  <c r="AF9" i="5" l="1"/>
  <c r="C17" i="4"/>
  <c r="M15" i="4"/>
  <c r="M14" i="4"/>
  <c r="AC13" i="4"/>
  <c r="H18" i="4"/>
  <c r="AC18" i="4"/>
  <c r="K18" i="4"/>
  <c r="E18" i="4"/>
  <c r="D14" i="5" l="1"/>
  <c r="M13" i="4"/>
  <c r="K13" i="4"/>
  <c r="H13" i="4"/>
  <c r="E13" i="4"/>
  <c r="C13" i="4"/>
  <c r="M11" i="4"/>
  <c r="S10" i="4"/>
  <c r="Q10" i="4"/>
  <c r="P10" i="4"/>
  <c r="N10" i="4"/>
  <c r="M10" i="4"/>
  <c r="E10" i="4"/>
  <c r="S9" i="4"/>
  <c r="P9" i="4"/>
  <c r="M9" i="4"/>
  <c r="N56" i="3"/>
  <c r="B56" i="3"/>
  <c r="N55" i="3"/>
  <c r="B55" i="3"/>
  <c r="N54" i="3"/>
  <c r="B54" i="3"/>
  <c r="N53" i="3"/>
  <c r="B53" i="3"/>
  <c r="N52" i="3"/>
  <c r="B52" i="3"/>
  <c r="N51" i="3"/>
  <c r="B51" i="3"/>
  <c r="N50" i="3"/>
  <c r="B49" i="3"/>
  <c r="B47" i="3"/>
  <c r="B46" i="3"/>
  <c r="B45" i="3"/>
  <c r="B44" i="3"/>
  <c r="B43" i="3"/>
  <c r="B42" i="3"/>
  <c r="B40" i="3"/>
  <c r="B38" i="3"/>
  <c r="B33" i="3"/>
  <c r="B30" i="3"/>
  <c r="J28" i="3"/>
  <c r="F28" i="3"/>
  <c r="B28" i="3"/>
  <c r="J27" i="3"/>
  <c r="F27" i="3"/>
  <c r="B27" i="3"/>
  <c r="J26" i="3"/>
  <c r="F26" i="3"/>
  <c r="B26" i="3"/>
  <c r="B24" i="3"/>
  <c r="H22" i="3"/>
  <c r="B22" i="3"/>
  <c r="H21" i="3"/>
  <c r="B21" i="3"/>
  <c r="H20" i="3"/>
  <c r="B20" i="3"/>
  <c r="H19" i="3"/>
  <c r="B19" i="3"/>
  <c r="B17" i="3"/>
  <c r="H16" i="3"/>
  <c r="B16" i="3"/>
  <c r="X15" i="3"/>
  <c r="R15" i="3"/>
  <c r="H15" i="3"/>
  <c r="B15" i="3"/>
  <c r="T13" i="3"/>
  <c r="N13" i="3"/>
  <c r="B11" i="3"/>
  <c r="B10" i="3"/>
  <c r="B9" i="3"/>
  <c r="B8" i="3"/>
  <c r="AL600" i="16"/>
  <c r="AK600" i="16"/>
  <c r="AJ600" i="16"/>
  <c r="AI600" i="16"/>
  <c r="AH600" i="16"/>
  <c r="AG600" i="16"/>
  <c r="AF600" i="16"/>
  <c r="AL599" i="16"/>
  <c r="AK599" i="16"/>
  <c r="AJ599" i="16"/>
  <c r="AI599" i="16"/>
  <c r="AH599" i="16"/>
  <c r="AG599" i="16"/>
  <c r="AF599" i="16"/>
  <c r="AL598" i="16"/>
  <c r="AK598" i="16"/>
  <c r="AJ598" i="16"/>
  <c r="AI598" i="16"/>
  <c r="AH598" i="16"/>
  <c r="AG598" i="16"/>
  <c r="AF598" i="16"/>
  <c r="AL597" i="16"/>
  <c r="AK597" i="16"/>
  <c r="AJ597" i="16"/>
  <c r="AI597" i="16"/>
  <c r="AH597" i="16"/>
  <c r="AG597" i="16"/>
  <c r="AF597" i="16"/>
  <c r="AL596" i="16"/>
  <c r="AK596" i="16"/>
  <c r="AJ596" i="16"/>
  <c r="AI596" i="16"/>
  <c r="AH596" i="16"/>
  <c r="AG596" i="16"/>
  <c r="AF596" i="16"/>
  <c r="AL595" i="16"/>
  <c r="AK595" i="16"/>
  <c r="AJ595" i="16"/>
  <c r="AI595" i="16"/>
  <c r="AH595" i="16"/>
  <c r="AG595" i="16"/>
  <c r="AF595" i="16"/>
  <c r="AL594" i="16"/>
  <c r="AK594" i="16"/>
  <c r="AJ594" i="16"/>
  <c r="AI594" i="16"/>
  <c r="AH594" i="16"/>
  <c r="AG594" i="16"/>
  <c r="AF594" i="16"/>
  <c r="AL593" i="16"/>
  <c r="AK593" i="16"/>
  <c r="AJ593" i="16"/>
  <c r="AI593" i="16"/>
  <c r="AH593" i="16"/>
  <c r="AG593" i="16"/>
  <c r="AF593" i="16"/>
  <c r="AL592" i="16"/>
  <c r="AK592" i="16"/>
  <c r="AJ592" i="16"/>
  <c r="AI592" i="16"/>
  <c r="AH592" i="16"/>
  <c r="AG592" i="16"/>
  <c r="AF592" i="16"/>
  <c r="AL591" i="16"/>
  <c r="AK591" i="16"/>
  <c r="AJ591" i="16"/>
  <c r="AI591" i="16"/>
  <c r="AH591" i="16"/>
  <c r="AG591" i="16"/>
  <c r="AF591" i="16"/>
  <c r="AL590" i="16"/>
  <c r="AK590" i="16"/>
  <c r="AJ590" i="16"/>
  <c r="AI590" i="16"/>
  <c r="AH590" i="16"/>
  <c r="AG590" i="16"/>
  <c r="AF590" i="16"/>
  <c r="AL589" i="16"/>
  <c r="AK589" i="16"/>
  <c r="AJ589" i="16"/>
  <c r="AI589" i="16"/>
  <c r="AH589" i="16"/>
  <c r="AG589" i="16"/>
  <c r="AF589" i="16"/>
  <c r="AL588" i="16"/>
  <c r="AK588" i="16"/>
  <c r="AJ588" i="16"/>
  <c r="AI588" i="16"/>
  <c r="AH588" i="16"/>
  <c r="AG588" i="16"/>
  <c r="AF588" i="16"/>
  <c r="AL587" i="16"/>
  <c r="AK587" i="16"/>
  <c r="AJ587" i="16"/>
  <c r="AI587" i="16"/>
  <c r="AH587" i="16"/>
  <c r="AG587" i="16"/>
  <c r="AF587" i="16"/>
  <c r="AL586" i="16"/>
  <c r="AK586" i="16"/>
  <c r="AJ586" i="16"/>
  <c r="AI586" i="16"/>
  <c r="AH586" i="16"/>
  <c r="AG586" i="16"/>
  <c r="AF586" i="16"/>
  <c r="AL585" i="16"/>
  <c r="AK585" i="16"/>
  <c r="AJ585" i="16"/>
  <c r="AI585" i="16"/>
  <c r="AH585" i="16"/>
  <c r="AG585" i="16"/>
  <c r="AF585" i="16"/>
  <c r="AL584" i="16"/>
  <c r="AK584" i="16"/>
  <c r="AJ584" i="16"/>
  <c r="AI584" i="16"/>
  <c r="AH584" i="16"/>
  <c r="AG584" i="16"/>
  <c r="AF584" i="16"/>
  <c r="AL583" i="16"/>
  <c r="AK583" i="16"/>
  <c r="AJ583" i="16"/>
  <c r="AI583" i="16"/>
  <c r="AH583" i="16"/>
  <c r="AG583" i="16"/>
  <c r="AF583" i="16"/>
  <c r="AL582" i="16"/>
  <c r="AK582" i="16"/>
  <c r="AJ582" i="16"/>
  <c r="AI582" i="16"/>
  <c r="AH582" i="16"/>
  <c r="AG582" i="16"/>
  <c r="AF582" i="16"/>
  <c r="AL581" i="16"/>
  <c r="AK581" i="16"/>
  <c r="AJ581" i="16"/>
  <c r="AI581" i="16"/>
  <c r="AH581" i="16"/>
  <c r="AG581" i="16"/>
  <c r="AF581" i="16"/>
  <c r="AL580" i="16"/>
  <c r="AK580" i="16"/>
  <c r="AJ580" i="16"/>
  <c r="AI580" i="16"/>
  <c r="AH580" i="16"/>
  <c r="AG580" i="16"/>
  <c r="AF580" i="16"/>
  <c r="AL579" i="16"/>
  <c r="AK579" i="16"/>
  <c r="AJ579" i="16"/>
  <c r="AI579" i="16"/>
  <c r="AH579" i="16"/>
  <c r="AG579" i="16"/>
  <c r="AF579" i="16"/>
  <c r="AL578" i="16"/>
  <c r="AK578" i="16"/>
  <c r="AJ578" i="16"/>
  <c r="AI578" i="16"/>
  <c r="AH578" i="16"/>
  <c r="AG578" i="16"/>
  <c r="AF578" i="16"/>
  <c r="AL577" i="16"/>
  <c r="AK577" i="16"/>
  <c r="AJ577" i="16"/>
  <c r="AI577" i="16"/>
  <c r="AH577" i="16"/>
  <c r="AG577" i="16"/>
  <c r="AF577" i="16"/>
  <c r="AL576" i="16"/>
  <c r="AK576" i="16"/>
  <c r="AJ576" i="16"/>
  <c r="AI576" i="16"/>
  <c r="AH576" i="16"/>
  <c r="AG576" i="16"/>
  <c r="AF576" i="16"/>
  <c r="AL575" i="16"/>
  <c r="AK575" i="16"/>
  <c r="AJ575" i="16"/>
  <c r="AI575" i="16"/>
  <c r="AH575" i="16"/>
  <c r="AG575" i="16"/>
  <c r="AF575" i="16"/>
  <c r="AL574" i="16"/>
  <c r="AK574" i="16"/>
  <c r="AJ574" i="16"/>
  <c r="AI574" i="16"/>
  <c r="AH574" i="16"/>
  <c r="AG574" i="16"/>
  <c r="AF574" i="16"/>
  <c r="AL573" i="16"/>
  <c r="AK573" i="16"/>
  <c r="AJ573" i="16"/>
  <c r="AI573" i="16"/>
  <c r="AH573" i="16"/>
  <c r="AG573" i="16"/>
  <c r="AF573" i="16"/>
  <c r="AL572" i="16"/>
  <c r="AK572" i="16"/>
  <c r="AJ572" i="16"/>
  <c r="AI572" i="16"/>
  <c r="AH572" i="16"/>
  <c r="AG572" i="16"/>
  <c r="AF572" i="16"/>
  <c r="AL571" i="16"/>
  <c r="AK571" i="16"/>
  <c r="AJ571" i="16"/>
  <c r="AI571" i="16"/>
  <c r="AH571" i="16"/>
  <c r="AG571" i="16"/>
  <c r="AF571" i="16"/>
  <c r="AL570" i="16"/>
  <c r="AK570" i="16"/>
  <c r="AJ570" i="16"/>
  <c r="AI570" i="16"/>
  <c r="AH570" i="16"/>
  <c r="AG570" i="16"/>
  <c r="AF570" i="16"/>
  <c r="AL569" i="16"/>
  <c r="AK569" i="16"/>
  <c r="AJ569" i="16"/>
  <c r="AI569" i="16"/>
  <c r="AH569" i="16"/>
  <c r="AG569" i="16"/>
  <c r="AF569" i="16"/>
  <c r="AL568" i="16"/>
  <c r="AK568" i="16"/>
  <c r="AJ568" i="16"/>
  <c r="AI568" i="16"/>
  <c r="AH568" i="16"/>
  <c r="AG568" i="16"/>
  <c r="AF568" i="16"/>
  <c r="AL567" i="16"/>
  <c r="AK567" i="16"/>
  <c r="AJ567" i="16"/>
  <c r="AI567" i="16"/>
  <c r="AH567" i="16"/>
  <c r="AG567" i="16"/>
  <c r="AF567" i="16"/>
  <c r="AL566" i="16"/>
  <c r="AK566" i="16"/>
  <c r="AJ566" i="16"/>
  <c r="AI566" i="16"/>
  <c r="AH566" i="16"/>
  <c r="AG566" i="16"/>
  <c r="AF566" i="16"/>
  <c r="AL565" i="16"/>
  <c r="AK565" i="16"/>
  <c r="AJ565" i="16"/>
  <c r="AI565" i="16"/>
  <c r="AH565" i="16"/>
  <c r="AG565" i="16"/>
  <c r="AF565" i="16"/>
  <c r="AL564" i="16"/>
  <c r="AK564" i="16"/>
  <c r="AJ564" i="16"/>
  <c r="AI564" i="16"/>
  <c r="AH564" i="16"/>
  <c r="AG564" i="16"/>
  <c r="AF564" i="16"/>
  <c r="AL563" i="16"/>
  <c r="AK563" i="16"/>
  <c r="AJ563" i="16"/>
  <c r="AI563" i="16"/>
  <c r="AH563" i="16"/>
  <c r="AG563" i="16"/>
  <c r="AF563" i="16"/>
  <c r="AL562" i="16"/>
  <c r="AK562" i="16"/>
  <c r="AJ562" i="16"/>
  <c r="AI562" i="16"/>
  <c r="AH562" i="16"/>
  <c r="AG562" i="16"/>
  <c r="AF562" i="16"/>
  <c r="AL561" i="16"/>
  <c r="AK561" i="16"/>
  <c r="AJ561" i="16"/>
  <c r="AI561" i="16"/>
  <c r="AH561" i="16"/>
  <c r="AG561" i="16"/>
  <c r="AF561" i="16"/>
  <c r="AL560" i="16"/>
  <c r="AK560" i="16"/>
  <c r="AJ560" i="16"/>
  <c r="AI560" i="16"/>
  <c r="AH560" i="16"/>
  <c r="AG560" i="16"/>
  <c r="AF560" i="16"/>
  <c r="AL559" i="16"/>
  <c r="AK559" i="16"/>
  <c r="AJ559" i="16"/>
  <c r="AI559" i="16"/>
  <c r="AH559" i="16"/>
  <c r="AG559" i="16"/>
  <c r="AF559" i="16"/>
  <c r="AL558" i="16"/>
  <c r="AK558" i="16"/>
  <c r="AJ558" i="16"/>
  <c r="AI558" i="16"/>
  <c r="AH558" i="16"/>
  <c r="AG558" i="16"/>
  <c r="AF558" i="16"/>
  <c r="AL557" i="16"/>
  <c r="AK557" i="16"/>
  <c r="AJ557" i="16"/>
  <c r="AI557" i="16"/>
  <c r="AH557" i="16"/>
  <c r="AG557" i="16"/>
  <c r="AF557" i="16"/>
  <c r="AL556" i="16"/>
  <c r="AK556" i="16"/>
  <c r="AJ556" i="16"/>
  <c r="AI556" i="16"/>
  <c r="AH556" i="16"/>
  <c r="AG556" i="16"/>
  <c r="AF556" i="16"/>
  <c r="AL555" i="16"/>
  <c r="AK555" i="16"/>
  <c r="AJ555" i="16"/>
  <c r="AI555" i="16"/>
  <c r="AH555" i="16"/>
  <c r="AG555" i="16"/>
  <c r="AF555" i="16"/>
  <c r="AL554" i="16"/>
  <c r="AK554" i="16"/>
  <c r="AJ554" i="16"/>
  <c r="AI554" i="16"/>
  <c r="AH554" i="16"/>
  <c r="AG554" i="16"/>
  <c r="AF554" i="16"/>
  <c r="AL553" i="16"/>
  <c r="AK553" i="16"/>
  <c r="AJ553" i="16"/>
  <c r="AI553" i="16"/>
  <c r="AH553" i="16"/>
  <c r="AG553" i="16"/>
  <c r="AF553" i="16"/>
  <c r="AL552" i="16"/>
  <c r="AK552" i="16"/>
  <c r="AJ552" i="16"/>
  <c r="AI552" i="16"/>
  <c r="AH552" i="16"/>
  <c r="AG552" i="16"/>
  <c r="AF552" i="16"/>
  <c r="AL551" i="16"/>
  <c r="AK551" i="16"/>
  <c r="AJ551" i="16"/>
  <c r="AI551" i="16"/>
  <c r="AH551" i="16"/>
  <c r="AG551" i="16"/>
  <c r="AF551" i="16"/>
  <c r="AL550" i="16"/>
  <c r="AK550" i="16"/>
  <c r="AJ550" i="16"/>
  <c r="AI550" i="16"/>
  <c r="AH550" i="16"/>
  <c r="AG550" i="16"/>
  <c r="AF550" i="16"/>
  <c r="AL549" i="16"/>
  <c r="AK549" i="16"/>
  <c r="AJ549" i="16"/>
  <c r="AI549" i="16"/>
  <c r="AH549" i="16"/>
  <c r="AG549" i="16"/>
  <c r="AF549" i="16"/>
  <c r="AL548" i="16"/>
  <c r="AK548" i="16"/>
  <c r="AJ548" i="16"/>
  <c r="AI548" i="16"/>
  <c r="AH548" i="16"/>
  <c r="AG548" i="16"/>
  <c r="AF548" i="16"/>
  <c r="AL547" i="16"/>
  <c r="AK547" i="16"/>
  <c r="AJ547" i="16"/>
  <c r="AI547" i="16"/>
  <c r="AH547" i="16"/>
  <c r="AG547" i="16"/>
  <c r="AF547" i="16"/>
  <c r="AL546" i="16"/>
  <c r="AK546" i="16"/>
  <c r="AJ546" i="16"/>
  <c r="AI546" i="16"/>
  <c r="AH546" i="16"/>
  <c r="AG546" i="16"/>
  <c r="AF546" i="16"/>
  <c r="AL545" i="16"/>
  <c r="AK545" i="16"/>
  <c r="AJ545" i="16"/>
  <c r="AI545" i="16"/>
  <c r="AH545" i="16"/>
  <c r="AG545" i="16"/>
  <c r="AF545" i="16"/>
  <c r="AL544" i="16"/>
  <c r="AK544" i="16"/>
  <c r="AJ544" i="16"/>
  <c r="AI544" i="16"/>
  <c r="AH544" i="16"/>
  <c r="AG544" i="16"/>
  <c r="AF544" i="16"/>
  <c r="AL543" i="16"/>
  <c r="AK543" i="16"/>
  <c r="AJ543" i="16"/>
  <c r="AI543" i="16"/>
  <c r="AH543" i="16"/>
  <c r="AG543" i="16"/>
  <c r="AF543" i="16"/>
  <c r="AL542" i="16"/>
  <c r="AK542" i="16"/>
  <c r="AJ542" i="16"/>
  <c r="AI542" i="16"/>
  <c r="AH542" i="16"/>
  <c r="AG542" i="16"/>
  <c r="AF542" i="16"/>
  <c r="AL541" i="16"/>
  <c r="AK541" i="16"/>
  <c r="AJ541" i="16"/>
  <c r="AI541" i="16"/>
  <c r="AH541" i="16"/>
  <c r="AG541" i="16"/>
  <c r="AF541" i="16"/>
  <c r="AL540" i="16"/>
  <c r="AK540" i="16"/>
  <c r="AJ540" i="16"/>
  <c r="AI540" i="16"/>
  <c r="AH540" i="16"/>
  <c r="AG540" i="16"/>
  <c r="AF540" i="16"/>
  <c r="AL539" i="16"/>
  <c r="AK539" i="16"/>
  <c r="AJ539" i="16"/>
  <c r="AI539" i="16"/>
  <c r="AH539" i="16"/>
  <c r="AG539" i="16"/>
  <c r="AF539" i="16"/>
  <c r="AL538" i="16"/>
  <c r="AK538" i="16"/>
  <c r="AJ538" i="16"/>
  <c r="AI538" i="16"/>
  <c r="AH538" i="16"/>
  <c r="AG538" i="16"/>
  <c r="AF538" i="16"/>
  <c r="AL537" i="16"/>
  <c r="AK537" i="16"/>
  <c r="AJ537" i="16"/>
  <c r="AI537" i="16"/>
  <c r="AH537" i="16"/>
  <c r="AG537" i="16"/>
  <c r="AF537" i="16"/>
  <c r="AL536" i="16"/>
  <c r="AK536" i="16"/>
  <c r="AJ536" i="16"/>
  <c r="AI536" i="16"/>
  <c r="AH536" i="16"/>
  <c r="AG536" i="16"/>
  <c r="AF536" i="16"/>
  <c r="AL535" i="16"/>
  <c r="AK535" i="16"/>
  <c r="AJ535" i="16"/>
  <c r="AI535" i="16"/>
  <c r="AH535" i="16"/>
  <c r="AG535" i="16"/>
  <c r="AF535" i="16"/>
  <c r="AL534" i="16"/>
  <c r="AK534" i="16"/>
  <c r="AJ534" i="16"/>
  <c r="AI534" i="16"/>
  <c r="AH534" i="16"/>
  <c r="AG534" i="16"/>
  <c r="AF534" i="16"/>
  <c r="AL533" i="16"/>
  <c r="AK533" i="16"/>
  <c r="AJ533" i="16"/>
  <c r="AI533" i="16"/>
  <c r="AH533" i="16"/>
  <c r="AG533" i="16"/>
  <c r="AF533" i="16"/>
  <c r="AL532" i="16"/>
  <c r="AK532" i="16"/>
  <c r="AJ532" i="16"/>
  <c r="AI532" i="16"/>
  <c r="AH532" i="16"/>
  <c r="AG532" i="16"/>
  <c r="AF532" i="16"/>
  <c r="AL531" i="16"/>
  <c r="AK531" i="16"/>
  <c r="AJ531" i="16"/>
  <c r="AI531" i="16"/>
  <c r="AH531" i="16"/>
  <c r="AG531" i="16"/>
  <c r="AF531" i="16"/>
  <c r="AL530" i="16"/>
  <c r="AK530" i="16"/>
  <c r="AJ530" i="16"/>
  <c r="AI530" i="16"/>
  <c r="AH530" i="16"/>
  <c r="AG530" i="16"/>
  <c r="AF530" i="16"/>
  <c r="AL529" i="16"/>
  <c r="AK529" i="16"/>
  <c r="AJ529" i="16"/>
  <c r="AI529" i="16"/>
  <c r="AH529" i="16"/>
  <c r="AG529" i="16"/>
  <c r="AF529" i="16"/>
  <c r="AL528" i="16"/>
  <c r="AK528" i="16"/>
  <c r="AJ528" i="16"/>
  <c r="AI528" i="16"/>
  <c r="AH528" i="16"/>
  <c r="AG528" i="16"/>
  <c r="AF528" i="16"/>
  <c r="AL527" i="16"/>
  <c r="AK527" i="16"/>
  <c r="AJ527" i="16"/>
  <c r="AI527" i="16"/>
  <c r="AH527" i="16"/>
  <c r="AG527" i="16"/>
  <c r="AF527" i="16"/>
  <c r="AL526" i="16"/>
  <c r="AK526" i="16"/>
  <c r="AJ526" i="16"/>
  <c r="AI526" i="16"/>
  <c r="AH526" i="16"/>
  <c r="AG526" i="16"/>
  <c r="AF526" i="16"/>
  <c r="AL525" i="16"/>
  <c r="AK525" i="16"/>
  <c r="AJ525" i="16"/>
  <c r="AI525" i="16"/>
  <c r="AH525" i="16"/>
  <c r="AG525" i="16"/>
  <c r="AF525" i="16"/>
  <c r="AL524" i="16"/>
  <c r="AK524" i="16"/>
  <c r="AJ524" i="16"/>
  <c r="AI524" i="16"/>
  <c r="AH524" i="16"/>
  <c r="AG524" i="16"/>
  <c r="AF524" i="16"/>
  <c r="AL523" i="16"/>
  <c r="AK523" i="16"/>
  <c r="AJ523" i="16"/>
  <c r="AI523" i="16"/>
  <c r="AH523" i="16"/>
  <c r="AG523" i="16"/>
  <c r="AF523" i="16"/>
  <c r="AL522" i="16"/>
  <c r="AK522" i="16"/>
  <c r="AJ522" i="16"/>
  <c r="AI522" i="16"/>
  <c r="AH522" i="16"/>
  <c r="AG522" i="16"/>
  <c r="AF522" i="16"/>
  <c r="AL521" i="16"/>
  <c r="AK521" i="16"/>
  <c r="AJ521" i="16"/>
  <c r="AI521" i="16"/>
  <c r="AH521" i="16"/>
  <c r="AG521" i="16"/>
  <c r="AF521" i="16"/>
  <c r="AL520" i="16"/>
  <c r="AK520" i="16"/>
  <c r="AJ520" i="16"/>
  <c r="AI520" i="16"/>
  <c r="AH520" i="16"/>
  <c r="AG520" i="16"/>
  <c r="AF520" i="16"/>
  <c r="AL519" i="16"/>
  <c r="AK519" i="16"/>
  <c r="AJ519" i="16"/>
  <c r="AI519" i="16"/>
  <c r="AH519" i="16"/>
  <c r="AG519" i="16"/>
  <c r="AF519" i="16"/>
  <c r="AL518" i="16"/>
  <c r="AK518" i="16"/>
  <c r="AJ518" i="16"/>
  <c r="AI518" i="16"/>
  <c r="AH518" i="16"/>
  <c r="AG518" i="16"/>
  <c r="AF518" i="16"/>
  <c r="AL517" i="16"/>
  <c r="AK517" i="16"/>
  <c r="AJ517" i="16"/>
  <c r="AI517" i="16"/>
  <c r="AH517" i="16"/>
  <c r="AG517" i="16"/>
  <c r="AF517" i="16"/>
  <c r="AL516" i="16"/>
  <c r="AK516" i="16"/>
  <c r="AJ516" i="16"/>
  <c r="AI516" i="16"/>
  <c r="AH516" i="16"/>
  <c r="AG516" i="16"/>
  <c r="AF516" i="16"/>
  <c r="AL515" i="16"/>
  <c r="AK515" i="16"/>
  <c r="AJ515" i="16"/>
  <c r="AI515" i="16"/>
  <c r="AH515" i="16"/>
  <c r="AG515" i="16"/>
  <c r="AF515" i="16"/>
  <c r="AL514" i="16"/>
  <c r="AK514" i="16"/>
  <c r="AJ514" i="16"/>
  <c r="AI514" i="16"/>
  <c r="AH514" i="16"/>
  <c r="AG514" i="16"/>
  <c r="AF514" i="16"/>
  <c r="AL513" i="16"/>
  <c r="AK513" i="16"/>
  <c r="AJ513" i="16"/>
  <c r="AI513" i="16"/>
  <c r="AH513" i="16"/>
  <c r="AG513" i="16"/>
  <c r="AF513" i="16"/>
  <c r="AL512" i="16"/>
  <c r="AK512" i="16"/>
  <c r="AJ512" i="16"/>
  <c r="AI512" i="16"/>
  <c r="AH512" i="16"/>
  <c r="AG512" i="16"/>
  <c r="AF512" i="16"/>
  <c r="AL511" i="16"/>
  <c r="AK511" i="16"/>
  <c r="AJ511" i="16"/>
  <c r="AI511" i="16"/>
  <c r="AH511" i="16"/>
  <c r="AG511" i="16"/>
  <c r="AF511" i="16"/>
  <c r="AL510" i="16"/>
  <c r="AK510" i="16"/>
  <c r="AJ510" i="16"/>
  <c r="AI510" i="16"/>
  <c r="AH510" i="16"/>
  <c r="AG510" i="16"/>
  <c r="AF510" i="16"/>
  <c r="AL509" i="16"/>
  <c r="AK509" i="16"/>
  <c r="AJ509" i="16"/>
  <c r="AI509" i="16"/>
  <c r="AH509" i="16"/>
  <c r="AG509" i="16"/>
  <c r="AF509" i="16"/>
  <c r="AL508" i="16"/>
  <c r="AK508" i="16"/>
  <c r="AJ508" i="16"/>
  <c r="AI508" i="16"/>
  <c r="AH508" i="16"/>
  <c r="AG508" i="16"/>
  <c r="AF508" i="16"/>
  <c r="AL507" i="16"/>
  <c r="AK507" i="16"/>
  <c r="AJ507" i="16"/>
  <c r="AI507" i="16"/>
  <c r="AH507" i="16"/>
  <c r="AG507" i="16"/>
  <c r="AF507" i="16"/>
  <c r="AL506" i="16"/>
  <c r="AK506" i="16"/>
  <c r="AJ506" i="16"/>
  <c r="AI506" i="16"/>
  <c r="AH506" i="16"/>
  <c r="AG506" i="16"/>
  <c r="AF506" i="16"/>
  <c r="AL505" i="16"/>
  <c r="AK505" i="16"/>
  <c r="AJ505" i="16"/>
  <c r="AI505" i="16"/>
  <c r="AH505" i="16"/>
  <c r="AG505" i="16"/>
  <c r="AF505" i="16"/>
  <c r="AL504" i="16"/>
  <c r="AK504" i="16"/>
  <c r="AJ504" i="16"/>
  <c r="AI504" i="16"/>
  <c r="AH504" i="16"/>
  <c r="AG504" i="16"/>
  <c r="AF504" i="16"/>
  <c r="AL503" i="16"/>
  <c r="AK503" i="16"/>
  <c r="AJ503" i="16"/>
  <c r="AI503" i="16"/>
  <c r="AH503" i="16"/>
  <c r="AG503" i="16"/>
  <c r="AF503" i="16"/>
  <c r="AL502" i="16"/>
  <c r="AK502" i="16"/>
  <c r="AJ502" i="16"/>
  <c r="AI502" i="16"/>
  <c r="AH502" i="16"/>
  <c r="AG502" i="16"/>
  <c r="AF502" i="16"/>
  <c r="AL501" i="16"/>
  <c r="AK501" i="16"/>
  <c r="AJ501" i="16"/>
  <c r="AI501" i="16"/>
  <c r="AH501" i="16"/>
  <c r="AG501" i="16"/>
  <c r="AF501" i="16"/>
  <c r="AL500" i="16"/>
  <c r="AK500" i="16"/>
  <c r="AJ500" i="16"/>
  <c r="AI500" i="16"/>
  <c r="AH500" i="16"/>
  <c r="AG500" i="16"/>
  <c r="AF500" i="16"/>
  <c r="AL499" i="16"/>
  <c r="AK499" i="16"/>
  <c r="AJ499" i="16"/>
  <c r="AI499" i="16"/>
  <c r="AH499" i="16"/>
  <c r="AG499" i="16"/>
  <c r="AF499" i="16"/>
  <c r="AL498" i="16"/>
  <c r="AK498" i="16"/>
  <c r="AJ498" i="16"/>
  <c r="AI498" i="16"/>
  <c r="AH498" i="16"/>
  <c r="AG498" i="16"/>
  <c r="AF498" i="16"/>
  <c r="AL497" i="16"/>
  <c r="AK497" i="16"/>
  <c r="AJ497" i="16"/>
  <c r="AI497" i="16"/>
  <c r="AH497" i="16"/>
  <c r="AG497" i="16"/>
  <c r="AF497" i="16"/>
  <c r="AL496" i="16"/>
  <c r="AK496" i="16"/>
  <c r="AJ496" i="16"/>
  <c r="AI496" i="16"/>
  <c r="AH496" i="16"/>
  <c r="AG496" i="16"/>
  <c r="AF496" i="16"/>
  <c r="AL495" i="16"/>
  <c r="AK495" i="16"/>
  <c r="AJ495" i="16"/>
  <c r="AI495" i="16"/>
  <c r="AH495" i="16"/>
  <c r="AG495" i="16"/>
  <c r="AF495" i="16"/>
  <c r="AL494" i="16"/>
  <c r="AK494" i="16"/>
  <c r="AJ494" i="16"/>
  <c r="AI494" i="16"/>
  <c r="AH494" i="16"/>
  <c r="AG494" i="16"/>
  <c r="AF494" i="16"/>
  <c r="AL493" i="16"/>
  <c r="AK493" i="16"/>
  <c r="AJ493" i="16"/>
  <c r="AI493" i="16"/>
  <c r="AH493" i="16"/>
  <c r="AG493" i="16"/>
  <c r="AF493" i="16"/>
  <c r="AL492" i="16"/>
  <c r="AK492" i="16"/>
  <c r="AJ492" i="16"/>
  <c r="AI492" i="16"/>
  <c r="AH492" i="16"/>
  <c r="AG492" i="16"/>
  <c r="AF492" i="16"/>
  <c r="AL491" i="16"/>
  <c r="AK491" i="16"/>
  <c r="AJ491" i="16"/>
  <c r="AI491" i="16"/>
  <c r="AH491" i="16"/>
  <c r="AG491" i="16"/>
  <c r="AF491" i="16"/>
  <c r="AL490" i="16"/>
  <c r="AK490" i="16"/>
  <c r="AJ490" i="16"/>
  <c r="AI490" i="16"/>
  <c r="AH490" i="16"/>
  <c r="AG490" i="16"/>
  <c r="AF490" i="16"/>
  <c r="AL489" i="16"/>
  <c r="AK489" i="16"/>
  <c r="AJ489" i="16"/>
  <c r="AI489" i="16"/>
  <c r="AH489" i="16"/>
  <c r="AG489" i="16"/>
  <c r="AF489" i="16"/>
  <c r="AL488" i="16"/>
  <c r="AK488" i="16"/>
  <c r="AJ488" i="16"/>
  <c r="AI488" i="16"/>
  <c r="AH488" i="16"/>
  <c r="AG488" i="16"/>
  <c r="AF488" i="16"/>
  <c r="AL487" i="16"/>
  <c r="AK487" i="16"/>
  <c r="AJ487" i="16"/>
  <c r="AI487" i="16"/>
  <c r="AH487" i="16"/>
  <c r="AG487" i="16"/>
  <c r="AF487" i="16"/>
  <c r="AL486" i="16"/>
  <c r="AK486" i="16"/>
  <c r="AJ486" i="16"/>
  <c r="AI486" i="16"/>
  <c r="AH486" i="16"/>
  <c r="AG486" i="16"/>
  <c r="AF486" i="16"/>
  <c r="AL485" i="16"/>
  <c r="AK485" i="16"/>
  <c r="AJ485" i="16"/>
  <c r="AI485" i="16"/>
  <c r="AH485" i="16"/>
  <c r="AG485" i="16"/>
  <c r="AF485" i="16"/>
  <c r="AL484" i="16"/>
  <c r="AK484" i="16"/>
  <c r="AJ484" i="16"/>
  <c r="AI484" i="16"/>
  <c r="AH484" i="16"/>
  <c r="AG484" i="16"/>
  <c r="AF484" i="16"/>
  <c r="AL483" i="16"/>
  <c r="AK483" i="16"/>
  <c r="AJ483" i="16"/>
  <c r="AI483" i="16"/>
  <c r="AH483" i="16"/>
  <c r="AG483" i="16"/>
  <c r="AF483" i="16"/>
  <c r="AL482" i="16"/>
  <c r="AK482" i="16"/>
  <c r="AJ482" i="16"/>
  <c r="AI482" i="16"/>
  <c r="AH482" i="16"/>
  <c r="AG482" i="16"/>
  <c r="AF482" i="16"/>
  <c r="AL481" i="16"/>
  <c r="AK481" i="16"/>
  <c r="AJ481" i="16"/>
  <c r="AI481" i="16"/>
  <c r="AH481" i="16"/>
  <c r="AG481" i="16"/>
  <c r="AF481" i="16"/>
  <c r="AL480" i="16"/>
  <c r="AK480" i="16"/>
  <c r="AJ480" i="16"/>
  <c r="AI480" i="16"/>
  <c r="AH480" i="16"/>
  <c r="AG480" i="16"/>
  <c r="AF480" i="16"/>
  <c r="AL479" i="16"/>
  <c r="AK479" i="16"/>
  <c r="AJ479" i="16"/>
  <c r="AI479" i="16"/>
  <c r="AH479" i="16"/>
  <c r="AG479" i="16"/>
  <c r="AF479" i="16"/>
  <c r="AL478" i="16"/>
  <c r="AK478" i="16"/>
  <c r="AJ478" i="16"/>
  <c r="AI478" i="16"/>
  <c r="AH478" i="16"/>
  <c r="AG478" i="16"/>
  <c r="AF478" i="16"/>
  <c r="AL477" i="16"/>
  <c r="AK477" i="16"/>
  <c r="AJ477" i="16"/>
  <c r="AI477" i="16"/>
  <c r="AH477" i="16"/>
  <c r="AG477" i="16"/>
  <c r="AF477" i="16"/>
  <c r="AL476" i="16"/>
  <c r="AK476" i="16"/>
  <c r="AJ476" i="16"/>
  <c r="AI476" i="16"/>
  <c r="AH476" i="16"/>
  <c r="AG476" i="16"/>
  <c r="AF476" i="16"/>
  <c r="AL475" i="16"/>
  <c r="AK475" i="16"/>
  <c r="AJ475" i="16"/>
  <c r="AI475" i="16"/>
  <c r="AH475" i="16"/>
  <c r="AG475" i="16"/>
  <c r="AF475" i="16"/>
  <c r="AL474" i="16"/>
  <c r="AK474" i="16"/>
  <c r="AJ474" i="16"/>
  <c r="AI474" i="16"/>
  <c r="AH474" i="16"/>
  <c r="AG474" i="16"/>
  <c r="AF474" i="16"/>
  <c r="AL473" i="16"/>
  <c r="AK473" i="16"/>
  <c r="AJ473" i="16"/>
  <c r="AI473" i="16"/>
  <c r="AH473" i="16"/>
  <c r="AG473" i="16"/>
  <c r="AF473" i="16"/>
  <c r="AL472" i="16"/>
  <c r="AK472" i="16"/>
  <c r="AJ472" i="16"/>
  <c r="AI472" i="16"/>
  <c r="AH472" i="16"/>
  <c r="AG472" i="16"/>
  <c r="AF472" i="16"/>
  <c r="AL471" i="16"/>
  <c r="AK471" i="16"/>
  <c r="AJ471" i="16"/>
  <c r="AI471" i="16"/>
  <c r="AH471" i="16"/>
  <c r="AG471" i="16"/>
  <c r="AF471" i="16"/>
  <c r="AL470" i="16"/>
  <c r="AK470" i="16"/>
  <c r="AJ470" i="16"/>
  <c r="AI470" i="16"/>
  <c r="AH470" i="16"/>
  <c r="AG470" i="16"/>
  <c r="AF470" i="16"/>
  <c r="AL469" i="16"/>
  <c r="AK469" i="16"/>
  <c r="AJ469" i="16"/>
  <c r="AI469" i="16"/>
  <c r="AH469" i="16"/>
  <c r="AG469" i="16"/>
  <c r="AF469" i="16"/>
  <c r="AL468" i="16"/>
  <c r="AK468" i="16"/>
  <c r="AJ468" i="16"/>
  <c r="AI468" i="16"/>
  <c r="AH468" i="16"/>
  <c r="AG468" i="16"/>
  <c r="AF468" i="16"/>
  <c r="AL467" i="16"/>
  <c r="AK467" i="16"/>
  <c r="AJ467" i="16"/>
  <c r="AI467" i="16"/>
  <c r="AH467" i="16"/>
  <c r="AG467" i="16"/>
  <c r="AF467" i="16"/>
  <c r="AL466" i="16"/>
  <c r="AK466" i="16"/>
  <c r="AJ466" i="16"/>
  <c r="AI466" i="16"/>
  <c r="AH466" i="16"/>
  <c r="AG466" i="16"/>
  <c r="AF466" i="16"/>
  <c r="AL465" i="16"/>
  <c r="AK465" i="16"/>
  <c r="AJ465" i="16"/>
  <c r="AI465" i="16"/>
  <c r="AH465" i="16"/>
  <c r="AG465" i="16"/>
  <c r="AF465" i="16"/>
  <c r="AL464" i="16"/>
  <c r="AK464" i="16"/>
  <c r="AJ464" i="16"/>
  <c r="AI464" i="16"/>
  <c r="AH464" i="16"/>
  <c r="AG464" i="16"/>
  <c r="AF464" i="16"/>
  <c r="AL463" i="16"/>
  <c r="AK463" i="16"/>
  <c r="AJ463" i="16"/>
  <c r="AI463" i="16"/>
  <c r="AH463" i="16"/>
  <c r="AG463" i="16"/>
  <c r="AF463" i="16"/>
  <c r="AL462" i="16"/>
  <c r="AK462" i="16"/>
  <c r="AJ462" i="16"/>
  <c r="AI462" i="16"/>
  <c r="AH462" i="16"/>
  <c r="AG462" i="16"/>
  <c r="AF462" i="16"/>
  <c r="AL461" i="16"/>
  <c r="AK461" i="16"/>
  <c r="AJ461" i="16"/>
  <c r="AI461" i="16"/>
  <c r="AH461" i="16"/>
  <c r="AG461" i="16"/>
  <c r="AF461" i="16"/>
  <c r="AL460" i="16"/>
  <c r="AK460" i="16"/>
  <c r="AJ460" i="16"/>
  <c r="AI460" i="16"/>
  <c r="AH460" i="16"/>
  <c r="AG460" i="16"/>
  <c r="AF460" i="16"/>
  <c r="AL459" i="16"/>
  <c r="AK459" i="16"/>
  <c r="AJ459" i="16"/>
  <c r="AI459" i="16"/>
  <c r="AH459" i="16"/>
  <c r="AG459" i="16"/>
  <c r="AF459" i="16"/>
  <c r="AL458" i="16"/>
  <c r="AK458" i="16"/>
  <c r="AJ458" i="16"/>
  <c r="AI458" i="16"/>
  <c r="AH458" i="16"/>
  <c r="AG458" i="16"/>
  <c r="AF458" i="16"/>
  <c r="AL457" i="16"/>
  <c r="AK457" i="16"/>
  <c r="AJ457" i="16"/>
  <c r="AI457" i="16"/>
  <c r="AH457" i="16"/>
  <c r="AG457" i="16"/>
  <c r="AF457" i="16"/>
  <c r="AL456" i="16"/>
  <c r="AK456" i="16"/>
  <c r="AJ456" i="16"/>
  <c r="AI456" i="16"/>
  <c r="AH456" i="16"/>
  <c r="AG456" i="16"/>
  <c r="AF456" i="16"/>
  <c r="AL455" i="16"/>
  <c r="AK455" i="16"/>
  <c r="AJ455" i="16"/>
  <c r="AI455" i="16"/>
  <c r="AH455" i="16"/>
  <c r="AG455" i="16"/>
  <c r="AF455" i="16"/>
  <c r="AL454" i="16"/>
  <c r="AK454" i="16"/>
  <c r="AJ454" i="16"/>
  <c r="AI454" i="16"/>
  <c r="AH454" i="16"/>
  <c r="AG454" i="16"/>
  <c r="AF454" i="16"/>
  <c r="AL453" i="16"/>
  <c r="AK453" i="16"/>
  <c r="AJ453" i="16"/>
  <c r="AI453" i="16"/>
  <c r="AH453" i="16"/>
  <c r="AG453" i="16"/>
  <c r="AF453" i="16"/>
  <c r="AL452" i="16"/>
  <c r="AK452" i="16"/>
  <c r="AJ452" i="16"/>
  <c r="AI452" i="16"/>
  <c r="AH452" i="16"/>
  <c r="AG452" i="16"/>
  <c r="AF452" i="16"/>
  <c r="AL451" i="16"/>
  <c r="AK451" i="16"/>
  <c r="AJ451" i="16"/>
  <c r="AI451" i="16"/>
  <c r="AH451" i="16"/>
  <c r="AG451" i="16"/>
  <c r="AF451" i="16"/>
  <c r="AL450" i="16"/>
  <c r="AK450" i="16"/>
  <c r="AJ450" i="16"/>
  <c r="AI450" i="16"/>
  <c r="AH450" i="16"/>
  <c r="AG450" i="16"/>
  <c r="AF450" i="16"/>
  <c r="AL449" i="16"/>
  <c r="AK449" i="16"/>
  <c r="AJ449" i="16"/>
  <c r="AI449" i="16"/>
  <c r="AH449" i="16"/>
  <c r="AG449" i="16"/>
  <c r="AF449" i="16"/>
  <c r="AL448" i="16"/>
  <c r="AK448" i="16"/>
  <c r="AJ448" i="16"/>
  <c r="AI448" i="16"/>
  <c r="AH448" i="16"/>
  <c r="AG448" i="16"/>
  <c r="AF448" i="16"/>
  <c r="AL447" i="16"/>
  <c r="AK447" i="16"/>
  <c r="AJ447" i="16"/>
  <c r="AI447" i="16"/>
  <c r="AH447" i="16"/>
  <c r="AG447" i="16"/>
  <c r="AF447" i="16"/>
  <c r="AL446" i="16"/>
  <c r="AK446" i="16"/>
  <c r="AJ446" i="16"/>
  <c r="AI446" i="16"/>
  <c r="AH446" i="16"/>
  <c r="AG446" i="16"/>
  <c r="AF446" i="16"/>
  <c r="AL445" i="16"/>
  <c r="AK445" i="16"/>
  <c r="AJ445" i="16"/>
  <c r="AI445" i="16"/>
  <c r="AH445" i="16"/>
  <c r="AG445" i="16"/>
  <c r="AF445" i="16"/>
  <c r="AL444" i="16"/>
  <c r="AK444" i="16"/>
  <c r="AJ444" i="16"/>
  <c r="AI444" i="16"/>
  <c r="AH444" i="16"/>
  <c r="AG444" i="16"/>
  <c r="AF444" i="16"/>
  <c r="AL443" i="16"/>
  <c r="AK443" i="16"/>
  <c r="AJ443" i="16"/>
  <c r="AI443" i="16"/>
  <c r="AH443" i="16"/>
  <c r="AG443" i="16"/>
  <c r="AF443" i="16"/>
  <c r="AL442" i="16"/>
  <c r="AK442" i="16"/>
  <c r="AJ442" i="16"/>
  <c r="AI442" i="16"/>
  <c r="AH442" i="16"/>
  <c r="AG442" i="16"/>
  <c r="AF442" i="16"/>
  <c r="AL441" i="16"/>
  <c r="AK441" i="16"/>
  <c r="AJ441" i="16"/>
  <c r="AI441" i="16"/>
  <c r="AH441" i="16"/>
  <c r="AG441" i="16"/>
  <c r="AF441" i="16"/>
  <c r="AL440" i="16"/>
  <c r="AK440" i="16"/>
  <c r="AJ440" i="16"/>
  <c r="AI440" i="16"/>
  <c r="AH440" i="16"/>
  <c r="AG440" i="16"/>
  <c r="AF440" i="16"/>
  <c r="AL439" i="16"/>
  <c r="AK439" i="16"/>
  <c r="AJ439" i="16"/>
  <c r="AI439" i="16"/>
  <c r="AH439" i="16"/>
  <c r="AG439" i="16"/>
  <c r="AF439" i="16"/>
  <c r="AL438" i="16"/>
  <c r="AK438" i="16"/>
  <c r="AJ438" i="16"/>
  <c r="AI438" i="16"/>
  <c r="AH438" i="16"/>
  <c r="AG438" i="16"/>
  <c r="AF438" i="16"/>
  <c r="AL437" i="16"/>
  <c r="AK437" i="16"/>
  <c r="AJ437" i="16"/>
  <c r="AI437" i="16"/>
  <c r="AH437" i="16"/>
  <c r="AG437" i="16"/>
  <c r="AF437" i="16"/>
  <c r="AL436" i="16"/>
  <c r="AK436" i="16"/>
  <c r="AJ436" i="16"/>
  <c r="AI436" i="16"/>
  <c r="AH436" i="16"/>
  <c r="AG436" i="16"/>
  <c r="AF436" i="16"/>
  <c r="AL435" i="16"/>
  <c r="AK435" i="16"/>
  <c r="AJ435" i="16"/>
  <c r="AI435" i="16"/>
  <c r="AH435" i="16"/>
  <c r="AG435" i="16"/>
  <c r="AF435" i="16"/>
  <c r="AL434" i="16"/>
  <c r="AK434" i="16"/>
  <c r="AJ434" i="16"/>
  <c r="AI434" i="16"/>
  <c r="AH434" i="16"/>
  <c r="AG434" i="16"/>
  <c r="AF434" i="16"/>
  <c r="AL433" i="16"/>
  <c r="AK433" i="16"/>
  <c r="AJ433" i="16"/>
  <c r="AI433" i="16"/>
  <c r="AH433" i="16"/>
  <c r="AG433" i="16"/>
  <c r="AF433" i="16"/>
  <c r="AL432" i="16"/>
  <c r="AK432" i="16"/>
  <c r="AJ432" i="16"/>
  <c r="AI432" i="16"/>
  <c r="AH432" i="16"/>
  <c r="AG432" i="16"/>
  <c r="AF432" i="16"/>
  <c r="AL431" i="16"/>
  <c r="AK431" i="16"/>
  <c r="AJ431" i="16"/>
  <c r="AI431" i="16"/>
  <c r="AH431" i="16"/>
  <c r="AG431" i="16"/>
  <c r="AF431" i="16"/>
  <c r="AL430" i="16"/>
  <c r="AK430" i="16"/>
  <c r="AJ430" i="16"/>
  <c r="AI430" i="16"/>
  <c r="AH430" i="16"/>
  <c r="AG430" i="16"/>
  <c r="AF430" i="16"/>
  <c r="AL429" i="16"/>
  <c r="AK429" i="16"/>
  <c r="AJ429" i="16"/>
  <c r="AI429" i="16"/>
  <c r="AH429" i="16"/>
  <c r="AG429" i="16"/>
  <c r="AF429" i="16"/>
  <c r="AL428" i="16"/>
  <c r="AK428" i="16"/>
  <c r="AJ428" i="16"/>
  <c r="AI428" i="16"/>
  <c r="AH428" i="16"/>
  <c r="AG428" i="16"/>
  <c r="AF428" i="16"/>
  <c r="AL427" i="16"/>
  <c r="AK427" i="16"/>
  <c r="AJ427" i="16"/>
  <c r="AI427" i="16"/>
  <c r="AH427" i="16"/>
  <c r="AG427" i="16"/>
  <c r="AF427" i="16"/>
  <c r="AL426" i="16"/>
  <c r="AK426" i="16"/>
  <c r="AJ426" i="16"/>
  <c r="AI426" i="16"/>
  <c r="AH426" i="16"/>
  <c r="AG426" i="16"/>
  <c r="AF426" i="16"/>
  <c r="AL425" i="16"/>
  <c r="AK425" i="16"/>
  <c r="AJ425" i="16"/>
  <c r="AI425" i="16"/>
  <c r="AH425" i="16"/>
  <c r="AG425" i="16"/>
  <c r="AF425" i="16"/>
  <c r="AL424" i="16"/>
  <c r="AK424" i="16"/>
  <c r="AJ424" i="16"/>
  <c r="AI424" i="16"/>
  <c r="AH424" i="16"/>
  <c r="AG424" i="16"/>
  <c r="AF424" i="16"/>
  <c r="AL423" i="16"/>
  <c r="AK423" i="16"/>
  <c r="AJ423" i="16"/>
  <c r="AI423" i="16"/>
  <c r="AH423" i="16"/>
  <c r="AG423" i="16"/>
  <c r="AF423" i="16"/>
  <c r="AL422" i="16"/>
  <c r="AK422" i="16"/>
  <c r="AJ422" i="16"/>
  <c r="AI422" i="16"/>
  <c r="AH422" i="16"/>
  <c r="AG422" i="16"/>
  <c r="AF422" i="16"/>
  <c r="AL421" i="16"/>
  <c r="AK421" i="16"/>
  <c r="AJ421" i="16"/>
  <c r="AI421" i="16"/>
  <c r="AH421" i="16"/>
  <c r="AG421" i="16"/>
  <c r="AF421" i="16"/>
  <c r="AL420" i="16"/>
  <c r="AK420" i="16"/>
  <c r="AJ420" i="16"/>
  <c r="AI420" i="16"/>
  <c r="AH420" i="16"/>
  <c r="AG420" i="16"/>
  <c r="AF420" i="16"/>
  <c r="AL419" i="16"/>
  <c r="AK419" i="16"/>
  <c r="AJ419" i="16"/>
  <c r="AI419" i="16"/>
  <c r="AH419" i="16"/>
  <c r="AG419" i="16"/>
  <c r="AF419" i="16"/>
  <c r="AL418" i="16"/>
  <c r="AK418" i="16"/>
  <c r="AJ418" i="16"/>
  <c r="AI418" i="16"/>
  <c r="AH418" i="16"/>
  <c r="AG418" i="16"/>
  <c r="AF418" i="16"/>
  <c r="AL417" i="16"/>
  <c r="AK417" i="16"/>
  <c r="AJ417" i="16"/>
  <c r="AI417" i="16"/>
  <c r="AH417" i="16"/>
  <c r="AG417" i="16"/>
  <c r="AF417" i="16"/>
  <c r="AL416" i="16"/>
  <c r="AK416" i="16"/>
  <c r="AJ416" i="16"/>
  <c r="AI416" i="16"/>
  <c r="AH416" i="16"/>
  <c r="AG416" i="16"/>
  <c r="AF416" i="16"/>
  <c r="AL415" i="16"/>
  <c r="AK415" i="16"/>
  <c r="AJ415" i="16"/>
  <c r="AI415" i="16"/>
  <c r="AH415" i="16"/>
  <c r="AG415" i="16"/>
  <c r="AF415" i="16"/>
  <c r="AL414" i="16"/>
  <c r="AK414" i="16"/>
  <c r="AJ414" i="16"/>
  <c r="AI414" i="16"/>
  <c r="AH414" i="16"/>
  <c r="AG414" i="16"/>
  <c r="AF414" i="16"/>
  <c r="AL413" i="16"/>
  <c r="AK413" i="16"/>
  <c r="AJ413" i="16"/>
  <c r="AI413" i="16"/>
  <c r="AH413" i="16"/>
  <c r="AG413" i="16"/>
  <c r="AF413" i="16"/>
  <c r="AL412" i="16"/>
  <c r="AK412" i="16"/>
  <c r="AJ412" i="16"/>
  <c r="AI412" i="16"/>
  <c r="AH412" i="16"/>
  <c r="AG412" i="16"/>
  <c r="AF412" i="16"/>
  <c r="AL411" i="16"/>
  <c r="AK411" i="16"/>
  <c r="AJ411" i="16"/>
  <c r="AI411" i="16"/>
  <c r="AH411" i="16"/>
  <c r="AG411" i="16"/>
  <c r="AF411" i="16"/>
  <c r="AL410" i="16"/>
  <c r="AK410" i="16"/>
  <c r="AJ410" i="16"/>
  <c r="AI410" i="16"/>
  <c r="AH410" i="16"/>
  <c r="AG410" i="16"/>
  <c r="AF410" i="16"/>
  <c r="AL409" i="16"/>
  <c r="AK409" i="16"/>
  <c r="AJ409" i="16"/>
  <c r="AI409" i="16"/>
  <c r="AH409" i="16"/>
  <c r="AG409" i="16"/>
  <c r="AF409" i="16"/>
  <c r="AL408" i="16"/>
  <c r="AK408" i="16"/>
  <c r="AJ408" i="16"/>
  <c r="AI408" i="16"/>
  <c r="AH408" i="16"/>
  <c r="AG408" i="16"/>
  <c r="AF408" i="16"/>
  <c r="AL407" i="16"/>
  <c r="AK407" i="16"/>
  <c r="AJ407" i="16"/>
  <c r="AI407" i="16"/>
  <c r="AH407" i="16"/>
  <c r="AG407" i="16"/>
  <c r="AF407" i="16"/>
  <c r="AL406" i="16"/>
  <c r="AK406" i="16"/>
  <c r="AJ406" i="16"/>
  <c r="AI406" i="16"/>
  <c r="AH406" i="16"/>
  <c r="AG406" i="16"/>
  <c r="AF406" i="16"/>
  <c r="AL405" i="16"/>
  <c r="AK405" i="16"/>
  <c r="AJ405" i="16"/>
  <c r="AI405" i="16"/>
  <c r="AH405" i="16"/>
  <c r="AG405" i="16"/>
  <c r="AF405" i="16"/>
  <c r="AL404" i="16"/>
  <c r="AK404" i="16"/>
  <c r="AJ404" i="16"/>
  <c r="AI404" i="16"/>
  <c r="AH404" i="16"/>
  <c r="AG404" i="16"/>
  <c r="AF404" i="16"/>
  <c r="AL403" i="16"/>
  <c r="AK403" i="16"/>
  <c r="AJ403" i="16"/>
  <c r="AI403" i="16"/>
  <c r="AH403" i="16"/>
  <c r="AG403" i="16"/>
  <c r="AF403" i="16"/>
  <c r="AL402" i="16"/>
  <c r="AK402" i="16"/>
  <c r="AJ402" i="16"/>
  <c r="AI402" i="16"/>
  <c r="AH402" i="16"/>
  <c r="AG402" i="16"/>
  <c r="AF402" i="16"/>
  <c r="AL401" i="16"/>
  <c r="AK401" i="16"/>
  <c r="AJ401" i="16"/>
  <c r="AI401" i="16"/>
  <c r="AH401" i="16"/>
  <c r="AG401" i="16"/>
  <c r="AF401" i="16"/>
  <c r="AL400" i="16"/>
  <c r="AK400" i="16"/>
  <c r="AJ400" i="16"/>
  <c r="AI400" i="16"/>
  <c r="AH400" i="16"/>
  <c r="AG400" i="16"/>
  <c r="AF400" i="16"/>
  <c r="AL399" i="16"/>
  <c r="AK399" i="16"/>
  <c r="AJ399" i="16"/>
  <c r="AI399" i="16"/>
  <c r="AH399" i="16"/>
  <c r="AG399" i="16"/>
  <c r="AF399" i="16"/>
  <c r="AL398" i="16"/>
  <c r="AK398" i="16"/>
  <c r="AJ398" i="16"/>
  <c r="AI398" i="16"/>
  <c r="AH398" i="16"/>
  <c r="AG398" i="16"/>
  <c r="AF398" i="16"/>
  <c r="AL397" i="16"/>
  <c r="AK397" i="16"/>
  <c r="AJ397" i="16"/>
  <c r="AI397" i="16"/>
  <c r="AH397" i="16"/>
  <c r="AG397" i="16"/>
  <c r="AF397" i="16"/>
  <c r="AL396" i="16"/>
  <c r="AK396" i="16"/>
  <c r="AJ396" i="16"/>
  <c r="AI396" i="16"/>
  <c r="AH396" i="16"/>
  <c r="AG396" i="16"/>
  <c r="AF396" i="16"/>
  <c r="AL395" i="16"/>
  <c r="AK395" i="16"/>
  <c r="AJ395" i="16"/>
  <c r="AI395" i="16"/>
  <c r="AH395" i="16"/>
  <c r="AG395" i="16"/>
  <c r="AF395" i="16"/>
  <c r="AL394" i="16"/>
  <c r="AK394" i="16"/>
  <c r="AJ394" i="16"/>
  <c r="AI394" i="16"/>
  <c r="AH394" i="16"/>
  <c r="AG394" i="16"/>
  <c r="AF394" i="16"/>
  <c r="AL393" i="16"/>
  <c r="AK393" i="16"/>
  <c r="AJ393" i="16"/>
  <c r="AI393" i="16"/>
  <c r="AH393" i="16"/>
  <c r="AG393" i="16"/>
  <c r="AF393" i="16"/>
  <c r="AL392" i="16"/>
  <c r="AK392" i="16"/>
  <c r="AJ392" i="16"/>
  <c r="AI392" i="16"/>
  <c r="AH392" i="16"/>
  <c r="AG392" i="16"/>
  <c r="AF392" i="16"/>
  <c r="AL391" i="16"/>
  <c r="AK391" i="16"/>
  <c r="AJ391" i="16"/>
  <c r="AI391" i="16"/>
  <c r="AH391" i="16"/>
  <c r="AG391" i="16"/>
  <c r="AF391" i="16"/>
  <c r="AL390" i="16"/>
  <c r="AK390" i="16"/>
  <c r="AJ390" i="16"/>
  <c r="AI390" i="16"/>
  <c r="AH390" i="16"/>
  <c r="AG390" i="16"/>
  <c r="AF390" i="16"/>
  <c r="AL389" i="16"/>
  <c r="AK389" i="16"/>
  <c r="AJ389" i="16"/>
  <c r="AI389" i="16"/>
  <c r="AH389" i="16"/>
  <c r="AG389" i="16"/>
  <c r="AF389" i="16"/>
  <c r="AL388" i="16"/>
  <c r="AK388" i="16"/>
  <c r="AJ388" i="16"/>
  <c r="AI388" i="16"/>
  <c r="AH388" i="16"/>
  <c r="AG388" i="16"/>
  <c r="AF388" i="16"/>
  <c r="AL387" i="16"/>
  <c r="AK387" i="16"/>
  <c r="AJ387" i="16"/>
  <c r="AI387" i="16"/>
  <c r="AH387" i="16"/>
  <c r="AG387" i="16"/>
  <c r="AF387" i="16"/>
  <c r="AL386" i="16"/>
  <c r="AK386" i="16"/>
  <c r="AJ386" i="16"/>
  <c r="AI386" i="16"/>
  <c r="AH386" i="16"/>
  <c r="AG386" i="16"/>
  <c r="AF386" i="16"/>
  <c r="AL385" i="16"/>
  <c r="AK385" i="16"/>
  <c r="AJ385" i="16"/>
  <c r="AI385" i="16"/>
  <c r="AH385" i="16"/>
  <c r="AG385" i="16"/>
  <c r="AF385" i="16"/>
  <c r="AL384" i="16"/>
  <c r="AK384" i="16"/>
  <c r="AJ384" i="16"/>
  <c r="AI384" i="16"/>
  <c r="AH384" i="16"/>
  <c r="AG384" i="16"/>
  <c r="AF384" i="16"/>
  <c r="AL383" i="16"/>
  <c r="AK383" i="16"/>
  <c r="AJ383" i="16"/>
  <c r="AI383" i="16"/>
  <c r="AH383" i="16"/>
  <c r="AG383" i="16"/>
  <c r="AF383" i="16"/>
  <c r="AL382" i="16"/>
  <c r="AK382" i="16"/>
  <c r="AJ382" i="16"/>
  <c r="AI382" i="16"/>
  <c r="AH382" i="16"/>
  <c r="AG382" i="16"/>
  <c r="AF382" i="16"/>
  <c r="AL381" i="16"/>
  <c r="AK381" i="16"/>
  <c r="AJ381" i="16"/>
  <c r="AI381" i="16"/>
  <c r="AH381" i="16"/>
  <c r="AG381" i="16"/>
  <c r="AF381" i="16"/>
  <c r="AL380" i="16"/>
  <c r="AK380" i="16"/>
  <c r="AJ380" i="16"/>
  <c r="AI380" i="16"/>
  <c r="AH380" i="16"/>
  <c r="AG380" i="16"/>
  <c r="AF380" i="16"/>
  <c r="AL379" i="16"/>
  <c r="AK379" i="16"/>
  <c r="AJ379" i="16"/>
  <c r="AI379" i="16"/>
  <c r="AH379" i="16"/>
  <c r="AG379" i="16"/>
  <c r="AF379" i="16"/>
  <c r="AL378" i="16"/>
  <c r="AK378" i="16"/>
  <c r="AJ378" i="16"/>
  <c r="AI378" i="16"/>
  <c r="AH378" i="16"/>
  <c r="AG378" i="16"/>
  <c r="AF378" i="16"/>
  <c r="AL377" i="16"/>
  <c r="AK377" i="16"/>
  <c r="AJ377" i="16"/>
  <c r="AI377" i="16"/>
  <c r="AH377" i="16"/>
  <c r="AG377" i="16"/>
  <c r="AF377" i="16"/>
  <c r="AL376" i="16"/>
  <c r="AK376" i="16"/>
  <c r="AJ376" i="16"/>
  <c r="AI376" i="16"/>
  <c r="AH376" i="16"/>
  <c r="AG376" i="16"/>
  <c r="AF376" i="16"/>
  <c r="AL375" i="16"/>
  <c r="AK375" i="16"/>
  <c r="AJ375" i="16"/>
  <c r="AI375" i="16"/>
  <c r="AH375" i="16"/>
  <c r="AG375" i="16"/>
  <c r="AF375" i="16"/>
  <c r="AL374" i="16"/>
  <c r="AK374" i="16"/>
  <c r="AJ374" i="16"/>
  <c r="AI374" i="16"/>
  <c r="AH374" i="16"/>
  <c r="AG374" i="16"/>
  <c r="AF374" i="16"/>
  <c r="AL373" i="16"/>
  <c r="AK373" i="16"/>
  <c r="AJ373" i="16"/>
  <c r="AI373" i="16"/>
  <c r="AH373" i="16"/>
  <c r="AG373" i="16"/>
  <c r="AF373" i="16"/>
  <c r="AL372" i="16"/>
  <c r="AK372" i="16"/>
  <c r="AJ372" i="16"/>
  <c r="AI372" i="16"/>
  <c r="AH372" i="16"/>
  <c r="AG372" i="16"/>
  <c r="AF372" i="16"/>
  <c r="AL371" i="16"/>
  <c r="AK371" i="16"/>
  <c r="AJ371" i="16"/>
  <c r="AI371" i="16"/>
  <c r="AH371" i="16"/>
  <c r="AG371" i="16"/>
  <c r="AF371" i="16"/>
  <c r="AL370" i="16"/>
  <c r="AK370" i="16"/>
  <c r="AJ370" i="16"/>
  <c r="AI370" i="16"/>
  <c r="AH370" i="16"/>
  <c r="AG370" i="16"/>
  <c r="AF370" i="16"/>
  <c r="AL369" i="16"/>
  <c r="AK369" i="16"/>
  <c r="AJ369" i="16"/>
  <c r="AI369" i="16"/>
  <c r="AH369" i="16"/>
  <c r="AG369" i="16"/>
  <c r="AF369" i="16"/>
  <c r="AL368" i="16"/>
  <c r="AK368" i="16"/>
  <c r="AJ368" i="16"/>
  <c r="AI368" i="16"/>
  <c r="AH368" i="16"/>
  <c r="AG368" i="16"/>
  <c r="AF368" i="16"/>
  <c r="AL367" i="16"/>
  <c r="AK367" i="16"/>
  <c r="AJ367" i="16"/>
  <c r="AI367" i="16"/>
  <c r="AH367" i="16"/>
  <c r="AG367" i="16"/>
  <c r="AF367" i="16"/>
  <c r="AL366" i="16"/>
  <c r="AK366" i="16"/>
  <c r="AJ366" i="16"/>
  <c r="AI366" i="16"/>
  <c r="AH366" i="16"/>
  <c r="AG366" i="16"/>
  <c r="AF366" i="16"/>
  <c r="AL365" i="16"/>
  <c r="AK365" i="16"/>
  <c r="AJ365" i="16"/>
  <c r="AI365" i="16"/>
  <c r="AH365" i="16"/>
  <c r="AG365" i="16"/>
  <c r="AF365" i="16"/>
  <c r="AL364" i="16"/>
  <c r="AK364" i="16"/>
  <c r="AJ364" i="16"/>
  <c r="AI364" i="16"/>
  <c r="AH364" i="16"/>
  <c r="AG364" i="16"/>
  <c r="AF364" i="16"/>
  <c r="AL363" i="16"/>
  <c r="AK363" i="16"/>
  <c r="AJ363" i="16"/>
  <c r="AI363" i="16"/>
  <c r="AH363" i="16"/>
  <c r="AG363" i="16"/>
  <c r="AF363" i="16"/>
  <c r="AL362" i="16"/>
  <c r="AK362" i="16"/>
  <c r="AJ362" i="16"/>
  <c r="AI362" i="16"/>
  <c r="AH362" i="16"/>
  <c r="AG362" i="16"/>
  <c r="AF362" i="16"/>
  <c r="AL361" i="16"/>
  <c r="AK361" i="16"/>
  <c r="AJ361" i="16"/>
  <c r="AI361" i="16"/>
  <c r="AH361" i="16"/>
  <c r="AG361" i="16"/>
  <c r="AF361" i="16"/>
  <c r="AL360" i="16"/>
  <c r="AK360" i="16"/>
  <c r="AJ360" i="16"/>
  <c r="AI360" i="16"/>
  <c r="AH360" i="16"/>
  <c r="AG360" i="16"/>
  <c r="AF360" i="16"/>
  <c r="AL359" i="16"/>
  <c r="AK359" i="16"/>
  <c r="AJ359" i="16"/>
  <c r="AI359" i="16"/>
  <c r="AH359" i="16"/>
  <c r="AG359" i="16"/>
  <c r="AF359" i="16"/>
  <c r="AL358" i="16"/>
  <c r="AK358" i="16"/>
  <c r="AJ358" i="16"/>
  <c r="AI358" i="16"/>
  <c r="AH358" i="16"/>
  <c r="AG358" i="16"/>
  <c r="AF358" i="16"/>
  <c r="AL357" i="16"/>
  <c r="AK357" i="16"/>
  <c r="AJ357" i="16"/>
  <c r="AI357" i="16"/>
  <c r="AH357" i="16"/>
  <c r="AG357" i="16"/>
  <c r="AF357" i="16"/>
  <c r="AL356" i="16"/>
  <c r="AK356" i="16"/>
  <c r="AJ356" i="16"/>
  <c r="AI356" i="16"/>
  <c r="AH356" i="16"/>
  <c r="AG356" i="16"/>
  <c r="AF356" i="16"/>
  <c r="AL355" i="16"/>
  <c r="AK355" i="16"/>
  <c r="AJ355" i="16"/>
  <c r="AI355" i="16"/>
  <c r="AH355" i="16"/>
  <c r="AG355" i="16"/>
  <c r="AF355" i="16"/>
  <c r="AL354" i="16"/>
  <c r="AK354" i="16"/>
  <c r="AJ354" i="16"/>
  <c r="AI354" i="16"/>
  <c r="AH354" i="16"/>
  <c r="AG354" i="16"/>
  <c r="AF354" i="16"/>
  <c r="AL353" i="16"/>
  <c r="AK353" i="16"/>
  <c r="AJ353" i="16"/>
  <c r="AI353" i="16"/>
  <c r="AH353" i="16"/>
  <c r="AG353" i="16"/>
  <c r="AF353" i="16"/>
  <c r="AL352" i="16"/>
  <c r="AK352" i="16"/>
  <c r="AJ352" i="16"/>
  <c r="AI352" i="16"/>
  <c r="AH352" i="16"/>
  <c r="AG352" i="16"/>
  <c r="AF352" i="16"/>
  <c r="AL351" i="16"/>
  <c r="AK351" i="16"/>
  <c r="AJ351" i="16"/>
  <c r="AI351" i="16"/>
  <c r="AH351" i="16"/>
  <c r="AG351" i="16"/>
  <c r="AF351" i="16"/>
  <c r="AL350" i="16"/>
  <c r="AK350" i="16"/>
  <c r="AJ350" i="16"/>
  <c r="AI350" i="16"/>
  <c r="AH350" i="16"/>
  <c r="AG350" i="16"/>
  <c r="AF350" i="16"/>
  <c r="AL349" i="16"/>
  <c r="AK349" i="16"/>
  <c r="AJ349" i="16"/>
  <c r="AI349" i="16"/>
  <c r="AH349" i="16"/>
  <c r="AG349" i="16"/>
  <c r="AF349" i="16"/>
  <c r="AL348" i="16"/>
  <c r="AK348" i="16"/>
  <c r="AJ348" i="16"/>
  <c r="AI348" i="16"/>
  <c r="AH348" i="16"/>
  <c r="AG348" i="16"/>
  <c r="AF348" i="16"/>
  <c r="AL347" i="16"/>
  <c r="AK347" i="16"/>
  <c r="AJ347" i="16"/>
  <c r="AI347" i="16"/>
  <c r="AH347" i="16"/>
  <c r="AG347" i="16"/>
  <c r="AF347" i="16"/>
  <c r="AL346" i="16"/>
  <c r="AK346" i="16"/>
  <c r="AJ346" i="16"/>
  <c r="AI346" i="16"/>
  <c r="AH346" i="16"/>
  <c r="AG346" i="16"/>
  <c r="AF346" i="16"/>
  <c r="AL345" i="16"/>
  <c r="AK345" i="16"/>
  <c r="AJ345" i="16"/>
  <c r="AI345" i="16"/>
  <c r="AH345" i="16"/>
  <c r="AG345" i="16"/>
  <c r="AF345" i="16"/>
  <c r="AL344" i="16"/>
  <c r="AK344" i="16"/>
  <c r="AJ344" i="16"/>
  <c r="AI344" i="16"/>
  <c r="AH344" i="16"/>
  <c r="AG344" i="16"/>
  <c r="AF344" i="16"/>
  <c r="AL343" i="16"/>
  <c r="AK343" i="16"/>
  <c r="AJ343" i="16"/>
  <c r="AI343" i="16"/>
  <c r="AH343" i="16"/>
  <c r="AG343" i="16"/>
  <c r="AF343" i="16"/>
  <c r="AL342" i="16"/>
  <c r="AK342" i="16"/>
  <c r="AJ342" i="16"/>
  <c r="AI342" i="16"/>
  <c r="AH342" i="16"/>
  <c r="AG342" i="16"/>
  <c r="AF342" i="16"/>
  <c r="AL341" i="16"/>
  <c r="AK341" i="16"/>
  <c r="AJ341" i="16"/>
  <c r="AI341" i="16"/>
  <c r="AH341" i="16"/>
  <c r="AG341" i="16"/>
  <c r="AF341" i="16"/>
  <c r="AL340" i="16"/>
  <c r="AK340" i="16"/>
  <c r="AJ340" i="16"/>
  <c r="AI340" i="16"/>
  <c r="AH340" i="16"/>
  <c r="AG340" i="16"/>
  <c r="AF340" i="16"/>
  <c r="AL339" i="16"/>
  <c r="AK339" i="16"/>
  <c r="AJ339" i="16"/>
  <c r="AI339" i="16"/>
  <c r="AH339" i="16"/>
  <c r="AG339" i="16"/>
  <c r="AF339" i="16"/>
  <c r="AL338" i="16"/>
  <c r="AK338" i="16"/>
  <c r="AJ338" i="16"/>
  <c r="AI338" i="16"/>
  <c r="AH338" i="16"/>
  <c r="AG338" i="16"/>
  <c r="AF338" i="16"/>
  <c r="AL337" i="16"/>
  <c r="AK337" i="16"/>
  <c r="AJ337" i="16"/>
  <c r="AI337" i="16"/>
  <c r="AH337" i="16"/>
  <c r="AG337" i="16"/>
  <c r="AF337" i="16"/>
  <c r="AL336" i="16"/>
  <c r="AK336" i="16"/>
  <c r="AJ336" i="16"/>
  <c r="AI336" i="16"/>
  <c r="AH336" i="16"/>
  <c r="AG336" i="16"/>
  <c r="AF336" i="16"/>
  <c r="AL335" i="16"/>
  <c r="AK335" i="16"/>
  <c r="AJ335" i="16"/>
  <c r="AI335" i="16"/>
  <c r="AH335" i="16"/>
  <c r="AG335" i="16"/>
  <c r="AF335" i="16"/>
  <c r="AL334" i="16"/>
  <c r="AK334" i="16"/>
  <c r="AJ334" i="16"/>
  <c r="AI334" i="16"/>
  <c r="AH334" i="16"/>
  <c r="AG334" i="16"/>
  <c r="AF334" i="16"/>
  <c r="AL333" i="16"/>
  <c r="AK333" i="16"/>
  <c r="AJ333" i="16"/>
  <c r="AI333" i="16"/>
  <c r="AH333" i="16"/>
  <c r="AG333" i="16"/>
  <c r="AF333" i="16"/>
  <c r="AL332" i="16"/>
  <c r="AK332" i="16"/>
  <c r="AJ332" i="16"/>
  <c r="AI332" i="16"/>
  <c r="AH332" i="16"/>
  <c r="AG332" i="16"/>
  <c r="AF332" i="16"/>
  <c r="AL331" i="16"/>
  <c r="AK331" i="16"/>
  <c r="AJ331" i="16"/>
  <c r="AI331" i="16"/>
  <c r="AH331" i="16"/>
  <c r="AG331" i="16"/>
  <c r="AF331" i="16"/>
  <c r="AL330" i="16"/>
  <c r="AK330" i="16"/>
  <c r="AJ330" i="16"/>
  <c r="AI330" i="16"/>
  <c r="AH330" i="16"/>
  <c r="AG330" i="16"/>
  <c r="AF330" i="16"/>
  <c r="AL329" i="16"/>
  <c r="AK329" i="16"/>
  <c r="AJ329" i="16"/>
  <c r="AI329" i="16"/>
  <c r="AH329" i="16"/>
  <c r="AG329" i="16"/>
  <c r="AF329" i="16"/>
  <c r="AL328" i="16"/>
  <c r="AK328" i="16"/>
  <c r="AJ328" i="16"/>
  <c r="AI328" i="16"/>
  <c r="AH328" i="16"/>
  <c r="AG328" i="16"/>
  <c r="AF328" i="16"/>
  <c r="AL327" i="16"/>
  <c r="AK327" i="16"/>
  <c r="AJ327" i="16"/>
  <c r="AI327" i="16"/>
  <c r="AH327" i="16"/>
  <c r="AG327" i="16"/>
  <c r="AF327" i="16"/>
  <c r="AL326" i="16"/>
  <c r="AK326" i="16"/>
  <c r="AJ326" i="16"/>
  <c r="AI326" i="16"/>
  <c r="AH326" i="16"/>
  <c r="AG326" i="16"/>
  <c r="AF326" i="16"/>
  <c r="AL325" i="16"/>
  <c r="AK325" i="16"/>
  <c r="AJ325" i="16"/>
  <c r="AI325" i="16"/>
  <c r="AH325" i="16"/>
  <c r="AG325" i="16"/>
  <c r="AF325" i="16"/>
  <c r="AL324" i="16"/>
  <c r="AK324" i="16"/>
  <c r="AJ324" i="16"/>
  <c r="AI324" i="16"/>
  <c r="AH324" i="16"/>
  <c r="AG324" i="16"/>
  <c r="AF324" i="16"/>
  <c r="AL323" i="16"/>
  <c r="AK323" i="16"/>
  <c r="AJ323" i="16"/>
  <c r="AI323" i="16"/>
  <c r="AH323" i="16"/>
  <c r="AG323" i="16"/>
  <c r="AF323" i="16"/>
  <c r="AL322" i="16"/>
  <c r="AK322" i="16"/>
  <c r="AJ322" i="16"/>
  <c r="AI322" i="16"/>
  <c r="AH322" i="16"/>
  <c r="AG322" i="16"/>
  <c r="AF322" i="16"/>
  <c r="AL321" i="16"/>
  <c r="AK321" i="16"/>
  <c r="AJ321" i="16"/>
  <c r="AI321" i="16"/>
  <c r="AH321" i="16"/>
  <c r="AG321" i="16"/>
  <c r="AF321" i="16"/>
  <c r="AL320" i="16"/>
  <c r="AK320" i="16"/>
  <c r="AJ320" i="16"/>
  <c r="AI320" i="16"/>
  <c r="AH320" i="16"/>
  <c r="AG320" i="16"/>
  <c r="AF320" i="16"/>
  <c r="AL319" i="16"/>
  <c r="AK319" i="16"/>
  <c r="AJ319" i="16"/>
  <c r="AI319" i="16"/>
  <c r="AH319" i="16"/>
  <c r="AG319" i="16"/>
  <c r="AF319" i="16"/>
  <c r="AL318" i="16"/>
  <c r="AK318" i="16"/>
  <c r="AJ318" i="16"/>
  <c r="AI318" i="16"/>
  <c r="AH318" i="16"/>
  <c r="AG318" i="16"/>
  <c r="AF318" i="16"/>
  <c r="AL317" i="16"/>
  <c r="AK317" i="16"/>
  <c r="AJ317" i="16"/>
  <c r="AI317" i="16"/>
  <c r="AH317" i="16"/>
  <c r="AG317" i="16"/>
  <c r="AF317" i="16"/>
  <c r="AL316" i="16"/>
  <c r="AK316" i="16"/>
  <c r="AJ316" i="16"/>
  <c r="AI316" i="16"/>
  <c r="AH316" i="16"/>
  <c r="AG316" i="16"/>
  <c r="AF316" i="16"/>
  <c r="AL315" i="16"/>
  <c r="AK315" i="16"/>
  <c r="AJ315" i="16"/>
  <c r="AI315" i="16"/>
  <c r="AH315" i="16"/>
  <c r="AG315" i="16"/>
  <c r="AF315" i="16"/>
  <c r="AL314" i="16"/>
  <c r="AK314" i="16"/>
  <c r="AJ314" i="16"/>
  <c r="AI314" i="16"/>
  <c r="AH314" i="16"/>
  <c r="AG314" i="16"/>
  <c r="AF314" i="16"/>
  <c r="AL313" i="16"/>
  <c r="AK313" i="16"/>
  <c r="AJ313" i="16"/>
  <c r="AI313" i="16"/>
  <c r="AH313" i="16"/>
  <c r="AG313" i="16"/>
  <c r="AF313" i="16"/>
  <c r="AL312" i="16"/>
  <c r="AK312" i="16"/>
  <c r="AJ312" i="16"/>
  <c r="AI312" i="16"/>
  <c r="AH312" i="16"/>
  <c r="AG312" i="16"/>
  <c r="AF312" i="16"/>
  <c r="AL311" i="16"/>
  <c r="AK311" i="16"/>
  <c r="AJ311" i="16"/>
  <c r="AI311" i="16"/>
  <c r="AH311" i="16"/>
  <c r="AG311" i="16"/>
  <c r="AF311" i="16"/>
  <c r="AL310" i="16"/>
  <c r="AK310" i="16"/>
  <c r="AJ310" i="16"/>
  <c r="AI310" i="16"/>
  <c r="AH310" i="16"/>
  <c r="AG310" i="16"/>
  <c r="AF310" i="16"/>
  <c r="AL309" i="16"/>
  <c r="AK309" i="16"/>
  <c r="AJ309" i="16"/>
  <c r="AI309" i="16"/>
  <c r="AH309" i="16"/>
  <c r="AG309" i="16"/>
  <c r="AF309" i="16"/>
  <c r="AL308" i="16"/>
  <c r="AK308" i="16"/>
  <c r="AJ308" i="16"/>
  <c r="AI308" i="16"/>
  <c r="AH308" i="16"/>
  <c r="AG308" i="16"/>
  <c r="AF308" i="16"/>
  <c r="AL307" i="16"/>
  <c r="AK307" i="16"/>
  <c r="AJ307" i="16"/>
  <c r="AI307" i="16"/>
  <c r="AH307" i="16"/>
  <c r="AG307" i="16"/>
  <c r="AF307" i="16"/>
  <c r="AL306" i="16"/>
  <c r="AK306" i="16"/>
  <c r="AJ306" i="16"/>
  <c r="AI306" i="16"/>
  <c r="AH306" i="16"/>
  <c r="AG306" i="16"/>
  <c r="AF306" i="16"/>
  <c r="AL305" i="16"/>
  <c r="AK305" i="16"/>
  <c r="AJ305" i="16"/>
  <c r="AI305" i="16"/>
  <c r="AH305" i="16"/>
  <c r="AG305" i="16"/>
  <c r="AF305" i="16"/>
  <c r="AL304" i="16"/>
  <c r="AK304" i="16"/>
  <c r="AJ304" i="16"/>
  <c r="AI304" i="16"/>
  <c r="AH304" i="16"/>
  <c r="AG304" i="16"/>
  <c r="AF304" i="16"/>
  <c r="AL303" i="16"/>
  <c r="AK303" i="16"/>
  <c r="AJ303" i="16"/>
  <c r="AI303" i="16"/>
  <c r="AH303" i="16"/>
  <c r="AG303" i="16"/>
  <c r="AF303" i="16"/>
  <c r="AL302" i="16"/>
  <c r="AK302" i="16"/>
  <c r="AJ302" i="16"/>
  <c r="AI302" i="16"/>
  <c r="AH302" i="16"/>
  <c r="AG302" i="16"/>
  <c r="AF302" i="16"/>
  <c r="AL301" i="16"/>
  <c r="AK301" i="16"/>
  <c r="AJ301" i="16"/>
  <c r="AI301" i="16"/>
  <c r="AH301" i="16"/>
  <c r="AG301" i="16"/>
  <c r="AF301" i="16"/>
  <c r="AL300" i="16"/>
  <c r="AK300" i="16"/>
  <c r="AJ300" i="16"/>
  <c r="AI300" i="16"/>
  <c r="AH300" i="16"/>
  <c r="AG300" i="16"/>
  <c r="AF300" i="16"/>
  <c r="AL299" i="16"/>
  <c r="AK299" i="16"/>
  <c r="AJ299" i="16"/>
  <c r="AI299" i="16"/>
  <c r="AH299" i="16"/>
  <c r="AG299" i="16"/>
  <c r="AF299" i="16"/>
  <c r="AL298" i="16"/>
  <c r="AK298" i="16"/>
  <c r="AJ298" i="16"/>
  <c r="AI298" i="16"/>
  <c r="AH298" i="16"/>
  <c r="AG298" i="16"/>
  <c r="AF298" i="16"/>
  <c r="AL297" i="16"/>
  <c r="AK297" i="16"/>
  <c r="AJ297" i="16"/>
  <c r="AI297" i="16"/>
  <c r="AH297" i="16"/>
  <c r="AG297" i="16"/>
  <c r="AF297" i="16"/>
  <c r="AL296" i="16"/>
  <c r="AK296" i="16"/>
  <c r="AJ296" i="16"/>
  <c r="AI296" i="16"/>
  <c r="AH296" i="16"/>
  <c r="AG296" i="16"/>
  <c r="AF296" i="16"/>
  <c r="AL295" i="16"/>
  <c r="AK295" i="16"/>
  <c r="AJ295" i="16"/>
  <c r="AI295" i="16"/>
  <c r="AH295" i="16"/>
  <c r="AG295" i="16"/>
  <c r="AF295" i="16"/>
  <c r="AL294" i="16"/>
  <c r="AK294" i="16"/>
  <c r="AJ294" i="16"/>
  <c r="AI294" i="16"/>
  <c r="AH294" i="16"/>
  <c r="AG294" i="16"/>
  <c r="AF294" i="16"/>
  <c r="AL293" i="16"/>
  <c r="AK293" i="16"/>
  <c r="AJ293" i="16"/>
  <c r="AI293" i="16"/>
  <c r="AH293" i="16"/>
  <c r="AG293" i="16"/>
  <c r="AF293" i="16"/>
  <c r="AL292" i="16"/>
  <c r="AK292" i="16"/>
  <c r="AJ292" i="16"/>
  <c r="AI292" i="16"/>
  <c r="AH292" i="16"/>
  <c r="AG292" i="16"/>
  <c r="AF292" i="16"/>
  <c r="AL291" i="16"/>
  <c r="AK291" i="16"/>
  <c r="AJ291" i="16"/>
  <c r="AI291" i="16"/>
  <c r="AH291" i="16"/>
  <c r="AG291" i="16"/>
  <c r="AF291" i="16"/>
  <c r="AL290" i="16"/>
  <c r="AK290" i="16"/>
  <c r="AJ290" i="16"/>
  <c r="AI290" i="16"/>
  <c r="AH290" i="16"/>
  <c r="AG290" i="16"/>
  <c r="AF290" i="16"/>
  <c r="AL289" i="16"/>
  <c r="AK289" i="16"/>
  <c r="AJ289" i="16"/>
  <c r="AI289" i="16"/>
  <c r="AH289" i="16"/>
  <c r="AG289" i="16"/>
  <c r="AF289" i="16"/>
  <c r="AL288" i="16"/>
  <c r="AK288" i="16"/>
  <c r="AJ288" i="16"/>
  <c r="AI288" i="16"/>
  <c r="AH288" i="16"/>
  <c r="AG288" i="16"/>
  <c r="AF288" i="16"/>
  <c r="AL287" i="16"/>
  <c r="AK287" i="16"/>
  <c r="AJ287" i="16"/>
  <c r="AI287" i="16"/>
  <c r="AH287" i="16"/>
  <c r="AG287" i="16"/>
  <c r="AF287" i="16"/>
  <c r="AL286" i="16"/>
  <c r="AK286" i="16"/>
  <c r="AJ286" i="16"/>
  <c r="AI286" i="16"/>
  <c r="AH286" i="16"/>
  <c r="AG286" i="16"/>
  <c r="AF286" i="16"/>
  <c r="AL285" i="16"/>
  <c r="AK285" i="16"/>
  <c r="AJ285" i="16"/>
  <c r="AI285" i="16"/>
  <c r="AH285" i="16"/>
  <c r="AG285" i="16"/>
  <c r="AF285" i="16"/>
  <c r="AL284" i="16"/>
  <c r="AK284" i="16"/>
  <c r="AJ284" i="16"/>
  <c r="AI284" i="16"/>
  <c r="AH284" i="16"/>
  <c r="AG284" i="16"/>
  <c r="AF284" i="16"/>
  <c r="AL283" i="16"/>
  <c r="AK283" i="16"/>
  <c r="AJ283" i="16"/>
  <c r="AI283" i="16"/>
  <c r="AH283" i="16"/>
  <c r="AG283" i="16"/>
  <c r="AF283" i="16"/>
  <c r="AL282" i="16"/>
  <c r="AK282" i="16"/>
  <c r="AJ282" i="16"/>
  <c r="AI282" i="16"/>
  <c r="AH282" i="16"/>
  <c r="AG282" i="16"/>
  <c r="AF282" i="16"/>
  <c r="AL281" i="16"/>
  <c r="AK281" i="16"/>
  <c r="AJ281" i="16"/>
  <c r="AI281" i="16"/>
  <c r="AH281" i="16"/>
  <c r="AG281" i="16"/>
  <c r="AF281" i="16"/>
  <c r="AL280" i="16"/>
  <c r="AK280" i="16"/>
  <c r="AJ280" i="16"/>
  <c r="AI280" i="16"/>
  <c r="AH280" i="16"/>
  <c r="AG280" i="16"/>
  <c r="AF280" i="16"/>
  <c r="AL279" i="16"/>
  <c r="AK279" i="16"/>
  <c r="AJ279" i="16"/>
  <c r="AI279" i="16"/>
  <c r="AH279" i="16"/>
  <c r="AG279" i="16"/>
  <c r="AF279" i="16"/>
  <c r="AL278" i="16"/>
  <c r="AK278" i="16"/>
  <c r="AJ278" i="16"/>
  <c r="AI278" i="16"/>
  <c r="AH278" i="16"/>
  <c r="AG278" i="16"/>
  <c r="AF278" i="16"/>
  <c r="AL277" i="16"/>
  <c r="AK277" i="16"/>
  <c r="AJ277" i="16"/>
  <c r="AI277" i="16"/>
  <c r="AH277" i="16"/>
  <c r="AG277" i="16"/>
  <c r="AF277" i="16"/>
  <c r="AL276" i="16"/>
  <c r="AK276" i="16"/>
  <c r="AJ276" i="16"/>
  <c r="AI276" i="16"/>
  <c r="AH276" i="16"/>
  <c r="AG276" i="16"/>
  <c r="AF276" i="16"/>
  <c r="AL275" i="16"/>
  <c r="AK275" i="16"/>
  <c r="AJ275" i="16"/>
  <c r="AI275" i="16"/>
  <c r="AH275" i="16"/>
  <c r="AG275" i="16"/>
  <c r="AF275" i="16"/>
  <c r="AL274" i="16"/>
  <c r="AK274" i="16"/>
  <c r="AJ274" i="16"/>
  <c r="AI274" i="16"/>
  <c r="AH274" i="16"/>
  <c r="AG274" i="16"/>
  <c r="AF274" i="16"/>
  <c r="AL273" i="16"/>
  <c r="AK273" i="16"/>
  <c r="AJ273" i="16"/>
  <c r="AI273" i="16"/>
  <c r="AH273" i="16"/>
  <c r="AG273" i="16"/>
  <c r="AF273" i="16"/>
  <c r="AL272" i="16"/>
  <c r="AK272" i="16"/>
  <c r="AJ272" i="16"/>
  <c r="AI272" i="16"/>
  <c r="AH272" i="16"/>
  <c r="AG272" i="16"/>
  <c r="AF272" i="16"/>
  <c r="AL271" i="16"/>
  <c r="AK271" i="16"/>
  <c r="AJ271" i="16"/>
  <c r="AI271" i="16"/>
  <c r="AH271" i="16"/>
  <c r="AG271" i="16"/>
  <c r="AF271" i="16"/>
  <c r="AL270" i="16"/>
  <c r="AK270" i="16"/>
  <c r="AJ270" i="16"/>
  <c r="AI270" i="16"/>
  <c r="AH270" i="16"/>
  <c r="AG270" i="16"/>
  <c r="AF270" i="16"/>
  <c r="AL269" i="16"/>
  <c r="AK269" i="16"/>
  <c r="AJ269" i="16"/>
  <c r="AI269" i="16"/>
  <c r="AH269" i="16"/>
  <c r="AG269" i="16"/>
  <c r="AF269" i="16"/>
  <c r="AL268" i="16"/>
  <c r="AK268" i="16"/>
  <c r="AJ268" i="16"/>
  <c r="AI268" i="16"/>
  <c r="AH268" i="16"/>
  <c r="AG268" i="16"/>
  <c r="AF268" i="16"/>
  <c r="AL267" i="16"/>
  <c r="AK267" i="16"/>
  <c r="AJ267" i="16"/>
  <c r="AI267" i="16"/>
  <c r="AH267" i="16"/>
  <c r="AG267" i="16"/>
  <c r="AF267" i="16"/>
  <c r="AL266" i="16"/>
  <c r="AK266" i="16"/>
  <c r="AJ266" i="16"/>
  <c r="AI266" i="16"/>
  <c r="AH266" i="16"/>
  <c r="AG266" i="16"/>
  <c r="AF266" i="16"/>
  <c r="AL265" i="16"/>
  <c r="AK265" i="16"/>
  <c r="AJ265" i="16"/>
  <c r="AI265" i="16"/>
  <c r="AH265" i="16"/>
  <c r="AG265" i="16"/>
  <c r="AF265" i="16"/>
  <c r="AL264" i="16"/>
  <c r="AK264" i="16"/>
  <c r="AJ264" i="16"/>
  <c r="AI264" i="16"/>
  <c r="AH264" i="16"/>
  <c r="AG264" i="16"/>
  <c r="AF264" i="16"/>
  <c r="AL263" i="16"/>
  <c r="AK263" i="16"/>
  <c r="AJ263" i="16"/>
  <c r="AI263" i="16"/>
  <c r="AH263" i="16"/>
  <c r="AG263" i="16"/>
  <c r="AF263" i="16"/>
  <c r="AL262" i="16"/>
  <c r="AK262" i="16"/>
  <c r="AJ262" i="16"/>
  <c r="AI262" i="16"/>
  <c r="AH262" i="16"/>
  <c r="AG262" i="16"/>
  <c r="AF262" i="16"/>
  <c r="AL261" i="16"/>
  <c r="AK261" i="16"/>
  <c r="AJ261" i="16"/>
  <c r="AI261" i="16"/>
  <c r="AH261" i="16"/>
  <c r="AG261" i="16"/>
  <c r="AF261" i="16"/>
  <c r="AL260" i="16"/>
  <c r="AK260" i="16"/>
  <c r="AJ260" i="16"/>
  <c r="AI260" i="16"/>
  <c r="AH260" i="16"/>
  <c r="AG260" i="16"/>
  <c r="AF260" i="16"/>
  <c r="AL259" i="16"/>
  <c r="AK259" i="16"/>
  <c r="AJ259" i="16"/>
  <c r="AI259" i="16"/>
  <c r="AH259" i="16"/>
  <c r="AG259" i="16"/>
  <c r="AF259" i="16"/>
  <c r="AL258" i="16"/>
  <c r="AK258" i="16"/>
  <c r="AJ258" i="16"/>
  <c r="AI258" i="16"/>
  <c r="AH258" i="16"/>
  <c r="AG258" i="16"/>
  <c r="AF258" i="16"/>
  <c r="AL257" i="16"/>
  <c r="AK257" i="16"/>
  <c r="AJ257" i="16"/>
  <c r="AI257" i="16"/>
  <c r="AH257" i="16"/>
  <c r="AG257" i="16"/>
  <c r="AF257" i="16"/>
  <c r="AL256" i="16"/>
  <c r="AK256" i="16"/>
  <c r="AJ256" i="16"/>
  <c r="AI256" i="16"/>
  <c r="AH256" i="16"/>
  <c r="AG256" i="16"/>
  <c r="AF256" i="16"/>
  <c r="AL255" i="16"/>
  <c r="AK255" i="16"/>
  <c r="AJ255" i="16"/>
  <c r="AI255" i="16"/>
  <c r="AH255" i="16"/>
  <c r="AG255" i="16"/>
  <c r="AF255" i="16"/>
  <c r="AL254" i="16"/>
  <c r="AK254" i="16"/>
  <c r="AJ254" i="16"/>
  <c r="AI254" i="16"/>
  <c r="AH254" i="16"/>
  <c r="AG254" i="16"/>
  <c r="AF254" i="16"/>
  <c r="AL253" i="16"/>
  <c r="AK253" i="16"/>
  <c r="AJ253" i="16"/>
  <c r="AI253" i="16"/>
  <c r="AH253" i="16"/>
  <c r="AG253" i="16"/>
  <c r="AF253" i="16"/>
  <c r="AL252" i="16"/>
  <c r="AK252" i="16"/>
  <c r="AJ252" i="16"/>
  <c r="AI252" i="16"/>
  <c r="AH252" i="16"/>
  <c r="AG252" i="16"/>
  <c r="AF252" i="16"/>
  <c r="AL251" i="16"/>
  <c r="AK251" i="16"/>
  <c r="AJ251" i="16"/>
  <c r="AI251" i="16"/>
  <c r="AH251" i="16"/>
  <c r="AG251" i="16"/>
  <c r="AF251" i="16"/>
  <c r="AL250" i="16"/>
  <c r="AK250" i="16"/>
  <c r="AJ250" i="16"/>
  <c r="AI250" i="16"/>
  <c r="AH250" i="16"/>
  <c r="AG250" i="16"/>
  <c r="AF250" i="16"/>
  <c r="AL249" i="16"/>
  <c r="AK249" i="16"/>
  <c r="AJ249" i="16"/>
  <c r="AI249" i="16"/>
  <c r="AH249" i="16"/>
  <c r="AG249" i="16"/>
  <c r="AF249" i="16"/>
  <c r="AL248" i="16"/>
  <c r="AK248" i="16"/>
  <c r="AJ248" i="16"/>
  <c r="AI248" i="16"/>
  <c r="AH248" i="16"/>
  <c r="AG248" i="16"/>
  <c r="AF248" i="16"/>
  <c r="AL247" i="16"/>
  <c r="AK247" i="16"/>
  <c r="AJ247" i="16"/>
  <c r="AI247" i="16"/>
  <c r="AH247" i="16"/>
  <c r="AG247" i="16"/>
  <c r="AF247" i="16"/>
  <c r="AL246" i="16"/>
  <c r="AK246" i="16"/>
  <c r="AJ246" i="16"/>
  <c r="AI246" i="16"/>
  <c r="AH246" i="16"/>
  <c r="AG246" i="16"/>
  <c r="AF246" i="16"/>
  <c r="AL245" i="16"/>
  <c r="AK245" i="16"/>
  <c r="AJ245" i="16"/>
  <c r="AI245" i="16"/>
  <c r="AH245" i="16"/>
  <c r="AG245" i="16"/>
  <c r="AF245" i="16"/>
  <c r="AL244" i="16"/>
  <c r="AK244" i="16"/>
  <c r="AJ244" i="16"/>
  <c r="AI244" i="16"/>
  <c r="AH244" i="16"/>
  <c r="AG244" i="16"/>
  <c r="AF244" i="16"/>
  <c r="AL243" i="16"/>
  <c r="AK243" i="16"/>
  <c r="AJ243" i="16"/>
  <c r="AI243" i="16"/>
  <c r="AH243" i="16"/>
  <c r="AG243" i="16"/>
  <c r="AF243" i="16"/>
  <c r="AL242" i="16"/>
  <c r="AK242" i="16"/>
  <c r="AJ242" i="16"/>
  <c r="AI242" i="16"/>
  <c r="AH242" i="16"/>
  <c r="AG242" i="16"/>
  <c r="AF242" i="16"/>
  <c r="AL241" i="16"/>
  <c r="AK241" i="16"/>
  <c r="AJ241" i="16"/>
  <c r="AI241" i="16"/>
  <c r="AH241" i="16"/>
  <c r="AG241" i="16"/>
  <c r="AF241" i="16"/>
  <c r="AL240" i="16"/>
  <c r="AK240" i="16"/>
  <c r="AJ240" i="16"/>
  <c r="AI240" i="16"/>
  <c r="AH240" i="16"/>
  <c r="AG240" i="16"/>
  <c r="AF240" i="16"/>
  <c r="AL239" i="16"/>
  <c r="AK239" i="16"/>
  <c r="AJ239" i="16"/>
  <c r="AI239" i="16"/>
  <c r="AH239" i="16"/>
  <c r="AG239" i="16"/>
  <c r="AF239" i="16"/>
  <c r="AL238" i="16"/>
  <c r="AK238" i="16"/>
  <c r="AJ238" i="16"/>
  <c r="AI238" i="16"/>
  <c r="AH238" i="16"/>
  <c r="AG238" i="16"/>
  <c r="AF238" i="16"/>
  <c r="AL237" i="16"/>
  <c r="AK237" i="16"/>
  <c r="AJ237" i="16"/>
  <c r="AI237" i="16"/>
  <c r="AH237" i="16"/>
  <c r="AG237" i="16"/>
  <c r="AF237" i="16"/>
  <c r="AL236" i="16"/>
  <c r="AK236" i="16"/>
  <c r="AJ236" i="16"/>
  <c r="AI236" i="16"/>
  <c r="AH236" i="16"/>
  <c r="AG236" i="16"/>
  <c r="AF236" i="16"/>
  <c r="AL235" i="16"/>
  <c r="AK235" i="16"/>
  <c r="AJ235" i="16"/>
  <c r="AI235" i="16"/>
  <c r="AH235" i="16"/>
  <c r="AG235" i="16"/>
  <c r="AF235" i="16"/>
  <c r="AL234" i="16"/>
  <c r="AK234" i="16"/>
  <c r="AJ234" i="16"/>
  <c r="AI234" i="16"/>
  <c r="AH234" i="16"/>
  <c r="AG234" i="16"/>
  <c r="AF234" i="16"/>
  <c r="AL233" i="16"/>
  <c r="AK233" i="16"/>
  <c r="AJ233" i="16"/>
  <c r="AI233" i="16"/>
  <c r="AH233" i="16"/>
  <c r="AG233" i="16"/>
  <c r="AF233" i="16"/>
  <c r="AL232" i="16"/>
  <c r="AK232" i="16"/>
  <c r="AJ232" i="16"/>
  <c r="AI232" i="16"/>
  <c r="AH232" i="16"/>
  <c r="AG232" i="16"/>
  <c r="AF232" i="16"/>
  <c r="AL231" i="16"/>
  <c r="AK231" i="16"/>
  <c r="AJ231" i="16"/>
  <c r="AI231" i="16"/>
  <c r="AH231" i="16"/>
  <c r="AG231" i="16"/>
  <c r="AF231" i="16"/>
  <c r="AL230" i="16"/>
  <c r="AK230" i="16"/>
  <c r="AJ230" i="16"/>
  <c r="AI230" i="16"/>
  <c r="AH230" i="16"/>
  <c r="AG230" i="16"/>
  <c r="AF230" i="16"/>
  <c r="AL229" i="16"/>
  <c r="AK229" i="16"/>
  <c r="AJ229" i="16"/>
  <c r="AI229" i="16"/>
  <c r="AH229" i="16"/>
  <c r="AG229" i="16"/>
  <c r="AF229" i="16"/>
  <c r="AL228" i="16"/>
  <c r="AK228" i="16"/>
  <c r="AJ228" i="16"/>
  <c r="AI228" i="16"/>
  <c r="AH228" i="16"/>
  <c r="AG228" i="16"/>
  <c r="AF228" i="16"/>
  <c r="AL227" i="16"/>
  <c r="AK227" i="16"/>
  <c r="AJ227" i="16"/>
  <c r="AI227" i="16"/>
  <c r="AH227" i="16"/>
  <c r="AG227" i="16"/>
  <c r="AF227" i="16"/>
  <c r="AL226" i="16"/>
  <c r="AK226" i="16"/>
  <c r="AJ226" i="16"/>
  <c r="AI226" i="16"/>
  <c r="AH226" i="16"/>
  <c r="AG226" i="16"/>
  <c r="AF226" i="16"/>
  <c r="AL225" i="16"/>
  <c r="AK225" i="16"/>
  <c r="AJ225" i="16"/>
  <c r="AI225" i="16"/>
  <c r="AH225" i="16"/>
  <c r="AG225" i="16"/>
  <c r="AF225" i="16"/>
  <c r="AL224" i="16"/>
  <c r="AK224" i="16"/>
  <c r="AJ224" i="16"/>
  <c r="AI224" i="16"/>
  <c r="AH224" i="16"/>
  <c r="AG224" i="16"/>
  <c r="AF224" i="16"/>
  <c r="AL223" i="16"/>
  <c r="AK223" i="16"/>
  <c r="AJ223" i="16"/>
  <c r="AI223" i="16"/>
  <c r="AH223" i="16"/>
  <c r="AG223" i="16"/>
  <c r="AF223" i="16"/>
  <c r="AL222" i="16"/>
  <c r="AK222" i="16"/>
  <c r="AJ222" i="16"/>
  <c r="AI222" i="16"/>
  <c r="AH222" i="16"/>
  <c r="AG222" i="16"/>
  <c r="AF222" i="16"/>
  <c r="AL221" i="16"/>
  <c r="AK221" i="16"/>
  <c r="AJ221" i="16"/>
  <c r="AI221" i="16"/>
  <c r="AH221" i="16"/>
  <c r="AG221" i="16"/>
  <c r="AF221" i="16"/>
  <c r="AL220" i="16"/>
  <c r="AK220" i="16"/>
  <c r="AJ220" i="16"/>
  <c r="AI220" i="16"/>
  <c r="AH220" i="16"/>
  <c r="AG220" i="16"/>
  <c r="AF220" i="16"/>
  <c r="AL219" i="16"/>
  <c r="AK219" i="16"/>
  <c r="AJ219" i="16"/>
  <c r="AI219" i="16"/>
  <c r="AH219" i="16"/>
  <c r="AG219" i="16"/>
  <c r="AF219" i="16"/>
  <c r="AL218" i="16"/>
  <c r="AK218" i="16"/>
  <c r="AJ218" i="16"/>
  <c r="AI218" i="16"/>
  <c r="AH218" i="16"/>
  <c r="AG218" i="16"/>
  <c r="AF218" i="16"/>
  <c r="AL217" i="16"/>
  <c r="AK217" i="16"/>
  <c r="AJ217" i="16"/>
  <c r="AI217" i="16"/>
  <c r="AH217" i="16"/>
  <c r="AG217" i="16"/>
  <c r="AF217" i="16"/>
  <c r="AL216" i="16"/>
  <c r="AK216" i="16"/>
  <c r="AJ216" i="16"/>
  <c r="AI216" i="16"/>
  <c r="AH216" i="16"/>
  <c r="AG216" i="16"/>
  <c r="AF216" i="16"/>
  <c r="AL215" i="16"/>
  <c r="AK215" i="16"/>
  <c r="AJ215" i="16"/>
  <c r="AI215" i="16"/>
  <c r="AH215" i="16"/>
  <c r="AG215" i="16"/>
  <c r="AF215" i="16"/>
  <c r="AL214" i="16"/>
  <c r="AK214" i="16"/>
  <c r="AJ214" i="16"/>
  <c r="AI214" i="16"/>
  <c r="AH214" i="16"/>
  <c r="AG214" i="16"/>
  <c r="AF214" i="16"/>
  <c r="AL213" i="16"/>
  <c r="AK213" i="16"/>
  <c r="AJ213" i="16"/>
  <c r="AI213" i="16"/>
  <c r="AH213" i="16"/>
  <c r="AG213" i="16"/>
  <c r="AF213" i="16"/>
  <c r="AL212" i="16"/>
  <c r="AK212" i="16"/>
  <c r="AJ212" i="16"/>
  <c r="AI212" i="16"/>
  <c r="AH212" i="16"/>
  <c r="AG212" i="16"/>
  <c r="AF212" i="16"/>
  <c r="AL211" i="16"/>
  <c r="AK211" i="16"/>
  <c r="AJ211" i="16"/>
  <c r="AI211" i="16"/>
  <c r="AH211" i="16"/>
  <c r="AG211" i="16"/>
  <c r="AF211" i="16"/>
  <c r="AL210" i="16"/>
  <c r="AK210" i="16"/>
  <c r="AJ210" i="16"/>
  <c r="AI210" i="16"/>
  <c r="AH210" i="16"/>
  <c r="AG210" i="16"/>
  <c r="AF210" i="16"/>
  <c r="AL209" i="16"/>
  <c r="AK209" i="16"/>
  <c r="AJ209" i="16"/>
  <c r="AI209" i="16"/>
  <c r="AH209" i="16"/>
  <c r="AG209" i="16"/>
  <c r="AF209" i="16"/>
  <c r="AL208" i="16"/>
  <c r="AK208" i="16"/>
  <c r="AJ208" i="16"/>
  <c r="AI208" i="16"/>
  <c r="AH208" i="16"/>
  <c r="AG208" i="16"/>
  <c r="AF208" i="16"/>
  <c r="AL207" i="16"/>
  <c r="AK207" i="16"/>
  <c r="AJ207" i="16"/>
  <c r="AI207" i="16"/>
  <c r="AH207" i="16"/>
  <c r="AG207" i="16"/>
  <c r="AF207" i="16"/>
  <c r="AL206" i="16"/>
  <c r="AK206" i="16"/>
  <c r="AJ206" i="16"/>
  <c r="AI206" i="16"/>
  <c r="AH206" i="16"/>
  <c r="AG206" i="16"/>
  <c r="AF206" i="16"/>
  <c r="AL205" i="16"/>
  <c r="AK205" i="16"/>
  <c r="AJ205" i="16"/>
  <c r="AI205" i="16"/>
  <c r="AH205" i="16"/>
  <c r="AG205" i="16"/>
  <c r="AF205" i="16"/>
  <c r="AL204" i="16"/>
  <c r="AK204" i="16"/>
  <c r="AJ204" i="16"/>
  <c r="AI204" i="16"/>
  <c r="AH204" i="16"/>
  <c r="AG204" i="16"/>
  <c r="AF204" i="16"/>
  <c r="AL203" i="16"/>
  <c r="AK203" i="16"/>
  <c r="AJ203" i="16"/>
  <c r="AI203" i="16"/>
  <c r="AH203" i="16"/>
  <c r="AG203" i="16"/>
  <c r="AF203" i="16"/>
  <c r="AL202" i="16"/>
  <c r="AK202" i="16"/>
  <c r="AJ202" i="16"/>
  <c r="AI202" i="16"/>
  <c r="AH202" i="16"/>
  <c r="AG202" i="16"/>
  <c r="AF202" i="16"/>
  <c r="AL201" i="16"/>
  <c r="AK201" i="16"/>
  <c r="AJ201" i="16"/>
  <c r="AI201" i="16"/>
  <c r="AH201" i="16"/>
  <c r="AG201" i="16"/>
  <c r="AF201" i="16"/>
  <c r="AL200" i="16"/>
  <c r="AK200" i="16"/>
  <c r="AJ200" i="16"/>
  <c r="AI200" i="16"/>
  <c r="AH200" i="16"/>
  <c r="AG200" i="16"/>
  <c r="AF200" i="16"/>
  <c r="AL199" i="16"/>
  <c r="AK199" i="16"/>
  <c r="AJ199" i="16"/>
  <c r="AI199" i="16"/>
  <c r="AH199" i="16"/>
  <c r="AG199" i="16"/>
  <c r="AF199" i="16"/>
  <c r="AL198" i="16"/>
  <c r="AK198" i="16"/>
  <c r="AJ198" i="16"/>
  <c r="AI198" i="16"/>
  <c r="AH198" i="16"/>
  <c r="AG198" i="16"/>
  <c r="AF198" i="16"/>
  <c r="AL197" i="16"/>
  <c r="AK197" i="16"/>
  <c r="AJ197" i="16"/>
  <c r="AI197" i="16"/>
  <c r="AH197" i="16"/>
  <c r="AG197" i="16"/>
  <c r="AF197" i="16"/>
  <c r="AL196" i="16"/>
  <c r="AK196" i="16"/>
  <c r="AJ196" i="16"/>
  <c r="AI196" i="16"/>
  <c r="AH196" i="16"/>
  <c r="AG196" i="16"/>
  <c r="AF196" i="16"/>
  <c r="AL195" i="16"/>
  <c r="AK195" i="16"/>
  <c r="AJ195" i="16"/>
  <c r="AI195" i="16"/>
  <c r="AH195" i="16"/>
  <c r="AG195" i="16"/>
  <c r="AF195" i="16"/>
  <c r="AL194" i="16"/>
  <c r="AK194" i="16"/>
  <c r="AJ194" i="16"/>
  <c r="AI194" i="16"/>
  <c r="AH194" i="16"/>
  <c r="AG194" i="16"/>
  <c r="AF194" i="16"/>
  <c r="AL193" i="16"/>
  <c r="AK193" i="16"/>
  <c r="AJ193" i="16"/>
  <c r="AI193" i="16"/>
  <c r="AH193" i="16"/>
  <c r="AG193" i="16"/>
  <c r="AF193" i="16"/>
  <c r="AL192" i="16"/>
  <c r="AK192" i="16"/>
  <c r="AJ192" i="16"/>
  <c r="AI192" i="16"/>
  <c r="AH192" i="16"/>
  <c r="AG192" i="16"/>
  <c r="AF192" i="16"/>
  <c r="AL191" i="16"/>
  <c r="AK191" i="16"/>
  <c r="AJ191" i="16"/>
  <c r="AI191" i="16"/>
  <c r="AH191" i="16"/>
  <c r="AG191" i="16"/>
  <c r="AF191" i="16"/>
  <c r="AL190" i="16"/>
  <c r="AK190" i="16"/>
  <c r="AJ190" i="16"/>
  <c r="AI190" i="16"/>
  <c r="AH190" i="16"/>
  <c r="AG190" i="16"/>
  <c r="AF190" i="16"/>
  <c r="AL189" i="16"/>
  <c r="AK189" i="16"/>
  <c r="AJ189" i="16"/>
  <c r="AI189" i="16"/>
  <c r="AH189" i="16"/>
  <c r="AG189" i="16"/>
  <c r="AF189" i="16"/>
  <c r="AL188" i="16"/>
  <c r="AK188" i="16"/>
  <c r="AJ188" i="16"/>
  <c r="AI188" i="16"/>
  <c r="AH188" i="16"/>
  <c r="AG188" i="16"/>
  <c r="AF188" i="16"/>
  <c r="AL187" i="16"/>
  <c r="AK187" i="16"/>
  <c r="AJ187" i="16"/>
  <c r="AI187" i="16"/>
  <c r="AH187" i="16"/>
  <c r="AG187" i="16"/>
  <c r="AF187" i="16"/>
  <c r="AL186" i="16"/>
  <c r="AK186" i="16"/>
  <c r="AJ186" i="16"/>
  <c r="AI186" i="16"/>
  <c r="AH186" i="16"/>
  <c r="AG186" i="16"/>
  <c r="AF186" i="16"/>
  <c r="AL185" i="16"/>
  <c r="AK185" i="16"/>
  <c r="AJ185" i="16"/>
  <c r="AI185" i="16"/>
  <c r="AH185" i="16"/>
  <c r="AG185" i="16"/>
  <c r="AF185" i="16"/>
  <c r="AL184" i="16"/>
  <c r="AK184" i="16"/>
  <c r="AJ184" i="16"/>
  <c r="AI184" i="16"/>
  <c r="AH184" i="16"/>
  <c r="AG184" i="16"/>
  <c r="AF184" i="16"/>
  <c r="AL183" i="16"/>
  <c r="AK183" i="16"/>
  <c r="AJ183" i="16"/>
  <c r="AI183" i="16"/>
  <c r="AH183" i="16"/>
  <c r="AG183" i="16"/>
  <c r="AF183" i="16"/>
  <c r="AL182" i="16"/>
  <c r="AK182" i="16"/>
  <c r="AJ182" i="16"/>
  <c r="AI182" i="16"/>
  <c r="AH182" i="16"/>
  <c r="AG182" i="16"/>
  <c r="AF182" i="16"/>
  <c r="AL181" i="16"/>
  <c r="AK181" i="16"/>
  <c r="AJ181" i="16"/>
  <c r="AI181" i="16"/>
  <c r="AH181" i="16"/>
  <c r="AG181" i="16"/>
  <c r="AF181" i="16"/>
  <c r="AL180" i="16"/>
  <c r="AK180" i="16"/>
  <c r="AJ180" i="16"/>
  <c r="AI180" i="16"/>
  <c r="AH180" i="16"/>
  <c r="AG180" i="16"/>
  <c r="AF180" i="16"/>
  <c r="AL179" i="16"/>
  <c r="AK179" i="16"/>
  <c r="AJ179" i="16"/>
  <c r="AI179" i="16"/>
  <c r="AH179" i="16"/>
  <c r="AG179" i="16"/>
  <c r="AF179" i="16"/>
  <c r="AL178" i="16"/>
  <c r="AK178" i="16"/>
  <c r="AJ178" i="16"/>
  <c r="AI178" i="16"/>
  <c r="AH178" i="16"/>
  <c r="AG178" i="16"/>
  <c r="AF178" i="16"/>
  <c r="AL177" i="16"/>
  <c r="AK177" i="16"/>
  <c r="AJ177" i="16"/>
  <c r="AI177" i="16"/>
  <c r="AH177" i="16"/>
  <c r="AG177" i="16"/>
  <c r="AF177" i="16"/>
  <c r="AL176" i="16"/>
  <c r="AK176" i="16"/>
  <c r="AJ176" i="16"/>
  <c r="AI176" i="16"/>
  <c r="AH176" i="16"/>
  <c r="AG176" i="16"/>
  <c r="AF176" i="16"/>
  <c r="AL175" i="16"/>
  <c r="AK175" i="16"/>
  <c r="AJ175" i="16"/>
  <c r="AI175" i="16"/>
  <c r="AH175" i="16"/>
  <c r="AG175" i="16"/>
  <c r="AF175" i="16"/>
  <c r="AL174" i="16"/>
  <c r="AK174" i="16"/>
  <c r="AJ174" i="16"/>
  <c r="AI174" i="16"/>
  <c r="AH174" i="16"/>
  <c r="AG174" i="16"/>
  <c r="AF174" i="16"/>
  <c r="AL173" i="16"/>
  <c r="AK173" i="16"/>
  <c r="AJ173" i="16"/>
  <c r="AI173" i="16"/>
  <c r="AH173" i="16"/>
  <c r="AG173" i="16"/>
  <c r="AF173" i="16"/>
  <c r="AL172" i="16"/>
  <c r="AK172" i="16"/>
  <c r="AJ172" i="16"/>
  <c r="AI172" i="16"/>
  <c r="AH172" i="16"/>
  <c r="AG172" i="16"/>
  <c r="AF172" i="16"/>
  <c r="AL171" i="16"/>
  <c r="AK171" i="16"/>
  <c r="AJ171" i="16"/>
  <c r="AI171" i="16"/>
  <c r="AH171" i="16"/>
  <c r="AG171" i="16"/>
  <c r="AF171" i="16"/>
  <c r="AL170" i="16"/>
  <c r="AK170" i="16"/>
  <c r="AJ170" i="16"/>
  <c r="AI170" i="16"/>
  <c r="AH170" i="16"/>
  <c r="AG170" i="16"/>
  <c r="AF170" i="16"/>
  <c r="AL169" i="16"/>
  <c r="AK169" i="16"/>
  <c r="AJ169" i="16"/>
  <c r="AI169" i="16"/>
  <c r="AH169" i="16"/>
  <c r="AG169" i="16"/>
  <c r="AF169" i="16"/>
  <c r="AL168" i="16"/>
  <c r="AK168" i="16"/>
  <c r="AJ168" i="16"/>
  <c r="AI168" i="16"/>
  <c r="AH168" i="16"/>
  <c r="AG168" i="16"/>
  <c r="AF168" i="16"/>
  <c r="AL167" i="16"/>
  <c r="AK167" i="16"/>
  <c r="AJ167" i="16"/>
  <c r="AI167" i="16"/>
  <c r="AH167" i="16"/>
  <c r="AG167" i="16"/>
  <c r="AF167" i="16"/>
  <c r="AL166" i="16"/>
  <c r="AK166" i="16"/>
  <c r="AJ166" i="16"/>
  <c r="AI166" i="16"/>
  <c r="AH166" i="16"/>
  <c r="AG166" i="16"/>
  <c r="AF166" i="16"/>
  <c r="AL165" i="16"/>
  <c r="AK165" i="16"/>
  <c r="AJ165" i="16"/>
  <c r="AI165" i="16"/>
  <c r="AH165" i="16"/>
  <c r="AG165" i="16"/>
  <c r="AF165" i="16"/>
  <c r="AL164" i="16"/>
  <c r="AK164" i="16"/>
  <c r="AJ164" i="16"/>
  <c r="AI164" i="16"/>
  <c r="AH164" i="16"/>
  <c r="AG164" i="16"/>
  <c r="AF164" i="16"/>
  <c r="AL163" i="16"/>
  <c r="AK163" i="16"/>
  <c r="AJ163" i="16"/>
  <c r="AI163" i="16"/>
  <c r="AH163" i="16"/>
  <c r="AG163" i="16"/>
  <c r="AF163" i="16"/>
  <c r="AL162" i="16"/>
  <c r="AK162" i="16"/>
  <c r="AJ162" i="16"/>
  <c r="AI162" i="16"/>
  <c r="AH162" i="16"/>
  <c r="AG162" i="16"/>
  <c r="AF162" i="16"/>
  <c r="AL161" i="16"/>
  <c r="AK161" i="16"/>
  <c r="AJ161" i="16"/>
  <c r="AI161" i="16"/>
  <c r="AH161" i="16"/>
  <c r="AG161" i="16"/>
  <c r="AF161" i="16"/>
  <c r="AL160" i="16"/>
  <c r="AK160" i="16"/>
  <c r="AJ160" i="16"/>
  <c r="AI160" i="16"/>
  <c r="AH160" i="16"/>
  <c r="AG160" i="16"/>
  <c r="AF160" i="16"/>
  <c r="AL159" i="16"/>
  <c r="AK159" i="16"/>
  <c r="AJ159" i="16"/>
  <c r="AI159" i="16"/>
  <c r="AH159" i="16"/>
  <c r="AG159" i="16"/>
  <c r="AF159" i="16"/>
  <c r="AL158" i="16"/>
  <c r="AK158" i="16"/>
  <c r="AJ158" i="16"/>
  <c r="AI158" i="16"/>
  <c r="AH158" i="16"/>
  <c r="AG158" i="16"/>
  <c r="AF158" i="16"/>
  <c r="AL157" i="16"/>
  <c r="AK157" i="16"/>
  <c r="AJ157" i="16"/>
  <c r="AI157" i="16"/>
  <c r="AH157" i="16"/>
  <c r="AG157" i="16"/>
  <c r="AF157" i="16"/>
  <c r="AL156" i="16"/>
  <c r="AK156" i="16"/>
  <c r="AJ156" i="16"/>
  <c r="AI156" i="16"/>
  <c r="AH156" i="16"/>
  <c r="AG156" i="16"/>
  <c r="AF156" i="16"/>
  <c r="AL155" i="16"/>
  <c r="AK155" i="16"/>
  <c r="AJ155" i="16"/>
  <c r="AI155" i="16"/>
  <c r="AH155" i="16"/>
  <c r="AG155" i="16"/>
  <c r="AF155" i="16"/>
  <c r="AL154" i="16"/>
  <c r="AK154" i="16"/>
  <c r="AJ154" i="16"/>
  <c r="AI154" i="16"/>
  <c r="AH154" i="16"/>
  <c r="AG154" i="16"/>
  <c r="AF154" i="16"/>
  <c r="AL153" i="16"/>
  <c r="AK153" i="16"/>
  <c r="AJ153" i="16"/>
  <c r="AI153" i="16"/>
  <c r="AH153" i="16"/>
  <c r="AG153" i="16"/>
  <c r="AF153" i="16"/>
  <c r="AL152" i="16"/>
  <c r="AK152" i="16"/>
  <c r="AJ152" i="16"/>
  <c r="AI152" i="16"/>
  <c r="AH152" i="16"/>
  <c r="AG152" i="16"/>
  <c r="AF152" i="16"/>
  <c r="AL151" i="16"/>
  <c r="AK151" i="16"/>
  <c r="AJ151" i="16"/>
  <c r="AI151" i="16"/>
  <c r="AH151" i="16"/>
  <c r="AG151" i="16"/>
  <c r="AF151" i="16"/>
  <c r="AL150" i="16"/>
  <c r="AK150" i="16"/>
  <c r="AJ150" i="16"/>
  <c r="AI150" i="16"/>
  <c r="AH150" i="16"/>
  <c r="AG150" i="16"/>
  <c r="AF150" i="16"/>
  <c r="AL149" i="16"/>
  <c r="AK149" i="16"/>
  <c r="AJ149" i="16"/>
  <c r="AI149" i="16"/>
  <c r="AH149" i="16"/>
  <c r="AG149" i="16"/>
  <c r="AF149" i="16"/>
  <c r="AL148" i="16"/>
  <c r="AK148" i="16"/>
  <c r="AJ148" i="16"/>
  <c r="AI148" i="16"/>
  <c r="AH148" i="16"/>
  <c r="AG148" i="16"/>
  <c r="AF148" i="16"/>
  <c r="AL147" i="16"/>
  <c r="AK147" i="16"/>
  <c r="AJ147" i="16"/>
  <c r="AI147" i="16"/>
  <c r="AH147" i="16"/>
  <c r="AG147" i="16"/>
  <c r="AF147" i="16"/>
  <c r="AL146" i="16"/>
  <c r="AK146" i="16"/>
  <c r="AJ146" i="16"/>
  <c r="AI146" i="16"/>
  <c r="AH146" i="16"/>
  <c r="AG146" i="16"/>
  <c r="AF146" i="16"/>
  <c r="AL145" i="16"/>
  <c r="AK145" i="16"/>
  <c r="AJ145" i="16"/>
  <c r="AI145" i="16"/>
  <c r="AH145" i="16"/>
  <c r="AG145" i="16"/>
  <c r="AF145" i="16"/>
  <c r="AL144" i="16"/>
  <c r="AK144" i="16"/>
  <c r="AJ144" i="16"/>
  <c r="AI144" i="16"/>
  <c r="AH144" i="16"/>
  <c r="AG144" i="16"/>
  <c r="AF144" i="16"/>
  <c r="AL143" i="16"/>
  <c r="AK143" i="16"/>
  <c r="AJ143" i="16"/>
  <c r="AI143" i="16"/>
  <c r="AH143" i="16"/>
  <c r="AG143" i="16"/>
  <c r="AF143" i="16"/>
  <c r="AL142" i="16"/>
  <c r="AK142" i="16"/>
  <c r="AJ142" i="16"/>
  <c r="AI142" i="16"/>
  <c r="AH142" i="16"/>
  <c r="AG142" i="16"/>
  <c r="AF142" i="16"/>
  <c r="AL141" i="16"/>
  <c r="AK141" i="16"/>
  <c r="AJ141" i="16"/>
  <c r="AI141" i="16"/>
  <c r="AH141" i="16"/>
  <c r="AG141" i="16"/>
  <c r="AF141" i="16"/>
  <c r="AL140" i="16"/>
  <c r="AK140" i="16"/>
  <c r="AJ140" i="16"/>
  <c r="AI140" i="16"/>
  <c r="AH140" i="16"/>
  <c r="AG140" i="16"/>
  <c r="AF140" i="16"/>
  <c r="AL139" i="16"/>
  <c r="AK139" i="16"/>
  <c r="AJ139" i="16"/>
  <c r="AI139" i="16"/>
  <c r="AH139" i="16"/>
  <c r="AG139" i="16"/>
  <c r="AF139" i="16"/>
  <c r="AL138" i="16"/>
  <c r="AK138" i="16"/>
  <c r="AJ138" i="16"/>
  <c r="AI138" i="16"/>
  <c r="AH138" i="16"/>
  <c r="AG138" i="16"/>
  <c r="AF138" i="16"/>
  <c r="AL137" i="16"/>
  <c r="AK137" i="16"/>
  <c r="AJ137" i="16"/>
  <c r="AI137" i="16"/>
  <c r="AH137" i="16"/>
  <c r="AG137" i="16"/>
  <c r="AF137" i="16"/>
  <c r="AL136" i="16"/>
  <c r="AK136" i="16"/>
  <c r="AJ136" i="16"/>
  <c r="AI136" i="16"/>
  <c r="AH136" i="16"/>
  <c r="AG136" i="16"/>
  <c r="AF136" i="16"/>
  <c r="AL135" i="16"/>
  <c r="AK135" i="16"/>
  <c r="AJ135" i="16"/>
  <c r="AI135" i="16"/>
  <c r="AH135" i="16"/>
  <c r="AG135" i="16"/>
  <c r="AF135" i="16"/>
  <c r="AL134" i="16"/>
  <c r="AK134" i="16"/>
  <c r="AJ134" i="16"/>
  <c r="AI134" i="16"/>
  <c r="AH134" i="16"/>
  <c r="AG134" i="16"/>
  <c r="AF134" i="16"/>
  <c r="AL133" i="16"/>
  <c r="AK133" i="16"/>
  <c r="AJ133" i="16"/>
  <c r="AI133" i="16"/>
  <c r="AH133" i="16"/>
  <c r="AG133" i="16"/>
  <c r="AF133" i="16"/>
  <c r="AL132" i="16"/>
  <c r="AK132" i="16"/>
  <c r="AJ132" i="16"/>
  <c r="AI132" i="16"/>
  <c r="AH132" i="16"/>
  <c r="AG132" i="16"/>
  <c r="AF132" i="16"/>
  <c r="AL131" i="16"/>
  <c r="AK131" i="16"/>
  <c r="AJ131" i="16"/>
  <c r="AI131" i="16"/>
  <c r="AH131" i="16"/>
  <c r="AG131" i="16"/>
  <c r="AF131" i="16"/>
  <c r="AL130" i="16"/>
  <c r="AK130" i="16"/>
  <c r="AJ130" i="16"/>
  <c r="AI130" i="16"/>
  <c r="AH130" i="16"/>
  <c r="AG130" i="16"/>
  <c r="AF130" i="16"/>
  <c r="AL129" i="16"/>
  <c r="AK129" i="16"/>
  <c r="AJ129" i="16"/>
  <c r="AI129" i="16"/>
  <c r="AH129" i="16"/>
  <c r="AG129" i="16"/>
  <c r="AF129" i="16"/>
  <c r="AL128" i="16"/>
  <c r="AK128" i="16"/>
  <c r="AJ128" i="16"/>
  <c r="AI128" i="16"/>
  <c r="AH128" i="16"/>
  <c r="AG128" i="16"/>
  <c r="AF128" i="16"/>
  <c r="AL127" i="16"/>
  <c r="AK127" i="16"/>
  <c r="AJ127" i="16"/>
  <c r="AI127" i="16"/>
  <c r="AH127" i="16"/>
  <c r="AG127" i="16"/>
  <c r="AF127" i="16"/>
  <c r="AL126" i="16"/>
  <c r="AK126" i="16"/>
  <c r="AJ126" i="16"/>
  <c r="AI126" i="16"/>
  <c r="AH126" i="16"/>
  <c r="AG126" i="16"/>
  <c r="AF126" i="16"/>
  <c r="AL125" i="16"/>
  <c r="AK125" i="16"/>
  <c r="AJ125" i="16"/>
  <c r="AI125" i="16"/>
  <c r="AH125" i="16"/>
  <c r="AG125" i="16"/>
  <c r="AF125" i="16"/>
  <c r="AL124" i="16"/>
  <c r="AK124" i="16"/>
  <c r="AJ124" i="16"/>
  <c r="AI124" i="16"/>
  <c r="AH124" i="16"/>
  <c r="AG124" i="16"/>
  <c r="AF124" i="16"/>
  <c r="AL123" i="16"/>
  <c r="AK123" i="16"/>
  <c r="AJ123" i="16"/>
  <c r="AI123" i="16"/>
  <c r="AH123" i="16"/>
  <c r="AG123" i="16"/>
  <c r="AF123" i="16"/>
  <c r="AL122" i="16"/>
  <c r="AK122" i="16"/>
  <c r="AJ122" i="16"/>
  <c r="AI122" i="16"/>
  <c r="AH122" i="16"/>
  <c r="AG122" i="16"/>
  <c r="AF122" i="16"/>
  <c r="AL121" i="16"/>
  <c r="AK121" i="16"/>
  <c r="AJ121" i="16"/>
  <c r="AI121" i="16"/>
  <c r="AH121" i="16"/>
  <c r="AG121" i="16"/>
  <c r="AF121" i="16"/>
  <c r="AL120" i="16"/>
  <c r="AK120" i="16"/>
  <c r="AJ120" i="16"/>
  <c r="AI120" i="16"/>
  <c r="AH120" i="16"/>
  <c r="AG120" i="16"/>
  <c r="AF120" i="16"/>
  <c r="AL119" i="16"/>
  <c r="AK119" i="16"/>
  <c r="AJ119" i="16"/>
  <c r="AI119" i="16"/>
  <c r="AH119" i="16"/>
  <c r="AG119" i="16"/>
  <c r="AF119" i="16"/>
  <c r="AL118" i="16"/>
  <c r="AK118" i="16"/>
  <c r="AJ118" i="16"/>
  <c r="AI118" i="16"/>
  <c r="AH118" i="16"/>
  <c r="AG118" i="16"/>
  <c r="AF118" i="16"/>
  <c r="AL117" i="16"/>
  <c r="AK117" i="16"/>
  <c r="AJ117" i="16"/>
  <c r="AI117" i="16"/>
  <c r="AH117" i="16"/>
  <c r="AG117" i="16"/>
  <c r="AF117" i="16"/>
  <c r="AL116" i="16"/>
  <c r="AK116" i="16"/>
  <c r="AJ116" i="16"/>
  <c r="AI116" i="16"/>
  <c r="AH116" i="16"/>
  <c r="AG116" i="16"/>
  <c r="AF116" i="16"/>
  <c r="AL115" i="16"/>
  <c r="AK115" i="16"/>
  <c r="AJ115" i="16"/>
  <c r="AI115" i="16"/>
  <c r="AH115" i="16"/>
  <c r="AG115" i="16"/>
  <c r="AF115" i="16"/>
  <c r="AL114" i="16"/>
  <c r="AK114" i="16"/>
  <c r="AJ114" i="16"/>
  <c r="AI114" i="16"/>
  <c r="AH114" i="16"/>
  <c r="AG114" i="16"/>
  <c r="AF114" i="16"/>
  <c r="AL113" i="16"/>
  <c r="AK113" i="16"/>
  <c r="AJ113" i="16"/>
  <c r="AI113" i="16"/>
  <c r="AH113" i="16"/>
  <c r="AG113" i="16"/>
  <c r="AF113" i="16"/>
  <c r="AL112" i="16"/>
  <c r="AK112" i="16"/>
  <c r="AJ112" i="16"/>
  <c r="AI112" i="16"/>
  <c r="AH112" i="16"/>
  <c r="AG112" i="16"/>
  <c r="AF112" i="16"/>
  <c r="AL111" i="16"/>
  <c r="AK111" i="16"/>
  <c r="AJ111" i="16"/>
  <c r="AI111" i="16"/>
  <c r="AH111" i="16"/>
  <c r="AG111" i="16"/>
  <c r="AF111" i="16"/>
  <c r="AL110" i="16"/>
  <c r="AK110" i="16"/>
  <c r="AJ110" i="16"/>
  <c r="AI110" i="16"/>
  <c r="AH110" i="16"/>
  <c r="AG110" i="16"/>
  <c r="AF110" i="16"/>
  <c r="AL109" i="16"/>
  <c r="AK109" i="16"/>
  <c r="AJ109" i="16"/>
  <c r="AI109" i="16"/>
  <c r="AH109" i="16"/>
  <c r="AG109" i="16"/>
  <c r="AF109" i="16"/>
  <c r="AL108" i="16"/>
  <c r="AK108" i="16"/>
  <c r="AJ108" i="16"/>
  <c r="AI108" i="16"/>
  <c r="AH108" i="16"/>
  <c r="AG108" i="16"/>
  <c r="AF108" i="16"/>
  <c r="AL107" i="16"/>
  <c r="AK107" i="16"/>
  <c r="AJ107" i="16"/>
  <c r="AI107" i="16"/>
  <c r="AH107" i="16"/>
  <c r="AG107" i="16"/>
  <c r="AF107" i="16"/>
  <c r="N107" i="16"/>
  <c r="AL106" i="16"/>
  <c r="AK106" i="16"/>
  <c r="AJ106" i="16"/>
  <c r="AI106" i="16"/>
  <c r="AH106" i="16"/>
  <c r="AG106" i="16"/>
  <c r="AF106" i="16"/>
  <c r="AL105" i="16"/>
  <c r="AK105" i="16"/>
  <c r="AJ105" i="16"/>
  <c r="AI105" i="16"/>
  <c r="AH105" i="16"/>
  <c r="AG105" i="16"/>
  <c r="AF105" i="16"/>
  <c r="AL104" i="16"/>
  <c r="AK104" i="16"/>
  <c r="AJ104" i="16"/>
  <c r="AI104" i="16"/>
  <c r="AH104" i="16"/>
  <c r="AG104" i="16"/>
  <c r="AF104" i="16"/>
  <c r="AL103" i="16"/>
  <c r="AK103" i="16"/>
  <c r="AJ103" i="16"/>
  <c r="AI103" i="16"/>
  <c r="AH103" i="16"/>
  <c r="AG103" i="16"/>
  <c r="AF103" i="16"/>
  <c r="AL102" i="16"/>
  <c r="AK102" i="16"/>
  <c r="AJ102" i="16"/>
  <c r="AI102" i="16"/>
  <c r="AH102" i="16"/>
  <c r="AG102" i="16"/>
  <c r="AF102" i="16"/>
  <c r="AL101" i="16"/>
  <c r="AK101" i="16"/>
  <c r="AJ101" i="16"/>
  <c r="AI101" i="16"/>
  <c r="AH101" i="16"/>
  <c r="AG101" i="16"/>
  <c r="AF101" i="16"/>
  <c r="AR100" i="16"/>
  <c r="AO100" i="16"/>
  <c r="AL100" i="16"/>
  <c r="AK100" i="16"/>
  <c r="AJ100" i="16"/>
  <c r="AI100" i="16"/>
  <c r="AH100" i="16"/>
  <c r="AG100" i="16"/>
  <c r="AF100" i="16"/>
  <c r="AR99" i="16"/>
  <c r="AO99" i="16"/>
  <c r="AL99" i="16"/>
  <c r="AK99" i="16"/>
  <c r="AJ99" i="16"/>
  <c r="AI99" i="16"/>
  <c r="AH99" i="16"/>
  <c r="AG99" i="16"/>
  <c r="AF99" i="16"/>
  <c r="AR98" i="16"/>
  <c r="AO98" i="16"/>
  <c r="AL98" i="16"/>
  <c r="AK98" i="16"/>
  <c r="AJ98" i="16"/>
  <c r="AI98" i="16"/>
  <c r="AH98" i="16"/>
  <c r="AG98" i="16"/>
  <c r="AF98" i="16"/>
  <c r="AR97" i="16"/>
  <c r="AO97" i="16"/>
  <c r="AL97" i="16"/>
  <c r="AK97" i="16"/>
  <c r="AJ97" i="16"/>
  <c r="AI97" i="16"/>
  <c r="AH97" i="16"/>
  <c r="AG97" i="16"/>
  <c r="AF97" i="16"/>
  <c r="AR96" i="16"/>
  <c r="AO96" i="16"/>
  <c r="AL96" i="16"/>
  <c r="AK96" i="16"/>
  <c r="AJ96" i="16"/>
  <c r="AI96" i="16"/>
  <c r="AH96" i="16"/>
  <c r="AG96" i="16"/>
  <c r="AF96" i="16"/>
  <c r="AR95" i="16"/>
  <c r="AO95" i="16"/>
  <c r="AL95" i="16"/>
  <c r="AK95" i="16"/>
  <c r="AJ95" i="16"/>
  <c r="AI95" i="16"/>
  <c r="AH95" i="16"/>
  <c r="AG95" i="16"/>
  <c r="AF95" i="16"/>
  <c r="AR94" i="16"/>
  <c r="AO94" i="16"/>
  <c r="AL94" i="16"/>
  <c r="AK94" i="16"/>
  <c r="AJ94" i="16"/>
  <c r="AI94" i="16"/>
  <c r="AH94" i="16"/>
  <c r="AG94" i="16"/>
  <c r="AF94" i="16"/>
  <c r="AR93" i="16"/>
  <c r="AO93" i="16"/>
  <c r="AL93" i="16"/>
  <c r="AK93" i="16"/>
  <c r="AJ93" i="16"/>
  <c r="AI93" i="16"/>
  <c r="AH93" i="16"/>
  <c r="AG93" i="16"/>
  <c r="AF93" i="16"/>
  <c r="AR92" i="16"/>
  <c r="AO92" i="16"/>
  <c r="AL92" i="16"/>
  <c r="AK92" i="16"/>
  <c r="AJ92" i="16"/>
  <c r="AI92" i="16"/>
  <c r="AH92" i="16"/>
  <c r="AG92" i="16"/>
  <c r="AF92" i="16"/>
  <c r="AR91" i="16"/>
  <c r="AO91" i="16"/>
  <c r="AL91" i="16"/>
  <c r="AK91" i="16"/>
  <c r="AJ91" i="16"/>
  <c r="AI91" i="16"/>
  <c r="AH91" i="16"/>
  <c r="AG91" i="16"/>
  <c r="AF91" i="16"/>
  <c r="AR90" i="16"/>
  <c r="AO90" i="16"/>
  <c r="AL90" i="16"/>
  <c r="AK90" i="16"/>
  <c r="AJ90" i="16"/>
  <c r="AI90" i="16"/>
  <c r="AH90" i="16"/>
  <c r="AG90" i="16"/>
  <c r="AF90" i="16"/>
  <c r="AR89" i="16"/>
  <c r="AO89" i="16"/>
  <c r="AL89" i="16"/>
  <c r="AK89" i="16"/>
  <c r="AJ89" i="16"/>
  <c r="AI89" i="16"/>
  <c r="AH89" i="16"/>
  <c r="AG89" i="16"/>
  <c r="AF89" i="16"/>
  <c r="AR88" i="16"/>
  <c r="AO88" i="16"/>
  <c r="AL88" i="16"/>
  <c r="AK88" i="16"/>
  <c r="AJ88" i="16"/>
  <c r="AI88" i="16"/>
  <c r="AH88" i="16"/>
  <c r="AG88" i="16"/>
  <c r="AF88" i="16"/>
  <c r="AR87" i="16"/>
  <c r="AO87" i="16"/>
  <c r="AL87" i="16"/>
  <c r="AK87" i="16"/>
  <c r="AJ87" i="16"/>
  <c r="AI87" i="16"/>
  <c r="AH87" i="16"/>
  <c r="AG87" i="16"/>
  <c r="AF87" i="16"/>
  <c r="AR86" i="16"/>
  <c r="AO86" i="16"/>
  <c r="AL86" i="16"/>
  <c r="AK86" i="16"/>
  <c r="AJ86" i="16"/>
  <c r="AI86" i="16"/>
  <c r="AH86" i="16"/>
  <c r="AG86" i="16"/>
  <c r="AF86" i="16"/>
  <c r="AR85" i="16"/>
  <c r="AO85" i="16"/>
  <c r="AL85" i="16"/>
  <c r="AK85" i="16"/>
  <c r="AJ85" i="16"/>
  <c r="AI85" i="16"/>
  <c r="AH85" i="16"/>
  <c r="AG85" i="16"/>
  <c r="AF85" i="16"/>
  <c r="AR84" i="16"/>
  <c r="AO84" i="16"/>
  <c r="AL84" i="16"/>
  <c r="AK84" i="16"/>
  <c r="AJ84" i="16"/>
  <c r="AI84" i="16"/>
  <c r="AH84" i="16"/>
  <c r="AG84" i="16"/>
  <c r="AF84" i="16"/>
  <c r="N84" i="16"/>
  <c r="E17" i="3"/>
  <c r="E27" i="3"/>
  <c r="B7" i="3"/>
  <c r="J16" i="3"/>
  <c r="E15" i="3"/>
  <c r="B13" i="3"/>
  <c r="K27" i="3"/>
  <c r="E26" i="3"/>
  <c r="E28" i="3"/>
  <c r="K26" i="3"/>
  <c r="H26" i="3"/>
  <c r="E16" i="3"/>
  <c r="H28" i="3"/>
  <c r="H27" i="3"/>
  <c r="K28" i="3"/>
  <c r="AF6" i="5"/>
  <c r="M7" i="4"/>
  <c r="B12" i="3"/>
  <c r="P11" i="9" l="1"/>
  <c r="F11" i="9"/>
  <c r="K11" i="9"/>
  <c r="AR83" i="16"/>
  <c r="AO83" i="16"/>
  <c r="AL83" i="16"/>
  <c r="AK83" i="16"/>
  <c r="AJ83" i="16"/>
  <c r="AI83" i="16"/>
  <c r="AH83" i="16"/>
  <c r="AG83" i="16"/>
  <c r="AF83" i="16"/>
  <c r="AR82" i="16"/>
  <c r="AO82" i="16"/>
  <c r="AL82" i="16"/>
  <c r="AK82" i="16"/>
  <c r="AJ82" i="16"/>
  <c r="AI82" i="16"/>
  <c r="AH82" i="16"/>
  <c r="AG82" i="16"/>
  <c r="AF82" i="16"/>
  <c r="AR81" i="16"/>
  <c r="AO81" i="16"/>
  <c r="AL81" i="16"/>
  <c r="AK81" i="16"/>
  <c r="AJ81" i="16"/>
  <c r="AI81" i="16"/>
  <c r="AH81" i="16"/>
  <c r="AG81" i="16"/>
  <c r="AF81" i="16"/>
  <c r="AR80" i="16"/>
  <c r="AO80" i="16"/>
  <c r="AL80" i="16"/>
  <c r="AK80" i="16"/>
  <c r="AJ80" i="16"/>
  <c r="AI80" i="16"/>
  <c r="AH80" i="16"/>
  <c r="AG80" i="16"/>
  <c r="AF80" i="16"/>
  <c r="AR79" i="16"/>
  <c r="AO79" i="16"/>
  <c r="AL79" i="16"/>
  <c r="AK79" i="16"/>
  <c r="AJ79" i="16"/>
  <c r="AI79" i="16"/>
  <c r="AH79" i="16"/>
  <c r="AG79" i="16"/>
  <c r="AF79" i="16"/>
  <c r="AR78" i="16"/>
  <c r="AO78" i="16"/>
  <c r="AL78" i="16"/>
  <c r="AK78" i="16"/>
  <c r="AJ78" i="16"/>
  <c r="AI78" i="16"/>
  <c r="AH78" i="16"/>
  <c r="AG78" i="16"/>
  <c r="AF78" i="16"/>
  <c r="AR77" i="16"/>
  <c r="AO77" i="16"/>
  <c r="AL77" i="16"/>
  <c r="AK77" i="16"/>
  <c r="AJ77" i="16"/>
  <c r="AI77" i="16"/>
  <c r="AH77" i="16"/>
  <c r="AG77" i="16"/>
  <c r="AF77" i="16"/>
  <c r="K49" i="14" l="1"/>
  <c r="L49" i="14"/>
  <c r="M49" i="14"/>
  <c r="B49" i="14" l="1"/>
  <c r="E49" i="14"/>
  <c r="G49" i="14"/>
  <c r="AR76" i="16"/>
  <c r="AO76" i="16"/>
  <c r="AL76" i="16"/>
  <c r="AK76" i="16"/>
  <c r="AJ76" i="16"/>
  <c r="AI76" i="16"/>
  <c r="AH76" i="16"/>
  <c r="AG76" i="16"/>
  <c r="AF76" i="16"/>
  <c r="AR75" i="16"/>
  <c r="AO75" i="16"/>
  <c r="AL75" i="16"/>
  <c r="AK75" i="16"/>
  <c r="AJ75" i="16"/>
  <c r="AI75" i="16"/>
  <c r="AH75" i="16"/>
  <c r="AG75" i="16"/>
  <c r="AF75" i="16"/>
  <c r="AR74" i="16"/>
  <c r="AO74" i="16"/>
  <c r="AL74" i="16"/>
  <c r="AK74" i="16"/>
  <c r="AJ74" i="16"/>
  <c r="AI74" i="16"/>
  <c r="AH74" i="16"/>
  <c r="AG74" i="16"/>
  <c r="AF74" i="16"/>
  <c r="L9" i="14"/>
  <c r="L19" i="14"/>
  <c r="O9" i="14" l="1"/>
  <c r="O16" i="14" s="1"/>
  <c r="O19" i="14"/>
  <c r="O23" i="14" s="1"/>
  <c r="AR73" i="16"/>
  <c r="AO73" i="16"/>
  <c r="AL73" i="16"/>
  <c r="AK73" i="16"/>
  <c r="AJ73" i="16"/>
  <c r="AI73" i="16"/>
  <c r="AH73" i="16"/>
  <c r="AG73" i="16"/>
  <c r="AF73" i="16"/>
  <c r="AR72" i="16"/>
  <c r="AO72" i="16"/>
  <c r="AL72" i="16"/>
  <c r="AK72" i="16"/>
  <c r="AJ72" i="16"/>
  <c r="AI72" i="16"/>
  <c r="AH72" i="16"/>
  <c r="AG72" i="16"/>
  <c r="AF72" i="16"/>
  <c r="AR71" i="16"/>
  <c r="AO71" i="16"/>
  <c r="AL71" i="16"/>
  <c r="AK71" i="16"/>
  <c r="AJ71" i="16"/>
  <c r="AI71" i="16"/>
  <c r="AH71" i="16"/>
  <c r="AG71" i="16"/>
  <c r="AF71" i="16"/>
  <c r="AR70" i="16"/>
  <c r="AO70" i="16"/>
  <c r="AL70" i="16"/>
  <c r="AK70" i="16"/>
  <c r="AJ70" i="16"/>
  <c r="AI70" i="16"/>
  <c r="AH70" i="16"/>
  <c r="AG70" i="16"/>
  <c r="AF70" i="16"/>
  <c r="AR69" i="16"/>
  <c r="AO69" i="16"/>
  <c r="AL69" i="16"/>
  <c r="AK69" i="16"/>
  <c r="AJ69" i="16"/>
  <c r="AI69" i="16"/>
  <c r="AH69" i="16"/>
  <c r="AG69" i="16"/>
  <c r="AF69" i="16"/>
  <c r="AR68" i="16"/>
  <c r="AO68" i="16"/>
  <c r="AL68" i="16"/>
  <c r="AK68" i="16"/>
  <c r="AJ68" i="16"/>
  <c r="AI68" i="16"/>
  <c r="AH68" i="16"/>
  <c r="AG68" i="16"/>
  <c r="AF68" i="16"/>
  <c r="AR67" i="16"/>
  <c r="AO67" i="16"/>
  <c r="AL67" i="16"/>
  <c r="AK67" i="16"/>
  <c r="AJ67" i="16"/>
  <c r="AI67" i="16"/>
  <c r="AH67" i="16"/>
  <c r="AG67" i="16"/>
  <c r="AF67" i="16"/>
  <c r="AR66" i="16"/>
  <c r="AO66" i="16"/>
  <c r="AL66" i="16"/>
  <c r="AK66" i="16"/>
  <c r="AJ66" i="16"/>
  <c r="AI66" i="16"/>
  <c r="AH66" i="16"/>
  <c r="AG66" i="16"/>
  <c r="AF66" i="16"/>
  <c r="AR65" i="16"/>
  <c r="AO65" i="16"/>
  <c r="AL65" i="16"/>
  <c r="AK65" i="16"/>
  <c r="AJ65" i="16"/>
  <c r="AI65" i="16"/>
  <c r="AH65" i="16"/>
  <c r="AG65" i="16"/>
  <c r="AF65" i="16"/>
  <c r="AR64" i="16"/>
  <c r="AO64" i="16"/>
  <c r="AL64" i="16"/>
  <c r="AK64" i="16"/>
  <c r="AJ64" i="16"/>
  <c r="AI64" i="16"/>
  <c r="AH64" i="16"/>
  <c r="AG64" i="16"/>
  <c r="AF64" i="16"/>
  <c r="AR63" i="16"/>
  <c r="AO63" i="16"/>
  <c r="AL63" i="16"/>
  <c r="AK63" i="16"/>
  <c r="AJ63" i="16"/>
  <c r="AI63" i="16"/>
  <c r="AH63" i="16"/>
  <c r="AG63" i="16"/>
  <c r="AF63" i="16"/>
  <c r="AR62" i="16"/>
  <c r="AO62" i="16"/>
  <c r="AL62" i="16"/>
  <c r="AK62" i="16"/>
  <c r="AJ62" i="16"/>
  <c r="AI62" i="16"/>
  <c r="AH62" i="16"/>
  <c r="AG62" i="16"/>
  <c r="AF62" i="16"/>
  <c r="AR61" i="16"/>
  <c r="AO61" i="16"/>
  <c r="AL61" i="16"/>
  <c r="AK61" i="16"/>
  <c r="AJ61" i="16"/>
  <c r="AI61" i="16"/>
  <c r="AH61" i="16"/>
  <c r="AG61" i="16"/>
  <c r="AF61" i="16"/>
  <c r="AR60" i="16"/>
  <c r="AO60" i="16"/>
  <c r="AL60" i="16"/>
  <c r="AK60" i="16"/>
  <c r="AJ60" i="16"/>
  <c r="AI60" i="16"/>
  <c r="AH60" i="16"/>
  <c r="AG60" i="16"/>
  <c r="AF60" i="16"/>
  <c r="AR59" i="16"/>
  <c r="AO59" i="16"/>
  <c r="AL59" i="16"/>
  <c r="AK59" i="16"/>
  <c r="AJ59" i="16"/>
  <c r="AI59" i="16"/>
  <c r="AH59" i="16"/>
  <c r="AG59" i="16"/>
  <c r="AF59" i="16"/>
  <c r="AR58" i="16"/>
  <c r="AO58" i="16"/>
  <c r="AL58" i="16"/>
  <c r="AK58" i="16"/>
  <c r="AJ58" i="16"/>
  <c r="AI58" i="16"/>
  <c r="AH58" i="16"/>
  <c r="AG58" i="16"/>
  <c r="AF58" i="16"/>
  <c r="AR57" i="16"/>
  <c r="AO57" i="16"/>
  <c r="AL57" i="16"/>
  <c r="AK57" i="16"/>
  <c r="AJ57" i="16"/>
  <c r="AI57" i="16"/>
  <c r="AH57" i="16"/>
  <c r="AG57" i="16"/>
  <c r="AF57" i="16"/>
  <c r="AR56" i="16"/>
  <c r="AO56" i="16"/>
  <c r="AL56" i="16"/>
  <c r="AK56" i="16"/>
  <c r="AJ56" i="16"/>
  <c r="AI56" i="16"/>
  <c r="AH56" i="16"/>
  <c r="AG56" i="16"/>
  <c r="AF56" i="16"/>
  <c r="K56" i="16"/>
  <c r="K26" i="14" l="1"/>
  <c r="L26" i="14"/>
  <c r="M26" i="14"/>
  <c r="N26" i="14"/>
  <c r="B26" i="14" l="1"/>
  <c r="E26" i="14"/>
  <c r="G26" i="14"/>
  <c r="AR55" i="16"/>
  <c r="AO55" i="16"/>
  <c r="AL55" i="16"/>
  <c r="AK55" i="16"/>
  <c r="AJ55" i="16"/>
  <c r="AI55" i="16"/>
  <c r="AH55" i="16"/>
  <c r="AG55" i="16"/>
  <c r="AF55" i="16"/>
  <c r="AR54" i="16"/>
  <c r="AO54" i="16"/>
  <c r="AL54" i="16"/>
  <c r="AK54" i="16"/>
  <c r="AJ54" i="16"/>
  <c r="AI54" i="16"/>
  <c r="AH54" i="16"/>
  <c r="AG54" i="16"/>
  <c r="AF54" i="16"/>
  <c r="AR53" i="16"/>
  <c r="AO53" i="16"/>
  <c r="AL53" i="16"/>
  <c r="AK53" i="16"/>
  <c r="AJ53" i="16"/>
  <c r="AI53" i="16"/>
  <c r="AH53" i="16"/>
  <c r="AG53" i="16"/>
  <c r="AF53" i="16"/>
  <c r="AR52" i="16"/>
  <c r="AO52" i="16"/>
  <c r="AL52" i="16"/>
  <c r="AK52" i="16"/>
  <c r="AJ52" i="16"/>
  <c r="AI52" i="16"/>
  <c r="AH52" i="16"/>
  <c r="AG52" i="16"/>
  <c r="AF52" i="16"/>
  <c r="AR51" i="16"/>
  <c r="AO51" i="16"/>
  <c r="AL51" i="16"/>
  <c r="AK51" i="16"/>
  <c r="AJ51" i="16"/>
  <c r="AI51" i="16"/>
  <c r="AH51" i="16"/>
  <c r="AG51" i="16"/>
  <c r="AF51" i="16"/>
  <c r="AR50" i="16"/>
  <c r="AO50" i="16"/>
  <c r="AL50" i="16"/>
  <c r="AK50" i="16"/>
  <c r="AJ50" i="16"/>
  <c r="AI50" i="16"/>
  <c r="AH50" i="16"/>
  <c r="AG50" i="16"/>
  <c r="AF50" i="16"/>
  <c r="AR49" i="16"/>
  <c r="AO49" i="16"/>
  <c r="AL49" i="16"/>
  <c r="AK49" i="16"/>
  <c r="AJ49" i="16"/>
  <c r="AI49" i="16"/>
  <c r="AH49" i="16"/>
  <c r="AG49" i="16"/>
  <c r="AF49" i="16"/>
  <c r="AR48" i="16"/>
  <c r="AO48" i="16"/>
  <c r="AL48" i="16"/>
  <c r="AK48" i="16"/>
  <c r="AJ48" i="16"/>
  <c r="AI48" i="16"/>
  <c r="AH48" i="16"/>
  <c r="AG48" i="16"/>
  <c r="AF48" i="16"/>
  <c r="AR47" i="16"/>
  <c r="AO47" i="16"/>
  <c r="AL47" i="16"/>
  <c r="AK47" i="16"/>
  <c r="AJ47" i="16"/>
  <c r="AI47" i="16"/>
  <c r="AH47" i="16"/>
  <c r="AG47" i="16"/>
  <c r="AF47" i="16"/>
  <c r="AR46" i="16"/>
  <c r="AO46" i="16"/>
  <c r="AL46" i="16"/>
  <c r="AK46" i="16"/>
  <c r="AJ46" i="16"/>
  <c r="AI46" i="16"/>
  <c r="AH46" i="16"/>
  <c r="AG46" i="16"/>
  <c r="AF46" i="16"/>
  <c r="AR45" i="16"/>
  <c r="AO45" i="16"/>
  <c r="AL45" i="16"/>
  <c r="AK45" i="16"/>
  <c r="AJ45" i="16"/>
  <c r="AI45" i="16"/>
  <c r="AH45" i="16"/>
  <c r="AG45" i="16"/>
  <c r="AF45" i="16"/>
  <c r="AR44" i="16"/>
  <c r="AO44" i="16"/>
  <c r="AL44" i="16"/>
  <c r="AK44" i="16"/>
  <c r="AJ44" i="16"/>
  <c r="AI44" i="16"/>
  <c r="AH44" i="16"/>
  <c r="AG44" i="16"/>
  <c r="AF44" i="16"/>
  <c r="AR43" i="16"/>
  <c r="AO43" i="16"/>
  <c r="AL43" i="16"/>
  <c r="AK43" i="16"/>
  <c r="AJ43" i="16"/>
  <c r="AI43" i="16"/>
  <c r="AH43" i="16"/>
  <c r="AG43" i="16"/>
  <c r="AF43" i="16"/>
  <c r="AR42" i="16"/>
  <c r="AO42" i="16"/>
  <c r="AL42" i="16"/>
  <c r="AK42" i="16"/>
  <c r="AJ42" i="16"/>
  <c r="AI42" i="16"/>
  <c r="AH42" i="16"/>
  <c r="AG42" i="16"/>
  <c r="AF42" i="16"/>
  <c r="AR41" i="16"/>
  <c r="AO41" i="16"/>
  <c r="AL41" i="16"/>
  <c r="AK41" i="16"/>
  <c r="AJ41" i="16"/>
  <c r="AI41" i="16"/>
  <c r="AH41" i="16"/>
  <c r="AG41" i="16"/>
  <c r="AF41" i="16"/>
  <c r="B27" i="11" l="1"/>
  <c r="D27" i="11"/>
  <c r="E27" i="11"/>
  <c r="F27" i="11"/>
  <c r="AR40" i="16"/>
  <c r="AO40" i="16"/>
  <c r="AL40" i="16"/>
  <c r="AK40" i="16"/>
  <c r="AJ40" i="16"/>
  <c r="AI40" i="16"/>
  <c r="AH40" i="16"/>
  <c r="AG40" i="16"/>
  <c r="AF40" i="16"/>
  <c r="AR39" i="16"/>
  <c r="AO39" i="16"/>
  <c r="AL39" i="16"/>
  <c r="AK39" i="16"/>
  <c r="AJ39" i="16"/>
  <c r="AI39" i="16"/>
  <c r="AH39" i="16"/>
  <c r="AG39" i="16"/>
  <c r="AF39" i="16"/>
  <c r="AR38" i="16"/>
  <c r="AO38" i="16"/>
  <c r="AL38" i="16"/>
  <c r="AK38" i="16"/>
  <c r="AJ38" i="16"/>
  <c r="AI38" i="16"/>
  <c r="AH38" i="16"/>
  <c r="AG38" i="16"/>
  <c r="AF38" i="16"/>
  <c r="AR37" i="16"/>
  <c r="AO37" i="16"/>
  <c r="AL37" i="16"/>
  <c r="AK37" i="16"/>
  <c r="AJ37" i="16"/>
  <c r="AI37" i="16"/>
  <c r="AH37" i="16"/>
  <c r="AG37" i="16"/>
  <c r="AF37" i="16"/>
  <c r="AR36" i="16"/>
  <c r="AO36" i="16"/>
  <c r="AL36" i="16"/>
  <c r="AK36" i="16"/>
  <c r="AJ36" i="16"/>
  <c r="AI36" i="16"/>
  <c r="AH36" i="16"/>
  <c r="AG36" i="16"/>
  <c r="AF36" i="16"/>
  <c r="AR35" i="16"/>
  <c r="AO35" i="16"/>
  <c r="AL35" i="16"/>
  <c r="AK35" i="16"/>
  <c r="AJ35" i="16"/>
  <c r="AI35" i="16"/>
  <c r="AH35" i="16"/>
  <c r="AG35" i="16"/>
  <c r="AF35" i="16"/>
  <c r="AR34" i="16"/>
  <c r="AO34" i="16"/>
  <c r="AL34" i="16"/>
  <c r="AK34" i="16"/>
  <c r="AJ34" i="16"/>
  <c r="AI34" i="16"/>
  <c r="AH34" i="16"/>
  <c r="AG34" i="16"/>
  <c r="AF34" i="16"/>
  <c r="AR33" i="16"/>
  <c r="AO33" i="16"/>
  <c r="AL33" i="16"/>
  <c r="AK33" i="16"/>
  <c r="AJ33" i="16"/>
  <c r="AI33" i="16"/>
  <c r="AH33" i="16"/>
  <c r="AG33" i="16"/>
  <c r="AF33" i="16"/>
  <c r="AR32" i="16"/>
  <c r="AO32" i="16"/>
  <c r="AL32" i="16"/>
  <c r="AK32" i="16"/>
  <c r="AJ32" i="16"/>
  <c r="AI32" i="16"/>
  <c r="AH32" i="16"/>
  <c r="AG32" i="16"/>
  <c r="AF32" i="16"/>
  <c r="AR31" i="16"/>
  <c r="AO31" i="16"/>
  <c r="AL31" i="16"/>
  <c r="AK31" i="16"/>
  <c r="AJ31" i="16"/>
  <c r="AI31" i="16"/>
  <c r="AH31" i="16"/>
  <c r="AG31" i="16"/>
  <c r="AF31" i="16"/>
  <c r="AR30" i="16"/>
  <c r="AO30" i="16"/>
  <c r="AL30" i="16"/>
  <c r="AK30" i="16"/>
  <c r="AJ30" i="16"/>
  <c r="AI30" i="16"/>
  <c r="AH30" i="16"/>
  <c r="AG30" i="16"/>
  <c r="AF30" i="16"/>
  <c r="AR29" i="16"/>
  <c r="AO29" i="16"/>
  <c r="AL29" i="16"/>
  <c r="AK29" i="16"/>
  <c r="AJ29" i="16"/>
  <c r="AI29" i="16"/>
  <c r="AH29" i="16"/>
  <c r="AG29" i="16"/>
  <c r="AF29" i="16"/>
  <c r="AR28" i="16"/>
  <c r="AO28" i="16"/>
  <c r="AL28" i="16"/>
  <c r="AK28" i="16"/>
  <c r="AJ28" i="16"/>
  <c r="AI28" i="16"/>
  <c r="AH28" i="16"/>
  <c r="AG28" i="16"/>
  <c r="AF28" i="16"/>
  <c r="AR27" i="16"/>
  <c r="AO27" i="16"/>
  <c r="AL27" i="16"/>
  <c r="AK27" i="16"/>
  <c r="AJ27" i="16"/>
  <c r="AI27" i="16"/>
  <c r="AH27" i="16"/>
  <c r="AG27" i="16"/>
  <c r="AF27" i="16"/>
  <c r="AR26" i="16"/>
  <c r="AO26" i="16"/>
  <c r="AL26" i="16"/>
  <c r="AK26" i="16"/>
  <c r="AJ26" i="16"/>
  <c r="AI26" i="16"/>
  <c r="AH26" i="16"/>
  <c r="AG26" i="16"/>
  <c r="AF26" i="16"/>
  <c r="AR25" i="16"/>
  <c r="AO25" i="16"/>
  <c r="AL25" i="16"/>
  <c r="AK25" i="16"/>
  <c r="AJ25" i="16"/>
  <c r="AI25" i="16"/>
  <c r="AH25" i="16"/>
  <c r="AG25" i="16"/>
  <c r="AF25" i="16"/>
  <c r="AR24" i="16"/>
  <c r="AO24" i="16"/>
  <c r="AL24" i="16"/>
  <c r="AK24" i="16"/>
  <c r="AJ24" i="16"/>
  <c r="AI24" i="16"/>
  <c r="AH24" i="16"/>
  <c r="AG24" i="16"/>
  <c r="AF24" i="16"/>
  <c r="B24" i="16"/>
  <c r="AR23" i="16"/>
  <c r="AO23" i="16"/>
  <c r="AL23" i="16"/>
  <c r="AK23" i="16"/>
  <c r="AJ23" i="16"/>
  <c r="AI23" i="16"/>
  <c r="AH23" i="16"/>
  <c r="AG23" i="16"/>
  <c r="AF23" i="16"/>
  <c r="B23" i="16"/>
  <c r="D23" i="16" s="1"/>
  <c r="AR22" i="16"/>
  <c r="AO22" i="16"/>
  <c r="AL22" i="16"/>
  <c r="AK22" i="16"/>
  <c r="AJ22" i="16"/>
  <c r="AI22" i="16"/>
  <c r="AH22" i="16"/>
  <c r="AG22" i="16"/>
  <c r="AF22" i="16"/>
  <c r="T22" i="16"/>
  <c r="S22" i="16"/>
  <c r="R22" i="16"/>
  <c r="Q22" i="16"/>
  <c r="L22" i="16"/>
  <c r="W11" i="4" l="1"/>
  <c r="M22" i="16"/>
  <c r="C23" i="16"/>
  <c r="G9" i="13"/>
  <c r="I9" i="13"/>
  <c r="H9" i="13"/>
  <c r="K22" i="16"/>
  <c r="J22" i="16" s="1"/>
  <c r="AR21" i="16"/>
  <c r="AO21" i="16"/>
  <c r="AL21" i="16"/>
  <c r="AK21" i="16"/>
  <c r="AJ21" i="16"/>
  <c r="AI21" i="16"/>
  <c r="AH21" i="16"/>
  <c r="AG21" i="16"/>
  <c r="AF21" i="16"/>
  <c r="AR20" i="16"/>
  <c r="AO20" i="16"/>
  <c r="AL20" i="16"/>
  <c r="AK20" i="16"/>
  <c r="AJ20" i="16"/>
  <c r="AI20" i="16"/>
  <c r="AH20" i="16"/>
  <c r="AG20" i="16"/>
  <c r="AF20" i="16"/>
  <c r="AR19" i="16"/>
  <c r="AO19" i="16"/>
  <c r="AL19" i="16"/>
  <c r="AK19" i="16"/>
  <c r="AJ19" i="16"/>
  <c r="AI19" i="16"/>
  <c r="AH19" i="16"/>
  <c r="AG19" i="16"/>
  <c r="AF19" i="16"/>
  <c r="I19" i="16"/>
  <c r="H19" i="16"/>
  <c r="G19" i="16"/>
  <c r="F19" i="16"/>
  <c r="AR18" i="16"/>
  <c r="AO18" i="16"/>
  <c r="AL18" i="16"/>
  <c r="AK18" i="16"/>
  <c r="AJ18" i="16"/>
  <c r="AI18" i="16"/>
  <c r="AH18" i="16"/>
  <c r="AG18" i="16"/>
  <c r="AF18" i="16"/>
  <c r="I18" i="16"/>
  <c r="X22" i="3" s="1"/>
  <c r="H18" i="16"/>
  <c r="T22" i="3" s="1"/>
  <c r="G18" i="16"/>
  <c r="R22" i="3" s="1"/>
  <c r="F18" i="16"/>
  <c r="N22" i="3" s="1"/>
  <c r="D18" i="16"/>
  <c r="AR17" i="16"/>
  <c r="AO17" i="16"/>
  <c r="AL17" i="16"/>
  <c r="AK17" i="16"/>
  <c r="AJ17" i="16"/>
  <c r="AI17" i="16"/>
  <c r="AH17" i="16"/>
  <c r="AG17" i="16"/>
  <c r="AF17" i="16"/>
  <c r="I17" i="16"/>
  <c r="X21" i="3" s="1"/>
  <c r="H17" i="16"/>
  <c r="T21" i="3" s="1"/>
  <c r="G17" i="16"/>
  <c r="R21" i="3" s="1"/>
  <c r="F17" i="16"/>
  <c r="N21" i="3" s="1"/>
  <c r="AR16" i="16"/>
  <c r="AO16" i="16"/>
  <c r="AL16" i="16"/>
  <c r="AK16" i="16"/>
  <c r="AJ16" i="16"/>
  <c r="AI16" i="16"/>
  <c r="AH16" i="16"/>
  <c r="AG16" i="16"/>
  <c r="AF16" i="16"/>
  <c r="I16" i="16"/>
  <c r="X20" i="3" s="1"/>
  <c r="H16" i="16"/>
  <c r="T20" i="3" s="1"/>
  <c r="G16" i="16"/>
  <c r="R20" i="3" s="1"/>
  <c r="F16" i="16"/>
  <c r="N20" i="3" s="1"/>
  <c r="B16" i="16"/>
  <c r="AR15" i="16"/>
  <c r="AO15" i="16"/>
  <c r="AL15" i="16"/>
  <c r="AK15" i="16"/>
  <c r="AJ15" i="16"/>
  <c r="AI15" i="16"/>
  <c r="AH15" i="16"/>
  <c r="AG15" i="16"/>
  <c r="AF15" i="16"/>
  <c r="I15" i="16"/>
  <c r="X19" i="3" s="1"/>
  <c r="H15" i="16"/>
  <c r="T19" i="3" s="1"/>
  <c r="G15" i="16"/>
  <c r="R19" i="3" s="1"/>
  <c r="F15" i="16"/>
  <c r="N19" i="3" s="1"/>
  <c r="AR14" i="16"/>
  <c r="AO14" i="16"/>
  <c r="AL14" i="16"/>
  <c r="AK14" i="16"/>
  <c r="AJ14" i="16"/>
  <c r="AI14" i="16"/>
  <c r="AH14" i="16"/>
  <c r="AG14" i="16"/>
  <c r="AF14" i="16"/>
  <c r="I14" i="16"/>
  <c r="X18" i="3" s="1"/>
  <c r="H14" i="16"/>
  <c r="T18" i="3" s="1"/>
  <c r="G14" i="16"/>
  <c r="R18" i="3" s="1"/>
  <c r="F14" i="16"/>
  <c r="N18" i="3" s="1"/>
  <c r="D14" i="16"/>
  <c r="AR13" i="16"/>
  <c r="AO13" i="16"/>
  <c r="AL13" i="16"/>
  <c r="AK13" i="16"/>
  <c r="AJ13" i="16"/>
  <c r="AI13" i="16"/>
  <c r="AH13" i="16"/>
  <c r="AG13" i="16"/>
  <c r="AF13" i="16"/>
  <c r="I13" i="16"/>
  <c r="X17" i="3" s="1"/>
  <c r="H13" i="16"/>
  <c r="T17" i="3" s="1"/>
  <c r="G13" i="16"/>
  <c r="R17" i="3" s="1"/>
  <c r="F13" i="16"/>
  <c r="N17" i="3" s="1"/>
  <c r="L33" i="16"/>
  <c r="L28" i="16"/>
  <c r="M45" i="16"/>
  <c r="L35" i="16"/>
  <c r="L50" i="16"/>
  <c r="L48" i="16"/>
  <c r="M44" i="16"/>
  <c r="L44" i="16"/>
  <c r="L27" i="16"/>
  <c r="M24" i="16"/>
  <c r="L29" i="16"/>
  <c r="B13" i="16"/>
  <c r="M47" i="16"/>
  <c r="M51" i="16"/>
  <c r="W17" i="4"/>
  <c r="L39" i="16"/>
  <c r="M48" i="16"/>
  <c r="L41" i="16"/>
  <c r="M40" i="16"/>
  <c r="L30" i="16"/>
  <c r="L23" i="16"/>
  <c r="M41" i="16"/>
  <c r="M32" i="16"/>
  <c r="M43" i="16"/>
  <c r="L52" i="16"/>
  <c r="M49" i="16"/>
  <c r="M26" i="16"/>
  <c r="L46" i="16"/>
  <c r="L49" i="16"/>
  <c r="M31" i="16"/>
  <c r="M28" i="16"/>
  <c r="L40" i="16"/>
  <c r="M42" i="16"/>
  <c r="M34" i="16"/>
  <c r="M37" i="16"/>
  <c r="T50" i="3"/>
  <c r="L47" i="16"/>
  <c r="L37" i="16"/>
  <c r="M35" i="16"/>
  <c r="M50" i="16"/>
  <c r="M30" i="16"/>
  <c r="L38" i="16"/>
  <c r="L43" i="16"/>
  <c r="D13" i="16"/>
  <c r="L31" i="16"/>
  <c r="M25" i="16"/>
  <c r="M23" i="16"/>
  <c r="M52" i="16"/>
  <c r="L26" i="16"/>
  <c r="L51" i="16"/>
  <c r="L42" i="16"/>
  <c r="C13" i="16"/>
  <c r="L25" i="16"/>
  <c r="L32" i="16"/>
  <c r="L45" i="16"/>
  <c r="M33" i="16"/>
  <c r="L36" i="16"/>
  <c r="M36" i="16"/>
  <c r="L34" i="16"/>
  <c r="L24" i="16"/>
  <c r="M29" i="16"/>
  <c r="K30" i="16"/>
  <c r="M39" i="16"/>
  <c r="M46" i="16"/>
  <c r="J41" i="16"/>
  <c r="D19" i="16" l="1"/>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X47" i="4"/>
  <c r="X46" i="4"/>
  <c r="X45" i="4"/>
  <c r="X44" i="4"/>
  <c r="X43" i="4"/>
  <c r="X42" i="4"/>
  <c r="X41" i="4"/>
  <c r="X40" i="4"/>
  <c r="X39" i="4"/>
  <c r="X38" i="4"/>
  <c r="X37" i="4"/>
  <c r="X36" i="4"/>
  <c r="X35" i="4"/>
  <c r="X34" i="4"/>
  <c r="X32" i="4"/>
  <c r="X31" i="4"/>
  <c r="X30" i="4"/>
  <c r="X29" i="4"/>
  <c r="X28" i="4"/>
  <c r="X27" i="4"/>
  <c r="X26" i="4"/>
  <c r="X25" i="4"/>
  <c r="X24" i="4"/>
  <c r="X23" i="4"/>
  <c r="X21" i="4"/>
  <c r="X20" i="4"/>
  <c r="X19" i="4"/>
  <c r="X18" i="4"/>
  <c r="U36" i="4"/>
  <c r="V25" i="4"/>
  <c r="K31" i="3"/>
  <c r="J31" i="3"/>
  <c r="I31" i="3"/>
  <c r="H31" i="3"/>
  <c r="G31" i="3"/>
  <c r="F31" i="3"/>
  <c r="E31" i="3"/>
  <c r="M10" i="8"/>
  <c r="H10" i="8"/>
  <c r="N10" i="8"/>
  <c r="T10" i="8"/>
  <c r="L10" i="8"/>
  <c r="G10" i="8"/>
  <c r="S10" i="8"/>
  <c r="K10" i="8"/>
  <c r="I10" i="8"/>
  <c r="O10" i="8"/>
  <c r="R10" i="8"/>
  <c r="J10" i="8"/>
  <c r="Q10" i="8"/>
  <c r="P10" i="8"/>
  <c r="S37" i="13"/>
  <c r="S36" i="13"/>
  <c r="S28" i="13"/>
  <c r="S29" i="13"/>
  <c r="S33" i="13"/>
  <c r="S32" i="13"/>
  <c r="X11" i="4"/>
  <c r="N22" i="16"/>
  <c r="U11" i="4"/>
  <c r="V11" i="4"/>
  <c r="I22" i="16"/>
  <c r="AR12" i="16"/>
  <c r="AO12" i="16"/>
  <c r="AL12" i="16"/>
  <c r="AK12" i="16"/>
  <c r="AJ12" i="16"/>
  <c r="AI12" i="16"/>
  <c r="AH12" i="16"/>
  <c r="AG12" i="16"/>
  <c r="AF12" i="16"/>
  <c r="N7" i="3" l="1"/>
  <c r="T11" i="4"/>
  <c r="H22" i="16"/>
  <c r="Y11" i="4"/>
  <c r="W15" i="4"/>
  <c r="W14" i="4"/>
  <c r="W13" i="4"/>
  <c r="A12" i="16"/>
  <c r="A13" i="16" s="1"/>
  <c r="AR11" i="16"/>
  <c r="AO11" i="16"/>
  <c r="AL11" i="16"/>
  <c r="AK11" i="16"/>
  <c r="AJ11" i="16"/>
  <c r="AI11" i="16"/>
  <c r="AH11" i="16"/>
  <c r="AG11" i="16"/>
  <c r="AF11" i="16"/>
  <c r="AR10" i="16"/>
  <c r="AO10" i="16"/>
  <c r="AL10" i="16"/>
  <c r="AK10" i="16"/>
  <c r="AJ10" i="16"/>
  <c r="AI10" i="16"/>
  <c r="AH10" i="16"/>
  <c r="AG10" i="16"/>
  <c r="AF10" i="16"/>
  <c r="D10" i="16"/>
  <c r="AR9" i="16"/>
  <c r="AO9" i="16"/>
  <c r="AL9" i="16"/>
  <c r="AK9" i="16"/>
  <c r="AJ9" i="16"/>
  <c r="AI9" i="16"/>
  <c r="AH9" i="16"/>
  <c r="AG9" i="16"/>
  <c r="AF9" i="16"/>
  <c r="D9" i="16"/>
  <c r="AR8" i="16"/>
  <c r="AO8" i="16"/>
  <c r="AL8" i="16"/>
  <c r="AK8" i="16"/>
  <c r="AJ8" i="16"/>
  <c r="AI8" i="16"/>
  <c r="AH8" i="16"/>
  <c r="AG8" i="16"/>
  <c r="AF8" i="16"/>
  <c r="D8" i="16"/>
  <c r="AR7" i="16"/>
  <c r="AO7" i="16"/>
  <c r="AL7" i="16"/>
  <c r="AK7" i="16"/>
  <c r="AJ7" i="16"/>
  <c r="AI7" i="16"/>
  <c r="AH7" i="16"/>
  <c r="AG7" i="16"/>
  <c r="AF7" i="16"/>
  <c r="D7" i="16"/>
  <c r="AR6" i="16"/>
  <c r="AO6" i="16"/>
  <c r="AL6" i="16"/>
  <c r="AK6" i="16"/>
  <c r="AJ6" i="16"/>
  <c r="AI6" i="16"/>
  <c r="AH6" i="16"/>
  <c r="AG6" i="16"/>
  <c r="AF6" i="16"/>
  <c r="D6" i="16"/>
  <c r="M38" i="16"/>
  <c r="H33" i="3"/>
  <c r="F32" i="3"/>
  <c r="E45" i="3"/>
  <c r="O11" i="8"/>
  <c r="I45" i="3"/>
  <c r="J36" i="16"/>
  <c r="F35" i="3"/>
  <c r="J42" i="3"/>
  <c r="G38" i="3"/>
  <c r="P11" i="8"/>
  <c r="S11" i="8"/>
  <c r="J26" i="16"/>
  <c r="J35" i="3"/>
  <c r="F46" i="3"/>
  <c r="L11" i="8"/>
  <c r="F45" i="3"/>
  <c r="K38" i="3"/>
  <c r="K42" i="16"/>
  <c r="J46" i="3"/>
  <c r="H51" i="3"/>
  <c r="X17" i="4"/>
  <c r="F53" i="3"/>
  <c r="I11" i="8"/>
  <c r="J42" i="16"/>
  <c r="J43" i="3"/>
  <c r="J40" i="16"/>
  <c r="H52" i="3"/>
  <c r="F54" i="3"/>
  <c r="K35" i="3"/>
  <c r="I34" i="3"/>
  <c r="K31" i="16"/>
  <c r="G42" i="3"/>
  <c r="H35" i="3"/>
  <c r="K43" i="16"/>
  <c r="G54" i="3"/>
  <c r="F42" i="3"/>
  <c r="J37" i="16"/>
  <c r="F37" i="3"/>
  <c r="I47" i="3"/>
  <c r="J44" i="3"/>
  <c r="H54" i="3"/>
  <c r="J38" i="3"/>
  <c r="J39" i="16"/>
  <c r="I32" i="3"/>
  <c r="J27" i="16"/>
  <c r="K24" i="16"/>
  <c r="H36" i="3"/>
  <c r="G11" i="8"/>
  <c r="E53" i="3"/>
  <c r="G37" i="3"/>
  <c r="G51" i="3"/>
  <c r="J36" i="3"/>
  <c r="K34" i="16"/>
  <c r="J43" i="16"/>
  <c r="K32" i="3"/>
  <c r="I38" i="3"/>
  <c r="I35" i="3"/>
  <c r="G35" i="3"/>
  <c r="J29" i="16"/>
  <c r="K43" i="3"/>
  <c r="K47" i="3"/>
  <c r="E46" i="3"/>
  <c r="H46" i="3"/>
  <c r="K36" i="3"/>
  <c r="E52" i="3"/>
  <c r="J52" i="16"/>
  <c r="S127" i="8"/>
  <c r="F55" i="3"/>
  <c r="I31" i="16"/>
  <c r="F52" i="3"/>
  <c r="K34" i="3"/>
  <c r="K37" i="16"/>
  <c r="J33" i="3"/>
  <c r="K23" i="16"/>
  <c r="I29" i="16"/>
  <c r="G47" i="3"/>
  <c r="K28" i="16"/>
  <c r="J51" i="16"/>
  <c r="K27" i="16"/>
  <c r="H43" i="3"/>
  <c r="K32" i="16"/>
  <c r="J34" i="16"/>
  <c r="H53" i="3"/>
  <c r="E37" i="3"/>
  <c r="H55" i="3"/>
  <c r="E51" i="3"/>
  <c r="H34" i="3"/>
  <c r="E34" i="3"/>
  <c r="K47" i="16"/>
  <c r="F44" i="3"/>
  <c r="I36" i="3"/>
  <c r="I42" i="16"/>
  <c r="J28" i="16"/>
  <c r="J34" i="3"/>
  <c r="N46" i="16"/>
  <c r="J31" i="16"/>
  <c r="M11" i="8"/>
  <c r="J35" i="16"/>
  <c r="F56" i="3"/>
  <c r="G32" i="3"/>
  <c r="N33" i="16"/>
  <c r="N27" i="16"/>
  <c r="V17" i="4"/>
  <c r="K48" i="16"/>
  <c r="M27" i="16"/>
  <c r="H56" i="3"/>
  <c r="K46" i="16"/>
  <c r="H37" i="3"/>
  <c r="G52" i="3"/>
  <c r="K26" i="16"/>
  <c r="I33" i="3"/>
  <c r="K52" i="16"/>
  <c r="G44" i="3"/>
  <c r="J30" i="16"/>
  <c r="E44" i="3"/>
  <c r="I42" i="3"/>
  <c r="E32" i="3"/>
  <c r="R127" i="8"/>
  <c r="F43" i="3"/>
  <c r="J47" i="16"/>
  <c r="E33" i="3"/>
  <c r="E43" i="3"/>
  <c r="J48" i="16"/>
  <c r="Q11" i="8"/>
  <c r="G55" i="3"/>
  <c r="H47" i="3"/>
  <c r="G33" i="3"/>
  <c r="J50" i="16"/>
  <c r="K46" i="3"/>
  <c r="J24" i="16"/>
  <c r="J23" i="16"/>
  <c r="K49" i="16"/>
  <c r="K45" i="3"/>
  <c r="J38" i="16"/>
  <c r="K39" i="16"/>
  <c r="K29" i="16"/>
  <c r="I37" i="3"/>
  <c r="K44" i="3"/>
  <c r="E47" i="3"/>
  <c r="J32" i="3"/>
  <c r="J25" i="16"/>
  <c r="H38" i="3"/>
  <c r="N11" i="8"/>
  <c r="K38" i="16"/>
  <c r="J11" i="8"/>
  <c r="H11" i="8"/>
  <c r="H32" i="3"/>
  <c r="T127" i="8"/>
  <c r="G43" i="3"/>
  <c r="E55" i="3"/>
  <c r="E36" i="3"/>
  <c r="K33" i="16"/>
  <c r="K51" i="16"/>
  <c r="K25" i="16"/>
  <c r="K35" i="16"/>
  <c r="N43" i="16"/>
  <c r="G36" i="3"/>
  <c r="K50" i="16"/>
  <c r="K37" i="3"/>
  <c r="J45" i="16"/>
  <c r="J49" i="16"/>
  <c r="R11" i="8"/>
  <c r="F33" i="3"/>
  <c r="K40" i="16"/>
  <c r="K45" i="16"/>
  <c r="E56" i="3"/>
  <c r="J46" i="16"/>
  <c r="K11" i="8"/>
  <c r="G56" i="3"/>
  <c r="E42" i="3"/>
  <c r="N39" i="16"/>
  <c r="H44" i="3"/>
  <c r="T11" i="8"/>
  <c r="F51" i="3"/>
  <c r="F47" i="3"/>
  <c r="K41" i="16"/>
  <c r="I23" i="16"/>
  <c r="J37" i="3"/>
  <c r="I43" i="16"/>
  <c r="J47" i="3"/>
  <c r="G45" i="3"/>
  <c r="K44" i="16"/>
  <c r="H45" i="3"/>
  <c r="F38" i="3"/>
  <c r="G46" i="3"/>
  <c r="H42" i="3"/>
  <c r="I43" i="3"/>
  <c r="K42" i="3"/>
  <c r="J45" i="3"/>
  <c r="J33" i="16"/>
  <c r="G34" i="3"/>
  <c r="E54" i="3"/>
  <c r="I49" i="16"/>
  <c r="K36" i="16"/>
  <c r="K33" i="3"/>
  <c r="G53" i="3"/>
  <c r="I44" i="3"/>
  <c r="J44" i="16"/>
  <c r="E35" i="3"/>
  <c r="E38" i="3"/>
  <c r="I46" i="3"/>
  <c r="F34" i="3"/>
  <c r="F36" i="3"/>
  <c r="J32" i="16"/>
  <c r="N47" i="16"/>
  <c r="U17" i="4"/>
  <c r="N34" i="16"/>
  <c r="H49" i="16"/>
  <c r="H27" i="16"/>
  <c r="H41" i="16"/>
  <c r="I40" i="16"/>
  <c r="H50" i="16"/>
  <c r="H37" i="16"/>
  <c r="N25" i="16"/>
  <c r="H52" i="16"/>
  <c r="I36" i="16"/>
  <c r="I30" i="16"/>
  <c r="I44" i="16"/>
  <c r="T17" i="4"/>
  <c r="H32" i="16"/>
  <c r="H30" i="16"/>
  <c r="N40" i="16"/>
  <c r="H46" i="16"/>
  <c r="H29" i="16"/>
  <c r="N37" i="16"/>
  <c r="H25" i="16"/>
  <c r="N29" i="16"/>
  <c r="H45" i="16"/>
  <c r="H40" i="16"/>
  <c r="I24" i="16"/>
  <c r="N32" i="16"/>
  <c r="N48" i="16"/>
  <c r="I25" i="16"/>
  <c r="I35" i="16"/>
  <c r="I27" i="16"/>
  <c r="I50" i="16"/>
  <c r="I51" i="16"/>
  <c r="H23" i="16"/>
  <c r="H44" i="16"/>
  <c r="N36" i="16"/>
  <c r="H51" i="16"/>
  <c r="H31" i="16"/>
  <c r="Y17" i="4"/>
  <c r="H47" i="16"/>
  <c r="H28" i="16"/>
  <c r="H42" i="16"/>
  <c r="N24" i="16"/>
  <c r="I47" i="16"/>
  <c r="N30" i="16"/>
  <c r="I52" i="16"/>
  <c r="I46" i="16"/>
  <c r="I45" i="16"/>
  <c r="N51" i="16"/>
  <c r="I34" i="16"/>
  <c r="N52" i="16"/>
  <c r="I33" i="16"/>
  <c r="I38" i="16"/>
  <c r="I26" i="16"/>
  <c r="H48" i="16"/>
  <c r="N42" i="16"/>
  <c r="N44" i="16"/>
  <c r="N26" i="16"/>
  <c r="N35" i="16"/>
  <c r="N45" i="16"/>
  <c r="H36" i="16"/>
  <c r="I39" i="16"/>
  <c r="N31" i="16"/>
  <c r="I32" i="16"/>
  <c r="N38" i="16"/>
  <c r="N50" i="16"/>
  <c r="N41" i="16"/>
  <c r="H43" i="16"/>
  <c r="I48" i="16"/>
  <c r="H34" i="16"/>
  <c r="N49" i="16"/>
  <c r="I37" i="16"/>
  <c r="I28" i="16"/>
  <c r="H24" i="16"/>
  <c r="N23" i="16"/>
  <c r="H39" i="16"/>
  <c r="H26" i="16"/>
  <c r="N28" i="16"/>
  <c r="I41" i="16"/>
  <c r="Y42" i="4" l="1"/>
  <c r="U27" i="4"/>
  <c r="U39" i="4"/>
  <c r="V31" i="4"/>
  <c r="T44" i="4"/>
  <c r="U28" i="4"/>
  <c r="V39" i="4"/>
  <c r="T38" i="4"/>
  <c r="T18" i="4"/>
  <c r="V36" i="4"/>
  <c r="Y34" i="4"/>
  <c r="U41" i="4"/>
  <c r="V40" i="4"/>
  <c r="V35" i="4"/>
  <c r="U44" i="4"/>
  <c r="U40" i="4"/>
  <c r="V45" i="4"/>
  <c r="Y38" i="4"/>
  <c r="V30" i="4"/>
  <c r="V20" i="4"/>
  <c r="V14" i="4" s="1"/>
  <c r="V46" i="4"/>
  <c r="V28" i="4"/>
  <c r="H41" i="3"/>
  <c r="H50" i="3"/>
  <c r="V33" i="4"/>
  <c r="U20" i="4"/>
  <c r="J41" i="3"/>
  <c r="V24" i="4"/>
  <c r="V34" i="4"/>
  <c r="U33" i="4"/>
  <c r="V44" i="4"/>
  <c r="U18" i="4"/>
  <c r="U14" i="4" s="1"/>
  <c r="U19" i="4"/>
  <c r="U45" i="4"/>
  <c r="U43" i="4"/>
  <c r="U42" i="4"/>
  <c r="E41" i="3"/>
  <c r="E50" i="3"/>
  <c r="U25" i="4"/>
  <c r="V47" i="4"/>
  <c r="V21" i="4"/>
  <c r="V41" i="4"/>
  <c r="X22" i="4"/>
  <c r="V43" i="4"/>
  <c r="Y22" i="4"/>
  <c r="Y28" i="4"/>
  <c r="G41" i="3"/>
  <c r="G50" i="3"/>
  <c r="U30" i="4"/>
  <c r="U26" i="4"/>
  <c r="Y41" i="4"/>
  <c r="U23" i="4"/>
  <c r="T37" i="4"/>
  <c r="V42" i="4"/>
  <c r="U29" i="4"/>
  <c r="V27" i="4"/>
  <c r="V22" i="4"/>
  <c r="U46" i="4"/>
  <c r="V23" i="4"/>
  <c r="T24" i="4"/>
  <c r="V18" i="4"/>
  <c r="V32" i="4"/>
  <c r="T26" i="4"/>
  <c r="U47" i="4"/>
  <c r="U24" i="4"/>
  <c r="K41" i="3"/>
  <c r="U38" i="4"/>
  <c r="V29" i="4"/>
  <c r="V19" i="4"/>
  <c r="U22" i="4"/>
  <c r="I41" i="3"/>
  <c r="U34" i="4"/>
  <c r="U32" i="4"/>
  <c r="V38" i="4"/>
  <c r="V26" i="4"/>
  <c r="U35" i="4"/>
  <c r="U37" i="4"/>
  <c r="V37" i="4"/>
  <c r="U21" i="4"/>
  <c r="U31" i="4"/>
  <c r="F41" i="3"/>
  <c r="F50" i="3"/>
  <c r="X33" i="4"/>
  <c r="Y23" i="4"/>
  <c r="Y31" i="4"/>
  <c r="Y33" i="4"/>
  <c r="Y26" i="4"/>
  <c r="Y40" i="4"/>
  <c r="Y24" i="4"/>
  <c r="Y21" i="4"/>
  <c r="Y35" i="4"/>
  <c r="Y46" i="4"/>
  <c r="Y20" i="4"/>
  <c r="Y25" i="4"/>
  <c r="Y29" i="4"/>
  <c r="T36" i="4"/>
  <c r="T31" i="4"/>
  <c r="T45" i="4"/>
  <c r="T19" i="4"/>
  <c r="T34" i="4"/>
  <c r="T29" i="4"/>
  <c r="T25" i="4"/>
  <c r="U13" i="4"/>
  <c r="U15" i="4"/>
  <c r="Y32" i="4"/>
  <c r="Y27" i="4"/>
  <c r="T20" i="4"/>
  <c r="T43" i="4"/>
  <c r="Y19" i="4"/>
  <c r="T30" i="4"/>
  <c r="T28" i="4"/>
  <c r="T22" i="4"/>
  <c r="T41" i="4"/>
  <c r="Y39" i="4"/>
  <c r="Y36" i="4"/>
  <c r="Y37" i="4"/>
  <c r="T42" i="4"/>
  <c r="T46" i="4"/>
  <c r="T39" i="4"/>
  <c r="Y45" i="4"/>
  <c r="Y18" i="4"/>
  <c r="T23" i="4"/>
  <c r="Y43" i="4"/>
  <c r="T27" i="4"/>
  <c r="T47" i="4"/>
  <c r="T40" i="4"/>
  <c r="Y30" i="4"/>
  <c r="Y47" i="4"/>
  <c r="Y44" i="4"/>
  <c r="T21" i="4"/>
  <c r="T33" i="4"/>
  <c r="T32" i="4"/>
  <c r="T35" i="4"/>
  <c r="V13" i="4"/>
  <c r="S47" i="4"/>
  <c r="S46" i="4"/>
  <c r="S45" i="4"/>
  <c r="S44" i="4"/>
  <c r="S43" i="4"/>
  <c r="S42" i="4"/>
  <c r="S41" i="4"/>
  <c r="S40" i="4"/>
  <c r="S39" i="4"/>
  <c r="S38" i="4"/>
  <c r="S37" i="4"/>
  <c r="S36" i="4"/>
  <c r="S35" i="4"/>
  <c r="S34" i="4"/>
  <c r="S32" i="4"/>
  <c r="S31" i="4"/>
  <c r="S29" i="4"/>
  <c r="S27" i="4"/>
  <c r="S26" i="4"/>
  <c r="S25" i="4"/>
  <c r="S24" i="4"/>
  <c r="S23" i="4"/>
  <c r="S22" i="4"/>
  <c r="S21" i="4"/>
  <c r="S20" i="4"/>
  <c r="S19" i="4"/>
  <c r="S18" i="4"/>
  <c r="S11" i="4"/>
  <c r="AL5" i="16"/>
  <c r="AK5" i="16"/>
  <c r="AJ5" i="16"/>
  <c r="AI5" i="16"/>
  <c r="AH5" i="16"/>
  <c r="AG5" i="16"/>
  <c r="AF5" i="16"/>
  <c r="D5" i="16"/>
  <c r="H35" i="16"/>
  <c r="H38" i="16"/>
  <c r="H33" i="16"/>
  <c r="S17" i="4"/>
  <c r="V15" i="4" l="1"/>
  <c r="X14" i="4"/>
  <c r="X15" i="4"/>
  <c r="X13" i="4"/>
  <c r="Y13" i="4"/>
  <c r="Y14" i="4"/>
  <c r="T14" i="4"/>
  <c r="S28" i="4"/>
  <c r="S33" i="4"/>
  <c r="S30" i="4"/>
  <c r="T15" i="4"/>
  <c r="T13" i="4"/>
  <c r="Y15" i="4"/>
  <c r="AL4" i="16"/>
  <c r="AK4" i="16"/>
  <c r="AJ4" i="16"/>
  <c r="AI4" i="16"/>
  <c r="AH4" i="16"/>
  <c r="AG4" i="16"/>
  <c r="AF4" i="16"/>
  <c r="S13" i="4" l="1"/>
  <c r="S15" i="4"/>
  <c r="S14" i="4"/>
  <c r="D4" i="16"/>
  <c r="B11" i="10" l="1"/>
  <c r="S3" i="16"/>
  <c r="D9" i="13" l="1"/>
  <c r="E9" i="13"/>
  <c r="C9" i="13"/>
  <c r="Q3" i="16"/>
  <c r="T3" i="16"/>
  <c r="R3" i="16"/>
  <c r="D3" i="16"/>
  <c r="DR6" i="16"/>
  <c r="AL2" i="16"/>
  <c r="AK2" i="16"/>
  <c r="AJ2" i="16"/>
  <c r="AI2" i="16"/>
  <c r="AH2" i="16"/>
  <c r="AG2" i="16"/>
  <c r="AD2" i="16"/>
  <c r="AC2" i="16"/>
  <c r="AB2" i="16"/>
  <c r="AA2" i="16"/>
  <c r="Y2" i="16"/>
  <c r="X2" i="16"/>
  <c r="DR1" i="16"/>
  <c r="F34" i="2"/>
  <c r="G33" i="2"/>
  <c r="W2" i="16" l="1"/>
  <c r="Z2" i="16"/>
  <c r="S20" i="13"/>
  <c r="S19" i="13"/>
  <c r="S12" i="13"/>
  <c r="S11" i="13"/>
  <c r="DS1" i="16"/>
  <c r="DS2" i="16"/>
  <c r="S15" i="13"/>
  <c r="S16" i="13"/>
  <c r="G32" i="2"/>
  <c r="G20" i="2"/>
  <c r="C21" i="2"/>
  <c r="F21" i="16" l="1"/>
  <c r="G27" i="2"/>
  <c r="G25" i="2"/>
  <c r="D25" i="2" s="1"/>
  <c r="G31" i="2"/>
  <c r="G26" i="2"/>
  <c r="D26" i="2" s="1"/>
  <c r="G22" i="2"/>
  <c r="G30" i="2"/>
  <c r="G24" i="2"/>
  <c r="G29" i="2"/>
  <c r="G28" i="2"/>
  <c r="G23" i="2"/>
  <c r="D20" i="2"/>
  <c r="A18" i="2"/>
  <c r="A17" i="2"/>
  <c r="F15" i="2"/>
  <c r="E15" i="2"/>
  <c r="B15" i="2"/>
  <c r="F22" i="16" l="1"/>
  <c r="D23" i="2"/>
  <c r="G22" i="16"/>
  <c r="D24" i="2"/>
  <c r="F14" i="2"/>
  <c r="E14" i="2"/>
  <c r="B13" i="2"/>
  <c r="P8" i="5" s="1"/>
  <c r="B12" i="2"/>
  <c r="C11" i="2"/>
  <c r="B11" i="2" s="1"/>
  <c r="C10" i="2"/>
  <c r="B10" i="2" s="1"/>
  <c r="C9" i="2"/>
  <c r="B9" i="2" s="1"/>
  <c r="G12" i="10" l="1"/>
  <c r="F12" i="10"/>
  <c r="E12" i="10"/>
  <c r="N8" i="9"/>
  <c r="I7" i="10"/>
  <c r="B8" i="8"/>
  <c r="U7" i="5"/>
  <c r="B8" i="5"/>
  <c r="P7" i="5"/>
  <c r="Q11" i="4"/>
  <c r="P11" i="4"/>
  <c r="N11" i="4"/>
  <c r="N49" i="3"/>
  <c r="B18" i="3"/>
  <c r="T15" i="3"/>
  <c r="N15" i="3"/>
  <c r="E5" i="2"/>
  <c r="B5" i="2"/>
  <c r="B4" i="2"/>
  <c r="M3" i="2"/>
  <c r="C4" i="2" l="1"/>
  <c r="I12" i="10"/>
  <c r="M12" i="10"/>
  <c r="N12" i="10"/>
  <c r="J12" i="10"/>
  <c r="K12" i="10"/>
  <c r="O12" i="10"/>
  <c r="C5" i="2"/>
  <c r="D10" i="9"/>
  <c r="N10" i="9"/>
  <c r="I10" i="9"/>
  <c r="C3" i="2"/>
  <c r="B2" i="2"/>
  <c r="AD3" i="16"/>
  <c r="AB3" i="16"/>
  <c r="Z3" i="16"/>
  <c r="G111" i="8"/>
  <c r="AZ3" i="16"/>
  <c r="N130" i="4"/>
  <c r="Q26" i="8"/>
  <c r="K14" i="8"/>
  <c r="K93" i="8"/>
  <c r="G64" i="8"/>
  <c r="H102" i="8"/>
  <c r="N81" i="4"/>
  <c r="N148" i="4"/>
  <c r="N97" i="4"/>
  <c r="DM5" i="16"/>
  <c r="K43" i="8"/>
  <c r="DF5" i="16"/>
  <c r="G51" i="8"/>
  <c r="G141" i="8"/>
  <c r="Q18" i="8"/>
  <c r="Q81" i="8"/>
  <c r="J135" i="8"/>
  <c r="P113" i="8"/>
  <c r="N163" i="4"/>
  <c r="O107" i="8"/>
  <c r="BZ3" i="16"/>
  <c r="J18" i="8"/>
  <c r="Q82" i="8"/>
  <c r="Q22" i="8"/>
  <c r="L107" i="8"/>
  <c r="K57" i="8"/>
  <c r="Q120" i="8"/>
  <c r="Q141" i="8"/>
  <c r="M43" i="8"/>
  <c r="BM3" i="16"/>
  <c r="N34" i="4"/>
  <c r="H21" i="8"/>
  <c r="I126" i="8"/>
  <c r="L130" i="8"/>
  <c r="K81" i="8"/>
  <c r="N94" i="4"/>
  <c r="N95" i="8"/>
  <c r="K129" i="8"/>
  <c r="G14" i="8"/>
  <c r="H26" i="8"/>
  <c r="F27" i="16"/>
  <c r="P127" i="8"/>
  <c r="G135" i="8"/>
  <c r="O64" i="8"/>
  <c r="Q119" i="8"/>
  <c r="P15" i="8"/>
  <c r="O91" i="8"/>
  <c r="G40" i="8"/>
  <c r="J111" i="8"/>
  <c r="H104" i="8"/>
  <c r="J35" i="8"/>
  <c r="I48" i="8"/>
  <c r="DH3" i="16"/>
  <c r="N145" i="4"/>
  <c r="N111" i="8"/>
  <c r="O137" i="8"/>
  <c r="N154" i="4"/>
  <c r="K36" i="8"/>
  <c r="L60" i="8"/>
  <c r="T36" i="8"/>
  <c r="G128" i="8"/>
  <c r="F44" i="16"/>
  <c r="Q72" i="8"/>
  <c r="P36" i="8"/>
  <c r="Q92" i="8"/>
  <c r="J30" i="8"/>
  <c r="G113" i="8"/>
  <c r="J95" i="8"/>
  <c r="O131" i="8"/>
  <c r="BO5" i="16"/>
  <c r="O96" i="8"/>
  <c r="G118" i="8"/>
  <c r="CB4" i="16"/>
  <c r="H18" i="8"/>
  <c r="CQ5" i="16"/>
  <c r="N158" i="4"/>
  <c r="G136" i="8"/>
  <c r="L136" i="8"/>
  <c r="N141" i="4"/>
  <c r="L88" i="8"/>
  <c r="J79" i="8"/>
  <c r="T26" i="8"/>
  <c r="K126" i="8"/>
  <c r="O141" i="8"/>
  <c r="G134" i="8"/>
  <c r="H105" i="8"/>
  <c r="I33" i="8"/>
  <c r="BW5" i="16"/>
  <c r="J86" i="8"/>
  <c r="T51" i="3"/>
  <c r="J15" i="3"/>
  <c r="M131" i="8"/>
  <c r="O126" i="8"/>
  <c r="Q85" i="8"/>
  <c r="Q134" i="8"/>
  <c r="J63" i="8"/>
  <c r="P103" i="8"/>
  <c r="J127" i="8"/>
  <c r="G60" i="8"/>
  <c r="J72" i="8"/>
  <c r="N151" i="4"/>
  <c r="K101" i="8"/>
  <c r="Q62" i="8"/>
  <c r="CV5" i="16"/>
  <c r="H14" i="8"/>
  <c r="N83" i="4"/>
  <c r="P88" i="8"/>
  <c r="N22" i="4"/>
  <c r="N101" i="8"/>
  <c r="L22" i="8"/>
  <c r="J122" i="8"/>
  <c r="N55" i="8"/>
  <c r="BT4" i="16"/>
  <c r="F41" i="16"/>
  <c r="G23" i="16"/>
  <c r="H35" i="8"/>
  <c r="L29" i="8"/>
  <c r="L56" i="8"/>
  <c r="P79" i="8"/>
  <c r="I21" i="8"/>
  <c r="AC3" i="16"/>
  <c r="Y3" i="16"/>
  <c r="X3" i="16"/>
  <c r="G86" i="8"/>
  <c r="M121" i="8"/>
  <c r="I81" i="8"/>
  <c r="CY5" i="16"/>
  <c r="Q58" i="8"/>
  <c r="O121" i="8"/>
  <c r="M23" i="8"/>
  <c r="J31" i="8"/>
  <c r="L24" i="8"/>
  <c r="Q59" i="8"/>
  <c r="M112" i="8"/>
  <c r="H33" i="8"/>
  <c r="L93" i="8"/>
  <c r="N77" i="8"/>
  <c r="DC5" i="16"/>
  <c r="H58" i="8"/>
  <c r="P55" i="8"/>
  <c r="F50" i="16"/>
  <c r="P31" i="8"/>
  <c r="O43" i="8"/>
  <c r="N70" i="4"/>
  <c r="O146" i="8"/>
  <c r="L77" i="8"/>
  <c r="P142" i="8"/>
  <c r="G26" i="8"/>
  <c r="L37" i="8"/>
  <c r="G38" i="8"/>
  <c r="G43" i="8"/>
  <c r="N53" i="8"/>
  <c r="I71" i="8"/>
  <c r="N94" i="8"/>
  <c r="BU4" i="16"/>
  <c r="N20" i="4"/>
  <c r="J52" i="8"/>
  <c r="N93" i="4"/>
  <c r="N62" i="8"/>
  <c r="J24" i="8"/>
  <c r="I94" i="8"/>
  <c r="L17" i="8"/>
  <c r="N65" i="8"/>
  <c r="K123" i="8"/>
  <c r="N90" i="4"/>
  <c r="L14" i="8"/>
  <c r="L92" i="8"/>
  <c r="M69" i="8"/>
  <c r="I63" i="8"/>
  <c r="Q33" i="8"/>
  <c r="P18" i="8"/>
  <c r="Q31" i="8"/>
  <c r="I104" i="8"/>
  <c r="P121" i="8"/>
  <c r="N46" i="4"/>
  <c r="P14" i="8"/>
  <c r="N173" i="4"/>
  <c r="P94" i="8"/>
  <c r="M22" i="8"/>
  <c r="N144" i="4"/>
  <c r="O35" i="8"/>
  <c r="N29" i="8"/>
  <c r="M111" i="8"/>
  <c r="H141" i="8"/>
  <c r="H43" i="8"/>
  <c r="I128" i="8"/>
  <c r="N149" i="4"/>
  <c r="G52" i="8"/>
  <c r="N190" i="4"/>
  <c r="N91" i="4"/>
  <c r="DN3" i="16"/>
  <c r="I55" i="8"/>
  <c r="F29" i="16"/>
  <c r="T85" i="8"/>
  <c r="N65" i="4"/>
  <c r="Q57" i="8"/>
  <c r="G34" i="16"/>
  <c r="R85" i="8"/>
  <c r="G42" i="16"/>
  <c r="J112" i="8"/>
  <c r="P60" i="8"/>
  <c r="K144" i="8"/>
  <c r="N23" i="4"/>
  <c r="K99" i="8"/>
  <c r="CT3" i="16"/>
  <c r="AZ5" i="16"/>
  <c r="F24" i="16"/>
  <c r="J43" i="8"/>
  <c r="N14" i="8"/>
  <c r="G35" i="16"/>
  <c r="S35" i="8"/>
  <c r="H129" i="8"/>
  <c r="I136" i="8"/>
  <c r="N63" i="8"/>
  <c r="P22" i="8"/>
  <c r="N170" i="4"/>
  <c r="BT3" i="16"/>
  <c r="I144" i="8"/>
  <c r="J69" i="8"/>
  <c r="T120" i="8"/>
  <c r="M113" i="8"/>
  <c r="J14" i="8"/>
  <c r="G24" i="8"/>
  <c r="CX4" i="16"/>
  <c r="Q71" i="8"/>
  <c r="G146" i="8"/>
  <c r="J19" i="8"/>
  <c r="H123" i="8"/>
  <c r="I52" i="8"/>
  <c r="K53" i="8"/>
  <c r="N130" i="8"/>
  <c r="N106" i="4"/>
  <c r="I35" i="8"/>
  <c r="P19" i="8"/>
  <c r="T129" i="8"/>
  <c r="CG3" i="16"/>
  <c r="DK4" i="16"/>
  <c r="BR5" i="16"/>
  <c r="Q21" i="8"/>
  <c r="I100" i="8"/>
  <c r="K98" i="8"/>
  <c r="J101" i="8"/>
  <c r="G101" i="8"/>
  <c r="M51" i="8"/>
  <c r="O59" i="8"/>
  <c r="M85" i="8"/>
  <c r="L146" i="8"/>
  <c r="Q93" i="8"/>
  <c r="J87" i="8"/>
  <c r="J98" i="8"/>
  <c r="H130" i="8"/>
  <c r="T121" i="8"/>
  <c r="P123" i="8"/>
  <c r="G30" i="8"/>
  <c r="G58" i="8"/>
  <c r="G109" i="8"/>
  <c r="H75" i="8"/>
  <c r="M19" i="8"/>
  <c r="I127" i="8"/>
  <c r="I130" i="8"/>
  <c r="H89" i="8"/>
  <c r="H19" i="8"/>
  <c r="K31" i="8"/>
  <c r="T37" i="8"/>
  <c r="J22" i="8"/>
  <c r="O82" i="8"/>
  <c r="L64" i="8"/>
  <c r="G127" i="8"/>
  <c r="M137" i="8"/>
  <c r="CX5" i="16"/>
  <c r="G81" i="8"/>
  <c r="L91" i="8"/>
  <c r="M59" i="8"/>
  <c r="K122" i="8"/>
  <c r="K87" i="8"/>
  <c r="M81" i="8"/>
  <c r="H77" i="8"/>
  <c r="H95" i="8"/>
  <c r="M123" i="8"/>
  <c r="G112" i="8"/>
  <c r="Q123" i="8"/>
  <c r="M33" i="8"/>
  <c r="I96" i="8"/>
  <c r="K104" i="8"/>
  <c r="M118" i="8"/>
  <c r="BP4" i="16"/>
  <c r="N181" i="4"/>
  <c r="CX3" i="16"/>
  <c r="CN3" i="16"/>
  <c r="M91" i="8"/>
  <c r="K131" i="8"/>
  <c r="K26" i="8"/>
  <c r="H87" i="8"/>
  <c r="I129" i="8"/>
  <c r="N197" i="4"/>
  <c r="L41" i="8"/>
  <c r="F30" i="16"/>
  <c r="K24" i="8"/>
  <c r="Q77" i="8"/>
  <c r="I58" i="8"/>
  <c r="P37" i="8"/>
  <c r="H113" i="8"/>
  <c r="J59" i="8"/>
  <c r="L72" i="8"/>
  <c r="K41" i="8"/>
  <c r="G82" i="8"/>
  <c r="G119" i="8"/>
  <c r="BK4" i="16"/>
  <c r="T35" i="8"/>
  <c r="N96" i="4"/>
  <c r="K94" i="8"/>
  <c r="H55" i="8"/>
  <c r="G71" i="8"/>
  <c r="N30" i="8"/>
  <c r="N107" i="4"/>
  <c r="N24" i="4"/>
  <c r="N135" i="8"/>
  <c r="CJ3" i="16"/>
  <c r="BM5" i="16"/>
  <c r="Q104" i="8"/>
  <c r="I49" i="8"/>
  <c r="P81" i="8"/>
  <c r="P137" i="8"/>
  <c r="Q60" i="8"/>
  <c r="N159" i="4"/>
  <c r="P129" i="8"/>
  <c r="L81" i="8"/>
  <c r="N168" i="4"/>
  <c r="T56" i="3"/>
  <c r="N51" i="4"/>
  <c r="P63" i="8"/>
  <c r="P67" i="8"/>
  <c r="N29" i="4"/>
  <c r="CL3" i="16"/>
  <c r="N165" i="4"/>
  <c r="J49" i="8"/>
  <c r="I51" i="8"/>
  <c r="H56" i="8"/>
  <c r="Q24" i="8"/>
  <c r="H23" i="8"/>
  <c r="S36" i="8"/>
  <c r="G96" i="8"/>
  <c r="N17" i="4"/>
  <c r="J120" i="8"/>
  <c r="H17" i="8"/>
  <c r="J82" i="8"/>
  <c r="DP4" i="16"/>
  <c r="L95" i="8"/>
  <c r="K64" i="8"/>
  <c r="P111" i="8"/>
  <c r="K59" i="8"/>
  <c r="K40" i="8"/>
  <c r="J60" i="8"/>
  <c r="M62" i="8"/>
  <c r="N37" i="4"/>
  <c r="J141" i="8"/>
  <c r="I91" i="8"/>
  <c r="O71" i="8"/>
  <c r="CB3" i="16"/>
  <c r="BW4" i="16"/>
  <c r="Q121" i="8"/>
  <c r="DD5" i="16"/>
  <c r="H118" i="8"/>
  <c r="I26" i="8"/>
  <c r="I143" i="8"/>
  <c r="K33" i="8"/>
  <c r="H51" i="8"/>
  <c r="L53" i="8"/>
  <c r="K29" i="8"/>
  <c r="R122" i="8"/>
  <c r="N115" i="4"/>
  <c r="R43" i="8"/>
  <c r="G129" i="8"/>
  <c r="N102" i="8"/>
  <c r="I62" i="8"/>
  <c r="L68" i="8"/>
  <c r="K77" i="8"/>
  <c r="N183" i="4"/>
  <c r="Q102" i="8"/>
  <c r="J126" i="8"/>
  <c r="N164" i="4"/>
  <c r="K65" i="8"/>
  <c r="G53" i="8"/>
  <c r="N26" i="4"/>
  <c r="N71" i="8"/>
  <c r="R81" i="8"/>
  <c r="AU4" i="16"/>
  <c r="G95" i="8"/>
  <c r="K22" i="8"/>
  <c r="I99" i="8"/>
  <c r="P101" i="8"/>
  <c r="Q29" i="8"/>
  <c r="N180" i="4"/>
  <c r="N26" i="8"/>
  <c r="R37" i="8"/>
  <c r="H109" i="8"/>
  <c r="G36" i="16"/>
  <c r="P62" i="8"/>
  <c r="K107" i="8"/>
  <c r="I22" i="8"/>
  <c r="N169" i="4"/>
  <c r="N69" i="4"/>
  <c r="L36" i="8"/>
  <c r="N110" i="4"/>
  <c r="P134" i="8"/>
  <c r="N40" i="4"/>
  <c r="G37" i="8"/>
  <c r="Q113" i="8"/>
  <c r="N175" i="4"/>
  <c r="O100" i="8"/>
  <c r="M53" i="8"/>
  <c r="L120" i="8"/>
  <c r="Q65" i="8"/>
  <c r="N87" i="8"/>
  <c r="P98" i="8"/>
  <c r="O60" i="8"/>
  <c r="Q138" i="8"/>
  <c r="M102" i="8"/>
  <c r="P92" i="8"/>
  <c r="O104" i="8"/>
  <c r="I41" i="8"/>
  <c r="I93" i="8"/>
  <c r="L52" i="8"/>
  <c r="G43" i="16"/>
  <c r="O37" i="8"/>
  <c r="O65" i="8"/>
  <c r="Q107" i="8"/>
  <c r="BM4" i="16"/>
  <c r="N33" i="4"/>
  <c r="O86" i="8"/>
  <c r="H67" i="8"/>
  <c r="Q14" i="8"/>
  <c r="I121" i="8"/>
  <c r="M129" i="8"/>
  <c r="R118" i="8"/>
  <c r="L128" i="8"/>
  <c r="M72" i="8"/>
  <c r="M120" i="8"/>
  <c r="CO4" i="16"/>
  <c r="CV3" i="16"/>
  <c r="M122" i="8"/>
  <c r="M87" i="8"/>
  <c r="BK3" i="16"/>
  <c r="L69" i="8"/>
  <c r="I134" i="8"/>
  <c r="N15" i="8"/>
  <c r="M27" i="8"/>
  <c r="N132" i="4"/>
  <c r="DD3" i="16"/>
  <c r="I74" i="8"/>
  <c r="P77" i="8"/>
  <c r="N196" i="4"/>
  <c r="O75" i="8"/>
  <c r="N195" i="4"/>
  <c r="Q96" i="8"/>
  <c r="BY4" i="16"/>
  <c r="AX4" i="16"/>
  <c r="H69" i="8"/>
  <c r="N98" i="4"/>
  <c r="O19" i="8"/>
  <c r="P135" i="8"/>
  <c r="DH4" i="16"/>
  <c r="P23" i="8"/>
  <c r="N182" i="4"/>
  <c r="N95" i="4"/>
  <c r="M40" i="8"/>
  <c r="P59" i="8"/>
  <c r="N86" i="4"/>
  <c r="Q74" i="8"/>
  <c r="N101" i="4"/>
  <c r="F38" i="16"/>
  <c r="P120" i="8"/>
  <c r="BP3" i="16"/>
  <c r="O63" i="8"/>
  <c r="B6" i="2"/>
  <c r="BA5" i="16"/>
  <c r="AV3" i="16"/>
  <c r="P73" i="8"/>
  <c r="L38" i="8"/>
  <c r="H64" i="8"/>
  <c r="M67" i="8"/>
  <c r="I142" i="8"/>
  <c r="N77" i="4"/>
  <c r="J137" i="8"/>
  <c r="Q79" i="8"/>
  <c r="S109" i="8"/>
  <c r="P69" i="8"/>
  <c r="G103" i="8"/>
  <c r="N105" i="4"/>
  <c r="I88" i="8"/>
  <c r="S21" i="8"/>
  <c r="R14" i="8"/>
  <c r="CE3" i="16"/>
  <c r="G17" i="8"/>
  <c r="O14" i="8"/>
  <c r="N91" i="8"/>
  <c r="J36" i="8"/>
  <c r="N194" i="4"/>
  <c r="Q55" i="8"/>
  <c r="CD4" i="16"/>
  <c r="J38" i="8"/>
  <c r="G131" i="8"/>
  <c r="K111" i="8"/>
  <c r="L62" i="8"/>
  <c r="N107" i="8"/>
  <c r="M24" i="8"/>
  <c r="F34" i="16"/>
  <c r="N31" i="8"/>
  <c r="H50" i="8"/>
  <c r="N139" i="4"/>
  <c r="Q17" i="4"/>
  <c r="K92" i="8"/>
  <c r="M103" i="8"/>
  <c r="I19" i="8"/>
  <c r="O120" i="8"/>
  <c r="N125" i="4"/>
  <c r="N32" i="4"/>
  <c r="O128" i="8"/>
  <c r="M55" i="8"/>
  <c r="Q27" i="8"/>
  <c r="G104" i="8"/>
  <c r="BC5" i="16"/>
  <c r="CO3" i="16"/>
  <c r="Q40" i="8"/>
  <c r="N18" i="4"/>
  <c r="P136" i="8"/>
  <c r="P56" i="8"/>
  <c r="P130" i="8"/>
  <c r="I31" i="8"/>
  <c r="F39" i="16"/>
  <c r="O143" i="8"/>
  <c r="O56" i="8"/>
  <c r="H99" i="8"/>
  <c r="K37" i="8"/>
  <c r="Q56" i="8"/>
  <c r="I101" i="8"/>
  <c r="F49" i="16"/>
  <c r="I60" i="8"/>
  <c r="I17" i="8"/>
  <c r="J143" i="8"/>
  <c r="Q38" i="8"/>
  <c r="P146" i="8"/>
  <c r="F28" i="16"/>
  <c r="G49" i="8"/>
  <c r="N22" i="8"/>
  <c r="I141" i="8"/>
  <c r="P89" i="8"/>
  <c r="N86" i="8"/>
  <c r="P91" i="8"/>
  <c r="CG4" i="16"/>
  <c r="H121" i="8"/>
  <c r="O102" i="8"/>
  <c r="K50" i="8"/>
  <c r="G47" i="16"/>
  <c r="N39" i="4"/>
  <c r="L75" i="8"/>
  <c r="S120" i="8"/>
  <c r="P57" i="8"/>
  <c r="G75" i="8"/>
  <c r="T131" i="8"/>
  <c r="M79" i="8"/>
  <c r="F21" i="3"/>
  <c r="N192" i="4"/>
  <c r="H60" i="8"/>
  <c r="AU3" i="16"/>
  <c r="Q63" i="8"/>
  <c r="R123" i="8"/>
  <c r="H96" i="8"/>
  <c r="N89" i="4"/>
  <c r="N54" i="4"/>
  <c r="N60" i="4"/>
  <c r="L59" i="8"/>
  <c r="Q86" i="8"/>
  <c r="H41" i="8"/>
  <c r="P122" i="8"/>
  <c r="Q75" i="8"/>
  <c r="G130" i="8"/>
  <c r="M18" i="8"/>
  <c r="DP5" i="16"/>
  <c r="N185" i="4"/>
  <c r="M143" i="8"/>
  <c r="CG5" i="16"/>
  <c r="K120" i="8"/>
  <c r="H86" i="8"/>
  <c r="H146" i="8"/>
  <c r="Q101" i="8"/>
  <c r="L94" i="8"/>
  <c r="I56" i="8"/>
  <c r="N172" i="4"/>
  <c r="N59" i="8"/>
  <c r="G65" i="8"/>
  <c r="G91" i="8"/>
  <c r="CD5" i="16"/>
  <c r="N72" i="4"/>
  <c r="G39" i="16"/>
  <c r="L15" i="8"/>
  <c r="K72" i="8"/>
  <c r="BP5" i="16"/>
  <c r="L18" i="8"/>
  <c r="O92" i="8"/>
  <c r="DF3" i="16"/>
  <c r="H127" i="8"/>
  <c r="DN5" i="16"/>
  <c r="M130" i="8"/>
  <c r="CS3" i="16"/>
  <c r="G29" i="8"/>
  <c r="L85" i="8"/>
  <c r="G27" i="16"/>
  <c r="H15" i="8"/>
  <c r="BY3" i="16"/>
  <c r="N37" i="8"/>
  <c r="I119" i="8"/>
  <c r="L103" i="8"/>
  <c r="M74" i="8"/>
  <c r="DD4" i="16"/>
  <c r="Q73" i="8"/>
  <c r="CT5" i="16"/>
  <c r="J74" i="8"/>
  <c r="N62" i="4"/>
  <c r="N80" i="4"/>
  <c r="N55" i="4"/>
  <c r="K134" i="8"/>
  <c r="CQ3" i="16"/>
  <c r="T123" i="8"/>
  <c r="O79" i="8"/>
  <c r="I123" i="8"/>
  <c r="N88" i="8"/>
  <c r="BC4" i="16"/>
  <c r="H92" i="8"/>
  <c r="G68" i="8"/>
  <c r="T21" i="8"/>
  <c r="N143" i="4"/>
  <c r="T92" i="8"/>
  <c r="N23" i="8"/>
  <c r="G89" i="8"/>
  <c r="J91" i="8"/>
  <c r="L104" i="8"/>
  <c r="Q135" i="8"/>
  <c r="N63" i="4"/>
  <c r="K102" i="8"/>
  <c r="M64" i="8"/>
  <c r="Q122" i="8"/>
  <c r="O50" i="8"/>
  <c r="N17" i="8"/>
  <c r="L26" i="8"/>
  <c r="L121" i="8"/>
  <c r="G107" i="8"/>
  <c r="Q68" i="8"/>
  <c r="L51" i="8"/>
  <c r="G74" i="8"/>
  <c r="O93" i="8"/>
  <c r="G67" i="8"/>
  <c r="N135" i="4"/>
  <c r="N75" i="8"/>
  <c r="F51" i="16"/>
  <c r="N131" i="4"/>
  <c r="H122" i="8"/>
  <c r="I75" i="8"/>
  <c r="K105" i="8"/>
  <c r="P112" i="8"/>
  <c r="K3" i="16"/>
  <c r="N193" i="4"/>
  <c r="N27" i="4"/>
  <c r="J92" i="8"/>
  <c r="N31" i="4"/>
  <c r="G100" i="8"/>
  <c r="M95" i="8"/>
  <c r="CE5" i="16"/>
  <c r="I137" i="8"/>
  <c r="H85" i="8"/>
  <c r="O130" i="8"/>
  <c r="DN4" i="16"/>
  <c r="T109" i="8"/>
  <c r="N78" i="4"/>
  <c r="Q19" i="8"/>
  <c r="I98" i="8"/>
  <c r="S121" i="8"/>
  <c r="M119" i="8"/>
  <c r="N137" i="8"/>
  <c r="N49" i="4"/>
  <c r="I64" i="8"/>
  <c r="BU3" i="16"/>
  <c r="F42" i="16"/>
  <c r="N73" i="4"/>
  <c r="I14" i="8"/>
  <c r="L48" i="8"/>
  <c r="R26" i="8"/>
  <c r="O31" i="8"/>
  <c r="N59" i="4"/>
  <c r="I107" i="8"/>
  <c r="J142" i="8"/>
  <c r="N123" i="4"/>
  <c r="J37" i="8"/>
  <c r="H73" i="8"/>
  <c r="G92" i="8"/>
  <c r="CJ4" i="16"/>
  <c r="G46" i="16"/>
  <c r="J119" i="8"/>
  <c r="L65" i="8"/>
  <c r="K85" i="8"/>
  <c r="H48" i="8"/>
  <c r="J51" i="8"/>
  <c r="J71" i="8"/>
  <c r="M107" i="8"/>
  <c r="J146" i="8"/>
  <c r="L123" i="8"/>
  <c r="O55" i="8"/>
  <c r="Q49" i="8"/>
  <c r="BY5" i="16"/>
  <c r="N47" i="4"/>
  <c r="I102" i="8"/>
  <c r="L113" i="8"/>
  <c r="Q146" i="8"/>
  <c r="Q128" i="8"/>
  <c r="I122" i="8"/>
  <c r="J33" i="8"/>
  <c r="O29" i="8"/>
  <c r="O123" i="8"/>
  <c r="G21" i="8"/>
  <c r="P87" i="8"/>
  <c r="G40" i="16"/>
  <c r="N116" i="4"/>
  <c r="L50" i="8"/>
  <c r="O30" i="8"/>
  <c r="O18" i="8"/>
  <c r="Q144" i="8"/>
  <c r="I103" i="8"/>
  <c r="N121" i="8"/>
  <c r="Q88" i="8"/>
  <c r="K22" i="3"/>
  <c r="S128" i="8"/>
  <c r="J136" i="8"/>
  <c r="L131" i="8"/>
  <c r="K143" i="8"/>
  <c r="P64" i="8"/>
  <c r="P51" i="8"/>
  <c r="BO4" i="16"/>
  <c r="K146" i="8"/>
  <c r="H40" i="8"/>
  <c r="H57" i="8"/>
  <c r="Q69" i="8"/>
  <c r="CI3" i="16"/>
  <c r="I68" i="8"/>
  <c r="BH4" i="16"/>
  <c r="BH3" i="16"/>
  <c r="N74" i="8"/>
  <c r="L119" i="8"/>
  <c r="G138" i="8"/>
  <c r="N122" i="4"/>
  <c r="K96" i="8"/>
  <c r="H38" i="8"/>
  <c r="N103" i="8"/>
  <c r="M35" i="8"/>
  <c r="K21" i="8"/>
  <c r="N156" i="4"/>
  <c r="I50" i="8"/>
  <c r="K128" i="8"/>
  <c r="N188" i="4"/>
  <c r="G93" i="8"/>
  <c r="BZ4" i="16"/>
  <c r="M75" i="8"/>
  <c r="L58" i="8"/>
  <c r="J68" i="8"/>
  <c r="J89" i="8"/>
  <c r="K109" i="8"/>
  <c r="L21" i="8"/>
  <c r="S131" i="8"/>
  <c r="L142" i="8"/>
  <c r="N43" i="8"/>
  <c r="N100" i="4"/>
  <c r="N167" i="4"/>
  <c r="L118" i="8"/>
  <c r="K130" i="8"/>
  <c r="N162" i="4"/>
  <c r="N191" i="4"/>
  <c r="N49" i="8"/>
  <c r="J104" i="8"/>
  <c r="AX5" i="16"/>
  <c r="J41" i="8"/>
  <c r="M100" i="8"/>
  <c r="M31" i="8"/>
  <c r="G59" i="8"/>
  <c r="N99" i="4"/>
  <c r="J88" i="8"/>
  <c r="P144" i="8"/>
  <c r="M41" i="8"/>
  <c r="P105" i="8"/>
  <c r="N41" i="8"/>
  <c r="AV5" i="16"/>
  <c r="J130" i="8"/>
  <c r="G36" i="8"/>
  <c r="Q48" i="8"/>
  <c r="M57" i="8"/>
  <c r="P43" i="8"/>
  <c r="N184" i="4"/>
  <c r="M93" i="8"/>
  <c r="H91" i="8"/>
  <c r="M68" i="8"/>
  <c r="DC4" i="16"/>
  <c r="K63" i="8"/>
  <c r="K23" i="8"/>
  <c r="I18" i="8"/>
  <c r="F43" i="16"/>
  <c r="F36" i="16"/>
  <c r="DH5" i="16"/>
  <c r="N120" i="8"/>
  <c r="M98" i="8"/>
  <c r="O26" i="8"/>
  <c r="K56" i="8"/>
  <c r="M88" i="8"/>
  <c r="N142" i="4"/>
  <c r="G22" i="8"/>
  <c r="P52" i="8"/>
  <c r="P126" i="8"/>
  <c r="N79" i="4"/>
  <c r="J56" i="8"/>
  <c r="R130" i="8"/>
  <c r="N177" i="4"/>
  <c r="M48" i="8"/>
  <c r="L87" i="8"/>
  <c r="BF4" i="16"/>
  <c r="CL4" i="16"/>
  <c r="M128" i="8"/>
  <c r="Q142" i="8"/>
  <c r="G56" i="8"/>
  <c r="AX3" i="16"/>
  <c r="H119" i="8"/>
  <c r="L19" i="8"/>
  <c r="DC3" i="16"/>
  <c r="I105" i="8"/>
  <c r="N67" i="8"/>
  <c r="Q129" i="8"/>
  <c r="P68" i="8"/>
  <c r="H36" i="8"/>
  <c r="N69" i="8"/>
  <c r="Q23" i="8"/>
  <c r="N117" i="4"/>
  <c r="G50" i="8"/>
  <c r="N40" i="8"/>
  <c r="L55" i="8"/>
  <c r="O135" i="8"/>
  <c r="Q127" i="8"/>
  <c r="T55" i="3"/>
  <c r="N104" i="8"/>
  <c r="J121" i="8"/>
  <c r="O138" i="8"/>
  <c r="K71" i="8"/>
  <c r="N112" i="4"/>
  <c r="G38" i="16"/>
  <c r="O109" i="8"/>
  <c r="N93" i="8"/>
  <c r="N96" i="8"/>
  <c r="N199" i="4"/>
  <c r="K38" i="8"/>
  <c r="P30" i="8"/>
  <c r="G94" i="8"/>
  <c r="L79" i="8"/>
  <c r="J73" i="8"/>
  <c r="H74" i="8"/>
  <c r="Q91" i="8"/>
  <c r="CB5" i="16"/>
  <c r="O41" i="8"/>
  <c r="S126" i="8"/>
  <c r="K69" i="8"/>
  <c r="M77" i="8"/>
  <c r="N57" i="8"/>
  <c r="M49" i="8"/>
  <c r="K20" i="3"/>
  <c r="N103" i="4"/>
  <c r="J48" i="8"/>
  <c r="N129" i="8"/>
  <c r="I138" i="8"/>
  <c r="T54" i="3"/>
  <c r="F52" i="16"/>
  <c r="K121" i="8"/>
  <c r="BW3" i="16"/>
  <c r="B7" i="2"/>
  <c r="DI4" i="16"/>
  <c r="J128" i="8"/>
  <c r="M29" i="8"/>
  <c r="Q103" i="8"/>
  <c r="P58" i="8"/>
  <c r="F33" i="16"/>
  <c r="K75" i="8"/>
  <c r="J85" i="8"/>
  <c r="N56" i="4"/>
  <c r="M86" i="8"/>
  <c r="O69" i="8"/>
  <c r="O81" i="8"/>
  <c r="G122" i="8"/>
  <c r="M58" i="8"/>
  <c r="H88" i="8"/>
  <c r="N150" i="4"/>
  <c r="H68" i="8"/>
  <c r="L98" i="8"/>
  <c r="N141" i="8"/>
  <c r="J107" i="8"/>
  <c r="N152" i="4"/>
  <c r="H134" i="8"/>
  <c r="L30" i="8"/>
  <c r="M141" i="8"/>
  <c r="R38" i="8"/>
  <c r="CT4" i="16"/>
  <c r="N187" i="4"/>
  <c r="DM3" i="16"/>
  <c r="K15" i="8"/>
  <c r="K89" i="8"/>
  <c r="M101" i="8"/>
  <c r="CE4" i="16"/>
  <c r="N120" i="4"/>
  <c r="DF4" i="16"/>
  <c r="G120" i="8"/>
  <c r="K19" i="3"/>
  <c r="I65" i="8"/>
  <c r="J40" i="8"/>
  <c r="I73" i="8"/>
  <c r="N113" i="8"/>
  <c r="N186" i="4"/>
  <c r="L143" i="8"/>
  <c r="I109" i="8"/>
  <c r="L96" i="8"/>
  <c r="L31" i="8"/>
  <c r="N98" i="8"/>
  <c r="I85" i="8"/>
  <c r="H107" i="8"/>
  <c r="P71" i="8"/>
  <c r="J67" i="8"/>
  <c r="P40" i="8"/>
  <c r="BH5" i="16"/>
  <c r="Q130" i="8"/>
  <c r="I146" i="8"/>
  <c r="S43" i="8"/>
  <c r="M30" i="8"/>
  <c r="J17" i="8"/>
  <c r="J118" i="8"/>
  <c r="I111" i="8"/>
  <c r="DA4" i="16"/>
  <c r="Q136" i="8"/>
  <c r="P29" i="8"/>
  <c r="Q36" i="8"/>
  <c r="N58" i="4"/>
  <c r="N21" i="8"/>
  <c r="K119" i="8"/>
  <c r="K17" i="8"/>
  <c r="P131" i="8"/>
  <c r="K91" i="8"/>
  <c r="I72" i="8"/>
  <c r="L43" i="8"/>
  <c r="O51" i="8"/>
  <c r="O88" i="8"/>
  <c r="H71" i="8"/>
  <c r="G62" i="8"/>
  <c r="BR3" i="16"/>
  <c r="H37" i="8"/>
  <c r="N48" i="8"/>
  <c r="K141" i="8"/>
  <c r="G77" i="8"/>
  <c r="CD3" i="16"/>
  <c r="F35" i="16"/>
  <c r="N58" i="8"/>
  <c r="K51" i="8"/>
  <c r="I43" i="8"/>
  <c r="K19" i="8"/>
  <c r="G48" i="8"/>
  <c r="G31" i="16"/>
  <c r="N76" i="4"/>
  <c r="N53" i="4"/>
  <c r="P118" i="8"/>
  <c r="Q99" i="8"/>
  <c r="Q118" i="8"/>
  <c r="BA4" i="16"/>
  <c r="N105" i="8"/>
  <c r="M138" i="8"/>
  <c r="O72" i="8"/>
  <c r="H24" i="8"/>
  <c r="M17" i="8"/>
  <c r="N146" i="4"/>
  <c r="N99" i="8"/>
  <c r="BE5" i="16"/>
  <c r="P26" i="8"/>
  <c r="M3" i="16"/>
  <c r="R35" i="8"/>
  <c r="F40" i="16"/>
  <c r="S37" i="8"/>
  <c r="P143" i="8"/>
  <c r="I67" i="8"/>
  <c r="H79" i="8"/>
  <c r="G121" i="8"/>
  <c r="N19" i="8"/>
  <c r="M142" i="8"/>
  <c r="K138" i="8"/>
  <c r="O118" i="8"/>
  <c r="O38" i="8"/>
  <c r="Q52" i="8"/>
  <c r="O53" i="8"/>
  <c r="J27" i="8"/>
  <c r="L134" i="8"/>
  <c r="G143" i="8"/>
  <c r="Q53" i="8"/>
  <c r="I113" i="8"/>
  <c r="J138" i="8"/>
  <c r="M135" i="8"/>
  <c r="H144" i="8"/>
  <c r="K18" i="8"/>
  <c r="I53" i="8"/>
  <c r="BO3" i="16"/>
  <c r="I38" i="8"/>
  <c r="T130" i="8"/>
  <c r="I112" i="8"/>
  <c r="I79" i="8"/>
  <c r="S14" i="8"/>
  <c r="S26" i="8"/>
  <c r="T128" i="8"/>
  <c r="L40" i="8"/>
  <c r="O24" i="8"/>
  <c r="CY3" i="16"/>
  <c r="M144" i="8"/>
  <c r="K88" i="8"/>
  <c r="L73" i="8"/>
  <c r="K82" i="8"/>
  <c r="N118" i="8"/>
  <c r="P72" i="8"/>
  <c r="L101" i="8"/>
  <c r="BF5" i="16"/>
  <c r="R121" i="8"/>
  <c r="J57" i="8"/>
  <c r="G15" i="8"/>
  <c r="J103" i="8"/>
  <c r="J75" i="8"/>
  <c r="N75" i="4"/>
  <c r="N104" i="4"/>
  <c r="I87" i="8"/>
  <c r="O57" i="8"/>
  <c r="P17" i="4"/>
  <c r="K137" i="8"/>
  <c r="H93" i="8"/>
  <c r="CV4" i="16"/>
  <c r="N128" i="4"/>
  <c r="K113" i="8"/>
  <c r="S85" i="8"/>
  <c r="M126" i="8"/>
  <c r="K35" i="8"/>
  <c r="N43" i="4"/>
  <c r="P107" i="8"/>
  <c r="I59" i="8"/>
  <c r="DI5" i="16"/>
  <c r="M134" i="8"/>
  <c r="H101" i="8"/>
  <c r="K30" i="8"/>
  <c r="M65" i="8"/>
  <c r="N25" i="4"/>
  <c r="DK3" i="16"/>
  <c r="P35" i="8"/>
  <c r="F48" i="16"/>
  <c r="T43" i="8"/>
  <c r="L67" i="8"/>
  <c r="R131" i="8"/>
  <c r="N122" i="8"/>
  <c r="O74" i="8"/>
  <c r="CL5" i="16"/>
  <c r="M73" i="8"/>
  <c r="K136" i="8"/>
  <c r="I23" i="8"/>
  <c r="N114" i="4"/>
  <c r="Q89" i="8"/>
  <c r="J29" i="8"/>
  <c r="L112" i="8"/>
  <c r="N176" i="4"/>
  <c r="N174" i="4"/>
  <c r="N30" i="4"/>
  <c r="K21" i="3"/>
  <c r="H52" i="8"/>
  <c r="O40" i="8"/>
  <c r="I82" i="8"/>
  <c r="I24" i="8"/>
  <c r="N60" i="8"/>
  <c r="N146" i="8"/>
  <c r="CY4" i="16"/>
  <c r="N89" i="8"/>
  <c r="G33" i="16"/>
  <c r="S38" i="8"/>
  <c r="K118" i="8"/>
  <c r="BT5" i="16"/>
  <c r="N171" i="4"/>
  <c r="H31" i="8"/>
  <c r="F37" i="16"/>
  <c r="G102" i="8"/>
  <c r="N27" i="8"/>
  <c r="N126" i="4"/>
  <c r="Q64" i="8"/>
  <c r="F25" i="16"/>
  <c r="J113" i="8"/>
  <c r="N74" i="4"/>
  <c r="N35" i="4"/>
  <c r="N42" i="4"/>
  <c r="H111" i="8"/>
  <c r="N123" i="8"/>
  <c r="I27" i="8"/>
  <c r="N57" i="4"/>
  <c r="DK5" i="16"/>
  <c r="N19" i="4"/>
  <c r="H135" i="8"/>
  <c r="N136" i="4"/>
  <c r="N109" i="4"/>
  <c r="B3" i="2"/>
  <c r="N111" i="4"/>
  <c r="M94" i="8"/>
  <c r="N84" i="4"/>
  <c r="N112" i="8"/>
  <c r="P24" i="8"/>
  <c r="O144" i="8"/>
  <c r="L138" i="8"/>
  <c r="O127" i="8"/>
  <c r="P65" i="8"/>
  <c r="H82" i="8"/>
  <c r="N48" i="4"/>
  <c r="G126" i="8"/>
  <c r="J93" i="8"/>
  <c r="K79" i="8"/>
  <c r="R128" i="8"/>
  <c r="CJ5" i="16"/>
  <c r="Q41" i="8"/>
  <c r="J94" i="8"/>
  <c r="N100" i="8"/>
  <c r="P82" i="8"/>
  <c r="N38" i="8"/>
  <c r="N178" i="4"/>
  <c r="O77" i="8"/>
  <c r="L122" i="8"/>
  <c r="CI4" i="16"/>
  <c r="N87" i="4"/>
  <c r="L126" i="8"/>
  <c r="CS5" i="16"/>
  <c r="H94" i="8"/>
  <c r="L33" i="8"/>
  <c r="J99" i="8"/>
  <c r="K142" i="8"/>
  <c r="J81" i="8"/>
  <c r="Q100" i="8"/>
  <c r="G26" i="16"/>
  <c r="N113" i="4"/>
  <c r="I57" i="8"/>
  <c r="M104" i="8"/>
  <c r="T118" i="8"/>
  <c r="N179" i="4"/>
  <c r="J53" i="8"/>
  <c r="L89" i="8"/>
  <c r="G29" i="16"/>
  <c r="L105" i="8"/>
  <c r="N68" i="4"/>
  <c r="O98" i="8"/>
  <c r="H98" i="8"/>
  <c r="P27" i="8"/>
  <c r="M15" i="8"/>
  <c r="BZ5" i="16"/>
  <c r="P53" i="8"/>
  <c r="N68" i="8"/>
  <c r="P33" i="8"/>
  <c r="K68" i="8"/>
  <c r="CN5" i="16"/>
  <c r="G27" i="8"/>
  <c r="BJ4" i="16"/>
  <c r="G18" i="8"/>
  <c r="N124" i="4"/>
  <c r="O85" i="8"/>
  <c r="G28" i="16"/>
  <c r="P75" i="8"/>
  <c r="N144" i="8"/>
  <c r="M71" i="8"/>
  <c r="N3" i="16"/>
  <c r="O23" i="8"/>
  <c r="J21" i="8"/>
  <c r="H128" i="8"/>
  <c r="BF3" i="16"/>
  <c r="P85" i="8"/>
  <c r="Q111" i="8"/>
  <c r="K67" i="8"/>
  <c r="N73" i="8"/>
  <c r="O103" i="8"/>
  <c r="N131" i="8"/>
  <c r="N119" i="4"/>
  <c r="L74" i="8"/>
  <c r="N189" i="4"/>
  <c r="H143" i="8"/>
  <c r="O122" i="8"/>
  <c r="I36" i="8"/>
  <c r="O134" i="8"/>
  <c r="N71" i="4"/>
  <c r="G44" i="16"/>
  <c r="N134" i="8"/>
  <c r="O136" i="8"/>
  <c r="G88" i="8"/>
  <c r="Q109" i="8"/>
  <c r="G49" i="16"/>
  <c r="H59" i="8"/>
  <c r="G63" i="8"/>
  <c r="H27" i="8"/>
  <c r="P17" i="8"/>
  <c r="H72" i="8"/>
  <c r="N67" i="4"/>
  <c r="N82" i="4"/>
  <c r="Q17" i="8"/>
  <c r="S81" i="8"/>
  <c r="O101" i="8"/>
  <c r="O36" i="8"/>
  <c r="N24" i="8"/>
  <c r="G73" i="8"/>
  <c r="K95" i="8"/>
  <c r="O17" i="8"/>
  <c r="I118" i="8"/>
  <c r="J23" i="8"/>
  <c r="Q35" i="8"/>
  <c r="I69" i="8"/>
  <c r="I30" i="8"/>
  <c r="F19" i="3"/>
  <c r="H112" i="8"/>
  <c r="G25" i="16"/>
  <c r="O48" i="8"/>
  <c r="M56" i="8"/>
  <c r="T122" i="8"/>
  <c r="N147" i="4"/>
  <c r="K49" i="8"/>
  <c r="I131" i="8"/>
  <c r="O52" i="8"/>
  <c r="F32" i="16"/>
  <c r="R36" i="8"/>
  <c r="N64" i="4"/>
  <c r="L137" i="8"/>
  <c r="CN4" i="16"/>
  <c r="O94" i="8"/>
  <c r="O49" i="8"/>
  <c r="G87" i="8"/>
  <c r="T53" i="3"/>
  <c r="P99" i="8"/>
  <c r="K74" i="8"/>
  <c r="AU5" i="16"/>
  <c r="J77" i="8"/>
  <c r="O62" i="8"/>
  <c r="G41" i="16"/>
  <c r="G45" i="16"/>
  <c r="L102" i="8"/>
  <c r="N102" i="4"/>
  <c r="N121" i="4"/>
  <c r="L135" i="8"/>
  <c r="K52" i="8"/>
  <c r="H137" i="8"/>
  <c r="O95" i="8"/>
  <c r="G57" i="8"/>
  <c r="G50" i="16"/>
  <c r="P74" i="8"/>
  <c r="G33" i="8"/>
  <c r="J100" i="8"/>
  <c r="I40" i="8"/>
  <c r="G35" i="8"/>
  <c r="L49" i="8"/>
  <c r="J129" i="8"/>
  <c r="O99" i="8"/>
  <c r="I77" i="8"/>
  <c r="P21" i="8"/>
  <c r="O129" i="8"/>
  <c r="L71" i="8"/>
  <c r="N133" i="4"/>
  <c r="Q126" i="8"/>
  <c r="N136" i="8"/>
  <c r="O15" i="8"/>
  <c r="O89" i="8"/>
  <c r="CI5" i="16"/>
  <c r="BE3" i="16"/>
  <c r="M105" i="8"/>
  <c r="G69" i="8"/>
  <c r="M38" i="8"/>
  <c r="BJ5" i="16"/>
  <c r="G51" i="16"/>
  <c r="F22" i="3"/>
  <c r="P95" i="8"/>
  <c r="K86" i="8"/>
  <c r="J62" i="8"/>
  <c r="Q50" i="8"/>
  <c r="N128" i="8"/>
  <c r="N72" i="8"/>
  <c r="R129" i="8"/>
  <c r="P119" i="8"/>
  <c r="L141" i="8"/>
  <c r="O105" i="8"/>
  <c r="P50" i="8"/>
  <c r="N36" i="4"/>
  <c r="Q94" i="8"/>
  <c r="P109" i="8"/>
  <c r="N61" i="4"/>
  <c r="L23" i="8"/>
  <c r="Q105" i="8"/>
  <c r="H65" i="8"/>
  <c r="T38" i="8"/>
  <c r="N129" i="4"/>
  <c r="H49" i="8"/>
  <c r="N127" i="8"/>
  <c r="AV4" i="16"/>
  <c r="L82" i="8"/>
  <c r="H142" i="8"/>
  <c r="P128" i="8"/>
  <c r="Q131" i="8"/>
  <c r="F45" i="16"/>
  <c r="O33" i="8"/>
  <c r="N51" i="8"/>
  <c r="G137" i="8"/>
  <c r="T14" i="8"/>
  <c r="O119" i="8"/>
  <c r="J50" i="8"/>
  <c r="H53" i="8"/>
  <c r="G123" i="8"/>
  <c r="H100" i="8"/>
  <c r="N138" i="8"/>
  <c r="F23" i="16"/>
  <c r="Q112" i="8"/>
  <c r="Q30" i="8"/>
  <c r="G72" i="8"/>
  <c r="Q43" i="8"/>
  <c r="O22" i="8"/>
  <c r="L3" i="16"/>
  <c r="DI3" i="16"/>
  <c r="P48" i="8"/>
  <c r="N118" i="4"/>
  <c r="K58" i="8"/>
  <c r="N28" i="4"/>
  <c r="O87" i="8"/>
  <c r="BR4" i="16"/>
  <c r="N36" i="8"/>
  <c r="S92" i="8"/>
  <c r="Q51" i="8"/>
  <c r="G23" i="8"/>
  <c r="J64" i="8"/>
  <c r="M52" i="8"/>
  <c r="G55" i="8"/>
  <c r="N155" i="4"/>
  <c r="BJ3" i="16"/>
  <c r="S123" i="8"/>
  <c r="G24" i="16"/>
  <c r="N45" i="4"/>
  <c r="K62" i="8"/>
  <c r="N85" i="4"/>
  <c r="K73" i="8"/>
  <c r="O112" i="8"/>
  <c r="N126" i="8"/>
  <c r="Q15" i="8"/>
  <c r="G31" i="8"/>
  <c r="J15" i="8"/>
  <c r="L86" i="8"/>
  <c r="BC3" i="16"/>
  <c r="N18" i="8"/>
  <c r="P38" i="8"/>
  <c r="H136" i="8"/>
  <c r="P49" i="8"/>
  <c r="M26" i="8"/>
  <c r="M63" i="8"/>
  <c r="M96" i="8"/>
  <c r="H22" i="8"/>
  <c r="N138" i="4"/>
  <c r="F47" i="16"/>
  <c r="L144" i="8"/>
  <c r="G85" i="8"/>
  <c r="S118" i="8"/>
  <c r="H138" i="8"/>
  <c r="N88" i="4"/>
  <c r="N166" i="4"/>
  <c r="L127" i="8"/>
  <c r="J102" i="8"/>
  <c r="N153" i="4"/>
  <c r="L63" i="8"/>
  <c r="P86" i="8"/>
  <c r="DM4" i="16"/>
  <c r="J105" i="8"/>
  <c r="L57" i="8"/>
  <c r="N161" i="4"/>
  <c r="I29" i="8"/>
  <c r="O21" i="8"/>
  <c r="L99" i="8"/>
  <c r="J134" i="8"/>
  <c r="O58" i="8"/>
  <c r="O67" i="8"/>
  <c r="H29" i="8"/>
  <c r="O73" i="8"/>
  <c r="M146" i="8"/>
  <c r="N108" i="4"/>
  <c r="K55" i="8"/>
  <c r="H30" i="8"/>
  <c r="N85" i="8"/>
  <c r="G48" i="16"/>
  <c r="G98" i="8"/>
  <c r="N64" i="8"/>
  <c r="N79" i="8"/>
  <c r="Q67" i="8"/>
  <c r="DA3" i="16"/>
  <c r="H63" i="8"/>
  <c r="H62" i="8"/>
  <c r="L111" i="8"/>
  <c r="N157" i="4"/>
  <c r="N140" i="4"/>
  <c r="N50" i="8"/>
  <c r="I135" i="8"/>
  <c r="CQ4" i="16"/>
  <c r="BK5" i="16"/>
  <c r="I37" i="8"/>
  <c r="S129" i="8"/>
  <c r="N81" i="8"/>
  <c r="M99" i="8"/>
  <c r="I95" i="8"/>
  <c r="I86" i="8"/>
  <c r="Q87" i="8"/>
  <c r="J26" i="8"/>
  <c r="H81" i="8"/>
  <c r="CS4" i="16"/>
  <c r="N50" i="4"/>
  <c r="G79" i="8"/>
  <c r="N119" i="8"/>
  <c r="P96" i="8"/>
  <c r="N21" i="4"/>
  <c r="G144" i="8"/>
  <c r="O27" i="8"/>
  <c r="N92" i="4"/>
  <c r="N127" i="4"/>
  <c r="M37" i="8"/>
  <c r="G41" i="8"/>
  <c r="T81" i="8"/>
  <c r="N38" i="4"/>
  <c r="I15" i="8"/>
  <c r="R126" i="8"/>
  <c r="M82" i="8"/>
  <c r="G105" i="8"/>
  <c r="N33" i="8"/>
  <c r="M127" i="8"/>
  <c r="P141" i="8"/>
  <c r="K27" i="8"/>
  <c r="M50" i="8"/>
  <c r="S130" i="8"/>
  <c r="N41" i="4"/>
  <c r="Q95" i="8"/>
  <c r="G52" i="16"/>
  <c r="K100" i="8"/>
  <c r="G37" i="16"/>
  <c r="O142" i="8"/>
  <c r="N66" i="4"/>
  <c r="L100" i="8"/>
  <c r="P104" i="8"/>
  <c r="N56" i="8"/>
  <c r="S122" i="8"/>
  <c r="G19" i="8"/>
  <c r="H120" i="8"/>
  <c r="T52" i="3"/>
  <c r="J96" i="8"/>
  <c r="N160" i="4"/>
  <c r="J123" i="8"/>
  <c r="M36" i="8"/>
  <c r="K48" i="8"/>
  <c r="P41" i="8"/>
  <c r="K135" i="8"/>
  <c r="H131" i="8"/>
  <c r="J65" i="8"/>
  <c r="M136" i="8"/>
  <c r="Q143" i="8"/>
  <c r="P93" i="8"/>
  <c r="AZ4" i="16"/>
  <c r="M92" i="8"/>
  <c r="DP3" i="16"/>
  <c r="Q98" i="8"/>
  <c r="L27" i="8"/>
  <c r="I92" i="8"/>
  <c r="M109" i="8"/>
  <c r="DA5" i="16"/>
  <c r="P100" i="8"/>
  <c r="K60" i="8"/>
  <c r="N92" i="8"/>
  <c r="BA3" i="16"/>
  <c r="G30" i="16"/>
  <c r="J58" i="8"/>
  <c r="N143" i="8"/>
  <c r="M21" i="8"/>
  <c r="J144" i="8"/>
  <c r="O113" i="8"/>
  <c r="K127" i="8"/>
  <c r="N44" i="4"/>
  <c r="P138" i="8"/>
  <c r="BE4" i="16"/>
  <c r="L109" i="8"/>
  <c r="G99" i="8"/>
  <c r="F46" i="16"/>
  <c r="I89" i="8"/>
  <c r="O68" i="8"/>
  <c r="N137" i="4"/>
  <c r="I120" i="8"/>
  <c r="P102" i="8"/>
  <c r="N142" i="8"/>
  <c r="M60" i="8"/>
  <c r="K103" i="8"/>
  <c r="CO5" i="16"/>
  <c r="BU5" i="16"/>
  <c r="H126" i="8"/>
  <c r="F20" i="3"/>
  <c r="F31" i="16"/>
  <c r="N82" i="8"/>
  <c r="Q37" i="8"/>
  <c r="R120" i="8"/>
  <c r="M14" i="8"/>
  <c r="F26" i="16"/>
  <c r="N52" i="8"/>
  <c r="R21" i="8"/>
  <c r="G142" i="8"/>
  <c r="L129" i="8"/>
  <c r="N198" i="4"/>
  <c r="M89" i="8"/>
  <c r="N134" i="4"/>
  <c r="N109" i="8"/>
  <c r="H103" i="8"/>
  <c r="J55" i="8"/>
  <c r="N52" i="4"/>
  <c r="Q137" i="8"/>
  <c r="K112" i="8"/>
  <c r="J131" i="8"/>
  <c r="J109" i="8"/>
  <c r="N35" i="8"/>
  <c r="R92" i="8"/>
  <c r="L35" i="8"/>
  <c r="O111" i="8"/>
  <c r="G32" i="16"/>
  <c r="T126" i="8"/>
  <c r="R109" i="8"/>
  <c r="N4" i="6"/>
  <c r="L4" i="7"/>
  <c r="O4" i="6"/>
  <c r="P4" i="7"/>
  <c r="Q4" i="6"/>
  <c r="M4" i="7"/>
  <c r="Q27" i="4" l="1"/>
  <c r="P21" i="4"/>
  <c r="P26" i="4"/>
  <c r="P41" i="4"/>
  <c r="E16" i="10"/>
  <c r="Q25" i="4"/>
  <c r="J14" i="10"/>
  <c r="K31" i="10"/>
  <c r="E14" i="10"/>
  <c r="Q32" i="4"/>
  <c r="Q47" i="4"/>
  <c r="E26" i="10"/>
  <c r="G25" i="10"/>
  <c r="K27" i="10"/>
  <c r="Q43" i="4"/>
  <c r="E31" i="10"/>
  <c r="P42" i="4"/>
  <c r="K14" i="10"/>
  <c r="Q19" i="4"/>
  <c r="I17" i="10"/>
  <c r="G18" i="10"/>
  <c r="J30" i="10"/>
  <c r="G12" i="16"/>
  <c r="R16" i="3" s="1"/>
  <c r="P18" i="4"/>
  <c r="P40" i="4"/>
  <c r="F13" i="10"/>
  <c r="Q46" i="4"/>
  <c r="I16" i="10"/>
  <c r="Q45" i="4"/>
  <c r="Q40" i="4"/>
  <c r="Q36" i="4"/>
  <c r="E25" i="10"/>
  <c r="M25" i="10" s="1"/>
  <c r="P27" i="4"/>
  <c r="Q20" i="4"/>
  <c r="D64" i="16"/>
  <c r="I34" i="14" s="1"/>
  <c r="D81" i="16"/>
  <c r="I53" i="14" s="1"/>
  <c r="D75" i="16"/>
  <c r="I45" i="14" s="1"/>
  <c r="D72" i="16"/>
  <c r="I42" i="14" s="1"/>
  <c r="D62" i="16"/>
  <c r="I32" i="14" s="1"/>
  <c r="D69" i="16"/>
  <c r="I39" i="14" s="1"/>
  <c r="D74" i="16"/>
  <c r="I44" i="14" s="1"/>
  <c r="D63" i="16"/>
  <c r="I33" i="14" s="1"/>
  <c r="D67" i="16"/>
  <c r="I37" i="14" s="1"/>
  <c r="D60" i="16"/>
  <c r="I30" i="14" s="1"/>
  <c r="D56" i="16"/>
  <c r="I26" i="14" s="1"/>
  <c r="D61" i="16"/>
  <c r="I31" i="14" s="1"/>
  <c r="D77" i="16"/>
  <c r="I49" i="14" s="1"/>
  <c r="D57" i="16"/>
  <c r="I27" i="14" s="1"/>
  <c r="D80" i="16"/>
  <c r="I52" i="14" s="1"/>
  <c r="D73" i="16"/>
  <c r="I43" i="14" s="1"/>
  <c r="D66" i="16"/>
  <c r="I36" i="14" s="1"/>
  <c r="D78" i="16"/>
  <c r="I50" i="14" s="1"/>
  <c r="D71" i="16"/>
  <c r="I41" i="14" s="1"/>
  <c r="D68" i="16"/>
  <c r="I38" i="14" s="1"/>
  <c r="D59" i="16"/>
  <c r="I29" i="14" s="1"/>
  <c r="D70" i="16"/>
  <c r="I40" i="14" s="1"/>
  <c r="D79" i="16"/>
  <c r="I51" i="14" s="1"/>
  <c r="D58" i="16"/>
  <c r="I28" i="14" s="1"/>
  <c r="D65" i="16"/>
  <c r="I35" i="14" s="1"/>
  <c r="Q44" i="4"/>
  <c r="Q39" i="4"/>
  <c r="J16" i="10"/>
  <c r="I12" i="16"/>
  <c r="X16" i="3" s="1"/>
  <c r="Q23" i="4"/>
  <c r="E17" i="10"/>
  <c r="Q24" i="4"/>
  <c r="Q21" i="4"/>
  <c r="E23" i="10"/>
  <c r="AD9" i="5"/>
  <c r="S9" i="5"/>
  <c r="P20" i="4"/>
  <c r="P32" i="4"/>
  <c r="Q28" i="4"/>
  <c r="F27" i="10"/>
  <c r="P43" i="4"/>
  <c r="K30" i="10"/>
  <c r="G26" i="10"/>
  <c r="J27" i="10"/>
  <c r="I18" i="10"/>
  <c r="P35" i="4"/>
  <c r="H12" i="16"/>
  <c r="T16" i="3" s="1"/>
  <c r="F14" i="10"/>
  <c r="Q26" i="4"/>
  <c r="P30" i="4"/>
  <c r="I22" i="10"/>
  <c r="K18" i="10"/>
  <c r="G27" i="10"/>
  <c r="G29" i="10"/>
  <c r="F22" i="10"/>
  <c r="I31" i="10"/>
  <c r="F26" i="10"/>
  <c r="P28" i="4"/>
  <c r="F30" i="10"/>
  <c r="K19" i="10"/>
  <c r="P47" i="4"/>
  <c r="Q33" i="4"/>
  <c r="I29" i="10"/>
  <c r="K13" i="10"/>
  <c r="G23" i="10"/>
  <c r="F16" i="10"/>
  <c r="P31" i="4"/>
  <c r="P38" i="4"/>
  <c r="E29" i="10"/>
  <c r="F20" i="10"/>
  <c r="K16" i="10"/>
  <c r="G16" i="10"/>
  <c r="I23" i="10"/>
  <c r="E18" i="10"/>
  <c r="Q35" i="4"/>
  <c r="Q41" i="4"/>
  <c r="F23" i="10"/>
  <c r="P37" i="4"/>
  <c r="J19" i="10"/>
  <c r="F31" i="10"/>
  <c r="F12" i="16"/>
  <c r="N16" i="3" s="1"/>
  <c r="P46" i="4"/>
  <c r="G14" i="10"/>
  <c r="K25" i="10"/>
  <c r="F29" i="10"/>
  <c r="N29" i="10" s="1"/>
  <c r="I20" i="10"/>
  <c r="Q22" i="4"/>
  <c r="I26" i="10"/>
  <c r="K29" i="10"/>
  <c r="O29" i="10" s="1"/>
  <c r="Q34" i="4"/>
  <c r="I13" i="10"/>
  <c r="M13" i="10" s="1"/>
  <c r="Q42" i="4"/>
  <c r="G22" i="10"/>
  <c r="O22" i="10" s="1"/>
  <c r="P23" i="4"/>
  <c r="P44" i="4"/>
  <c r="P34" i="4"/>
  <c r="N15" i="4"/>
  <c r="N14" i="4"/>
  <c r="N13" i="4"/>
  <c r="J25" i="10"/>
  <c r="P29" i="4"/>
  <c r="E22" i="10"/>
  <c r="J22" i="10"/>
  <c r="J13" i="10"/>
  <c r="C7" i="4"/>
  <c r="B7" i="11"/>
  <c r="B7" i="5"/>
  <c r="B7" i="9"/>
  <c r="B7" i="13"/>
  <c r="B7" i="10"/>
  <c r="B7" i="8"/>
  <c r="B7" i="14"/>
  <c r="E17" i="4"/>
  <c r="J18" i="10"/>
  <c r="P33" i="4"/>
  <c r="E30" i="10"/>
  <c r="G13" i="10"/>
  <c r="O13" i="10" s="1"/>
  <c r="E20" i="10"/>
  <c r="M20" i="10" s="1"/>
  <c r="J29" i="10"/>
  <c r="J17" i="10"/>
  <c r="K26" i="10"/>
  <c r="F25" i="10"/>
  <c r="G17" i="10"/>
  <c r="Q38" i="4"/>
  <c r="Q31" i="4"/>
  <c r="E13" i="10"/>
  <c r="G19" i="10"/>
  <c r="K20" i="10"/>
  <c r="O20" i="10" s="1"/>
  <c r="G31" i="10"/>
  <c r="O31" i="10" s="1"/>
  <c r="K23" i="10"/>
  <c r="J23" i="10"/>
  <c r="N23" i="10" s="1"/>
  <c r="F17" i="10"/>
  <c r="P25" i="4"/>
  <c r="I25" i="10"/>
  <c r="I27" i="10"/>
  <c r="F18" i="10"/>
  <c r="N18" i="10" s="1"/>
  <c r="G30" i="10"/>
  <c r="K22" i="10"/>
  <c r="E27" i="10"/>
  <c r="M27" i="10" s="1"/>
  <c r="I19" i="10"/>
  <c r="Q30" i="4"/>
  <c r="P19" i="4"/>
  <c r="J26" i="10"/>
  <c r="Q37" i="4"/>
  <c r="Q29" i="4"/>
  <c r="P24" i="4"/>
  <c r="J31" i="10"/>
  <c r="F19" i="10"/>
  <c r="N19" i="10" s="1"/>
  <c r="P45" i="4"/>
  <c r="C11" i="13"/>
  <c r="AG3" i="16"/>
  <c r="D11" i="13"/>
  <c r="AH3" i="16"/>
  <c r="H11" i="13"/>
  <c r="AK3" i="16"/>
  <c r="B11" i="13"/>
  <c r="AF3" i="16"/>
  <c r="Q18" i="4"/>
  <c r="P36" i="4"/>
  <c r="E19" i="10"/>
  <c r="M19" i="10" s="1"/>
  <c r="G20" i="10"/>
  <c r="P39" i="4"/>
  <c r="I30" i="10"/>
  <c r="M30" i="10" s="1"/>
  <c r="P22" i="4"/>
  <c r="K17" i="10"/>
  <c r="O17" i="10" s="1"/>
  <c r="J20" i="10"/>
  <c r="N20" i="10" s="1"/>
  <c r="I14" i="10"/>
  <c r="M14" i="10" s="1"/>
  <c r="E11" i="13"/>
  <c r="AI3" i="16"/>
  <c r="G11" i="13"/>
  <c r="AJ3" i="16"/>
  <c r="I11" i="13"/>
  <c r="AL3" i="16"/>
  <c r="N30" i="10"/>
  <c r="N16" i="10"/>
  <c r="N31" i="10"/>
  <c r="M22" i="10"/>
  <c r="M18" i="10"/>
  <c r="O25" i="10"/>
  <c r="G20" i="16"/>
  <c r="N17" i="10"/>
  <c r="O19" i="10"/>
  <c r="N14" i="10"/>
  <c r="O27" i="10"/>
  <c r="N25" i="10"/>
  <c r="Q14" i="4"/>
  <c r="O30" i="10"/>
  <c r="M29" i="10"/>
  <c r="P13" i="4"/>
  <c r="O23" i="10"/>
  <c r="N27" i="10"/>
  <c r="O26" i="10"/>
  <c r="M17" i="10"/>
  <c r="N22" i="10"/>
  <c r="M23" i="10"/>
  <c r="Q15" i="4"/>
  <c r="M16" i="10"/>
  <c r="O16" i="10"/>
  <c r="O18" i="10"/>
  <c r="N26" i="10"/>
  <c r="M26" i="10"/>
  <c r="O14" i="10"/>
  <c r="M31" i="10"/>
  <c r="N13" i="10"/>
  <c r="P15" i="4"/>
  <c r="P14" i="4"/>
  <c r="Q13" i="4"/>
  <c r="U19" i="13"/>
  <c r="U20" i="13"/>
  <c r="H3" i="2"/>
  <c r="U33" i="13"/>
  <c r="U32" i="13"/>
  <c r="G5" i="2"/>
  <c r="U16" i="13"/>
  <c r="U15" i="13"/>
  <c r="G3" i="2"/>
  <c r="U36" i="13"/>
  <c r="U37" i="13"/>
  <c r="H5" i="2"/>
  <c r="U29" i="13"/>
  <c r="U28" i="13"/>
  <c r="F5" i="2"/>
  <c r="U11" i="13"/>
  <c r="U12" i="13"/>
  <c r="F3" i="2"/>
  <c r="AD3" i="6"/>
  <c r="AC3" i="6"/>
  <c r="AB3" i="6"/>
  <c r="AA3" i="6"/>
  <c r="Z3" i="6"/>
  <c r="Y3" i="6"/>
  <c r="X3" i="6"/>
  <c r="W3" i="6"/>
  <c r="V3" i="6"/>
  <c r="U3" i="6"/>
  <c r="T3" i="6"/>
  <c r="S3" i="6"/>
  <c r="R3" i="6"/>
  <c r="Q3" i="6"/>
  <c r="P3" i="6"/>
  <c r="O3" i="6"/>
  <c r="N3" i="6"/>
  <c r="M3" i="6"/>
  <c r="L3" i="6"/>
  <c r="K3" i="6"/>
  <c r="J3" i="6"/>
  <c r="I3" i="6"/>
  <c r="H3" i="6"/>
  <c r="G3" i="6"/>
  <c r="F3" i="6"/>
  <c r="E3" i="6"/>
  <c r="D3" i="6"/>
  <c r="C3" i="6"/>
  <c r="B3" i="6"/>
  <c r="A3" i="6"/>
  <c r="T17" i="8"/>
  <c r="E9" i="3"/>
  <c r="I4" i="7"/>
  <c r="R4" i="6"/>
  <c r="AD4" i="6"/>
  <c r="AA4" i="6"/>
  <c r="AC8" i="5"/>
  <c r="X4" i="6"/>
  <c r="M4" i="6"/>
  <c r="Y4" i="6"/>
  <c r="V4" i="6"/>
  <c r="K4" i="7"/>
  <c r="Q4" i="7"/>
  <c r="U4" i="6"/>
  <c r="S17" i="8"/>
  <c r="R17" i="8"/>
  <c r="P4" i="6"/>
  <c r="N4" i="7"/>
  <c r="S4" i="6"/>
  <c r="W4" i="6"/>
  <c r="I4" i="6"/>
  <c r="Z4" i="6"/>
  <c r="O4" i="7"/>
  <c r="T4" i="6"/>
  <c r="J4" i="7"/>
  <c r="AC4" i="6"/>
  <c r="J4" i="6"/>
  <c r="AB4" i="6"/>
  <c r="K4" i="6"/>
  <c r="L4" i="6"/>
  <c r="I20" i="16" l="1"/>
  <c r="E3" i="2"/>
  <c r="E10" i="2" s="1"/>
  <c r="P10" i="5"/>
  <c r="Q77" i="5"/>
  <c r="Q17" i="5"/>
  <c r="Q70" i="5"/>
  <c r="Q28" i="5"/>
  <c r="Q31" i="5"/>
  <c r="Q59" i="5"/>
  <c r="Q60" i="5"/>
  <c r="Q73" i="5"/>
  <c r="Q51" i="5"/>
  <c r="Q48" i="5"/>
  <c r="Q30" i="5"/>
  <c r="Q69" i="5"/>
  <c r="Q12" i="5"/>
  <c r="Q62" i="5"/>
  <c r="Q20" i="5"/>
  <c r="Q23" i="5"/>
  <c r="Q43" i="5"/>
  <c r="Q52" i="5"/>
  <c r="Q65" i="5"/>
  <c r="Q35" i="5"/>
  <c r="Q41" i="5"/>
  <c r="Q22" i="5"/>
  <c r="Q32" i="5"/>
  <c r="Q13" i="5"/>
  <c r="Q33" i="5"/>
  <c r="Q47" i="5"/>
  <c r="Q18" i="5"/>
  <c r="Q25" i="5"/>
  <c r="Q74" i="5"/>
  <c r="Q75" i="5"/>
  <c r="Q68" i="5"/>
  <c r="Q24" i="5"/>
  <c r="Q61" i="5"/>
  <c r="Q66" i="5"/>
  <c r="Q67" i="5"/>
  <c r="Q40" i="5"/>
  <c r="Q15" i="5"/>
  <c r="Q19" i="5"/>
  <c r="Q44" i="5"/>
  <c r="Q57" i="5"/>
  <c r="Q72" i="5"/>
  <c r="Q50" i="5"/>
  <c r="Q63" i="5"/>
  <c r="Q21" i="5"/>
  <c r="Q14" i="5"/>
  <c r="Q76" i="5"/>
  <c r="Q29" i="5"/>
  <c r="Q39" i="5"/>
  <c r="Q11" i="5"/>
  <c r="Q53" i="5"/>
  <c r="Q58" i="5"/>
  <c r="Q27" i="5"/>
  <c r="Q71" i="5"/>
  <c r="Q78" i="5"/>
  <c r="Q56" i="5"/>
  <c r="Q42" i="5"/>
  <c r="Q37" i="5"/>
  <c r="Q64" i="5"/>
  <c r="Q45" i="5"/>
  <c r="Q38" i="5"/>
  <c r="Q46" i="5"/>
  <c r="Q34" i="5"/>
  <c r="Q10" i="5"/>
  <c r="Q36" i="5"/>
  <c r="Q55" i="5"/>
  <c r="Q26" i="5"/>
  <c r="Q49" i="5"/>
  <c r="Q16" i="5"/>
  <c r="Q54" i="5"/>
  <c r="U21" i="13"/>
  <c r="I5" i="2"/>
  <c r="U30" i="13"/>
  <c r="U17" i="13"/>
  <c r="U13" i="13"/>
  <c r="U34" i="13"/>
  <c r="I3" i="2"/>
  <c r="U38" i="13"/>
  <c r="AD3" i="7"/>
  <c r="AC3" i="7"/>
  <c r="AB3" i="7"/>
  <c r="AA3" i="7"/>
  <c r="Z3" i="7"/>
  <c r="Y3" i="7"/>
  <c r="X3" i="7"/>
  <c r="W3" i="7"/>
  <c r="V3" i="7"/>
  <c r="U3" i="7"/>
  <c r="T3" i="7"/>
  <c r="S3" i="7"/>
  <c r="R3" i="7"/>
  <c r="Q3" i="7"/>
  <c r="P3" i="7"/>
  <c r="O3" i="7"/>
  <c r="N3" i="7"/>
  <c r="M3" i="7"/>
  <c r="L3" i="7"/>
  <c r="K3" i="7"/>
  <c r="J3" i="7"/>
  <c r="I3" i="7"/>
  <c r="H3" i="7"/>
  <c r="G3" i="7"/>
  <c r="F3" i="7"/>
  <c r="E3" i="7"/>
  <c r="D3" i="7"/>
  <c r="C3" i="7"/>
  <c r="B3" i="7"/>
  <c r="A3" i="7"/>
  <c r="U4" i="7"/>
  <c r="X4" i="7"/>
  <c r="AB4" i="7"/>
  <c r="Z4" i="7"/>
  <c r="AA4" i="7"/>
  <c r="R4" i="7"/>
  <c r="Y4" i="7"/>
  <c r="S4" i="7"/>
  <c r="W4" i="7"/>
  <c r="V4" i="7"/>
  <c r="T4" i="7"/>
  <c r="AC4" i="7"/>
  <c r="AD4" i="7"/>
  <c r="F11" i="2" l="1"/>
  <c r="E9" i="2"/>
  <c r="F9" i="2"/>
  <c r="E11" i="2"/>
  <c r="F10" i="2"/>
</calcChain>
</file>

<file path=xl/sharedStrings.xml><?xml version="1.0" encoding="utf-8"?>
<sst xmlns="http://schemas.openxmlformats.org/spreadsheetml/2006/main" count="1412" uniqueCount="830">
  <si>
    <t>Local</t>
  </si>
  <si>
    <t>Custom Date</t>
  </si>
  <si>
    <t>CD</t>
  </si>
  <si>
    <t>Euro</t>
  </si>
  <si>
    <t>EUR</t>
  </si>
  <si>
    <t>Yesterday</t>
  </si>
  <si>
    <t>U.S. Dollar</t>
  </si>
  <si>
    <t>USD</t>
  </si>
  <si>
    <t>One Month Ago</t>
  </si>
  <si>
    <t>British Pounds</t>
  </si>
  <si>
    <t>GBP</t>
  </si>
  <si>
    <t>Canadian Dollar</t>
  </si>
  <si>
    <t>CAD</t>
  </si>
  <si>
    <t>1 Year Ago</t>
  </si>
  <si>
    <t>Japanese Yen</t>
  </si>
  <si>
    <t>JPY</t>
  </si>
  <si>
    <t>End of Last Year</t>
  </si>
  <si>
    <t>Afghanistan Afghani</t>
  </si>
  <si>
    <t>AFA</t>
  </si>
  <si>
    <t>2 Years Ago</t>
  </si>
  <si>
    <t>Albanian Lek</t>
  </si>
  <si>
    <t>ALL</t>
  </si>
  <si>
    <t>3 Years Ago</t>
  </si>
  <si>
    <t>Algerian Dinar</t>
  </si>
  <si>
    <t>DZD</t>
  </si>
  <si>
    <t>4 Years Ago</t>
  </si>
  <si>
    <t>Angolan New Kwanza</t>
  </si>
  <si>
    <t>AON</t>
  </si>
  <si>
    <t>5 Years Ago</t>
  </si>
  <si>
    <t>Argentine Peso</t>
  </si>
  <si>
    <t>ARS</t>
  </si>
  <si>
    <t>Armenia Dram</t>
  </si>
  <si>
    <t>AMD</t>
  </si>
  <si>
    <t>First Trading Day</t>
  </si>
  <si>
    <t>Aruban Guilder</t>
  </si>
  <si>
    <t>AWG</t>
  </si>
  <si>
    <t>Australian Dollar</t>
  </si>
  <si>
    <t>AUD</t>
  </si>
  <si>
    <t>Austrian Schilling *</t>
  </si>
  <si>
    <t>ATS</t>
  </si>
  <si>
    <t>Azerbaijan Manat</t>
  </si>
  <si>
    <t>AZM</t>
  </si>
  <si>
    <t>Bahamas Dollar</t>
  </si>
  <si>
    <t>BSD</t>
  </si>
  <si>
    <t>Bahraini Dinar</t>
  </si>
  <si>
    <t>BHD</t>
  </si>
  <si>
    <t>Bangladesh Taka</t>
  </si>
  <si>
    <t>BDT</t>
  </si>
  <si>
    <t>Barbados Dollar</t>
  </si>
  <si>
    <t>BBD</t>
  </si>
  <si>
    <t>Belarus Rouble</t>
  </si>
  <si>
    <t>BYB</t>
  </si>
  <si>
    <t>Belgian Franc *</t>
  </si>
  <si>
    <t>BEF</t>
  </si>
  <si>
    <t>Belize Dollar</t>
  </si>
  <si>
    <t>BZD</t>
  </si>
  <si>
    <t>Bermuda Dollar</t>
  </si>
  <si>
    <t>BMD</t>
  </si>
  <si>
    <t>Bhutan Ngultrum</t>
  </si>
  <si>
    <t>BTN</t>
  </si>
  <si>
    <t>Bolivian Boliviano</t>
  </si>
  <si>
    <t>BOB</t>
  </si>
  <si>
    <t>Botswana Pula</t>
  </si>
  <si>
    <t>BWP</t>
  </si>
  <si>
    <t>Brazilian Real</t>
  </si>
  <si>
    <t>BRL</t>
  </si>
  <si>
    <t>Brunei Dollar</t>
  </si>
  <si>
    <t>BND</t>
  </si>
  <si>
    <t>Bulgarian Lev</t>
  </si>
  <si>
    <t>BGL</t>
  </si>
  <si>
    <t>Burundi Franc</t>
  </si>
  <si>
    <t>BIF</t>
  </si>
  <si>
    <t>C.F.A Franc</t>
  </si>
  <si>
    <t>XAF</t>
  </si>
  <si>
    <t>C.F.P Franc</t>
  </si>
  <si>
    <t>XPF</t>
  </si>
  <si>
    <t>Cambodian Riel</t>
  </si>
  <si>
    <t>KHR</t>
  </si>
  <si>
    <t>Cape Verde Is. Escudo</t>
  </si>
  <si>
    <t>CVE</t>
  </si>
  <si>
    <t>Cayman Islands Dollar</t>
  </si>
  <si>
    <t>KYD</t>
  </si>
  <si>
    <t>Chilean Peso</t>
  </si>
  <si>
    <t>CLP</t>
  </si>
  <si>
    <t>Chile U.F.</t>
  </si>
  <si>
    <t>CLF</t>
  </si>
  <si>
    <t>China Renminbi</t>
  </si>
  <si>
    <t>CNY</t>
  </si>
  <si>
    <t>Colombian Peso</t>
  </si>
  <si>
    <t>COP</t>
  </si>
  <si>
    <t>Comoros Franc</t>
  </si>
  <si>
    <t>KMF</t>
  </si>
  <si>
    <t>Costa Rica Colon</t>
  </si>
  <si>
    <t>CRC</t>
  </si>
  <si>
    <t>Croation Kuna</t>
  </si>
  <si>
    <t>HRK</t>
  </si>
  <si>
    <t>Cuban Peso</t>
  </si>
  <si>
    <t>CUP</t>
  </si>
  <si>
    <t>Cyprus Pound</t>
  </si>
  <si>
    <t>CYP</t>
  </si>
  <si>
    <t>Czechoslovakia Koruna</t>
  </si>
  <si>
    <t>CZK</t>
  </si>
  <si>
    <t>Danish Krone</t>
  </si>
  <si>
    <t>DKK</t>
  </si>
  <si>
    <t>Djibouti Franc</t>
  </si>
  <si>
    <t>DJF</t>
  </si>
  <si>
    <t>Dominican Republic Peso</t>
  </si>
  <si>
    <t>DOP</t>
  </si>
  <si>
    <t>East Caribbean Dollar</t>
  </si>
  <si>
    <t>XCD</t>
  </si>
  <si>
    <t>East German Ostmark</t>
  </si>
  <si>
    <t>DDM</t>
  </si>
  <si>
    <t>Ecuador Sucre</t>
  </si>
  <si>
    <t>ECS</t>
  </si>
  <si>
    <t>Egyptian Pound</t>
  </si>
  <si>
    <t>EGP</t>
  </si>
  <si>
    <t>El Salvador Colon</t>
  </si>
  <si>
    <t>SVC</t>
  </si>
  <si>
    <t>Estonian Kroon</t>
  </si>
  <si>
    <t>EEK</t>
  </si>
  <si>
    <t>Ethiopian Birr</t>
  </si>
  <si>
    <t>ETB</t>
  </si>
  <si>
    <t>Falkland Island Pound</t>
  </si>
  <si>
    <t>FKP</t>
  </si>
  <si>
    <t>Fiji Dollar</t>
  </si>
  <si>
    <t>FJD</t>
  </si>
  <si>
    <t>Finnish Markka *</t>
  </si>
  <si>
    <t>FIM</t>
  </si>
  <si>
    <t>French Franc *</t>
  </si>
  <si>
    <t>FRF</t>
  </si>
  <si>
    <t>Gambia Dalasi</t>
  </si>
  <si>
    <t>GMD</t>
  </si>
  <si>
    <t>Georgian Coupon</t>
  </si>
  <si>
    <t>GEK</t>
  </si>
  <si>
    <t>German Deutschemark *</t>
  </si>
  <si>
    <t>DEM</t>
  </si>
  <si>
    <t>Ghana Cedi</t>
  </si>
  <si>
    <t>GHC</t>
  </si>
  <si>
    <t>Gibraltar Pound</t>
  </si>
  <si>
    <t>GIP</t>
  </si>
  <si>
    <t>Greek Drachma *</t>
  </si>
  <si>
    <t>GRD</t>
  </si>
  <si>
    <t>Guatemala Quentzal</t>
  </si>
  <si>
    <t>GTQ</t>
  </si>
  <si>
    <t>Guinea Franc</t>
  </si>
  <si>
    <t>GNF</t>
  </si>
  <si>
    <t>Guinea-Bissau Peso</t>
  </si>
  <si>
    <t>GWP</t>
  </si>
  <si>
    <t>Guyana Dollar</t>
  </si>
  <si>
    <t>GYD</t>
  </si>
  <si>
    <t>Haiti Gourde</t>
  </si>
  <si>
    <t>HTG</t>
  </si>
  <si>
    <t>Honduras Lempira</t>
  </si>
  <si>
    <t>HNL</t>
  </si>
  <si>
    <t>Hong Kong Dollar</t>
  </si>
  <si>
    <t>HKD</t>
  </si>
  <si>
    <t>Hungarian Forint</t>
  </si>
  <si>
    <t>HUF</t>
  </si>
  <si>
    <t>Icelandic Krona</t>
  </si>
  <si>
    <t>ISK</t>
  </si>
  <si>
    <t>Indian Rupee</t>
  </si>
  <si>
    <t>INR</t>
  </si>
  <si>
    <t>Indonesian Rupiah</t>
  </si>
  <si>
    <t>IDR</t>
  </si>
  <si>
    <t>Iran Rial</t>
  </si>
  <si>
    <t>IRR</t>
  </si>
  <si>
    <t>Iraqi Dinar</t>
  </si>
  <si>
    <t>IQD</t>
  </si>
  <si>
    <t>Irish Punt</t>
  </si>
  <si>
    <t>IEP</t>
  </si>
  <si>
    <t>Israeli Shekel</t>
  </si>
  <si>
    <t>ILS</t>
  </si>
  <si>
    <t>Italian Lire *</t>
  </si>
  <si>
    <t>ITL</t>
  </si>
  <si>
    <t>Jamaican Dollar</t>
  </si>
  <si>
    <t>JMD</t>
  </si>
  <si>
    <t>Jordanian Diner</t>
  </si>
  <si>
    <t>JOD</t>
  </si>
  <si>
    <t>Kazakhstan Tenge</t>
  </si>
  <si>
    <t>KZT</t>
  </si>
  <si>
    <t>Kenya Shilling</t>
  </si>
  <si>
    <t>KES</t>
  </si>
  <si>
    <t>Kuwait Dinar</t>
  </si>
  <si>
    <t>KWD</t>
  </si>
  <si>
    <t>Kyrgystan Som</t>
  </si>
  <si>
    <t>KGS</t>
  </si>
  <si>
    <t>Laos New Kip</t>
  </si>
  <si>
    <t>LAK</t>
  </si>
  <si>
    <t>Latvian Lats</t>
  </si>
  <si>
    <t>LVL</t>
  </si>
  <si>
    <t>Lebanese Pound</t>
  </si>
  <si>
    <t>LBP</t>
  </si>
  <si>
    <t>Legacy National Currency</t>
  </si>
  <si>
    <t>LEG</t>
  </si>
  <si>
    <t>Lesotho Loit</t>
  </si>
  <si>
    <t>LSL</t>
  </si>
  <si>
    <t>Liberian Dollar</t>
  </si>
  <si>
    <t>LRD</t>
  </si>
  <si>
    <t>Libyan Dinar</t>
  </si>
  <si>
    <t>LYD</t>
  </si>
  <si>
    <t>Lithuanian Litas</t>
  </si>
  <si>
    <t>LTL</t>
  </si>
  <si>
    <t>Luxembourg Franc *</t>
  </si>
  <si>
    <t>LUF</t>
  </si>
  <si>
    <t>Macau Pataca</t>
  </si>
  <si>
    <t>MOP</t>
  </si>
  <si>
    <t>Macedonian Denar</t>
  </si>
  <si>
    <t>MKD</t>
  </si>
  <si>
    <t>Malagasy Franc</t>
  </si>
  <si>
    <t>MGF</t>
  </si>
  <si>
    <t>Malawi Kwacha</t>
  </si>
  <si>
    <t>MWK</t>
  </si>
  <si>
    <t>Malaysian Ringgit</t>
  </si>
  <si>
    <t>MYR</t>
  </si>
  <si>
    <t>Madive Island Rufiyaa</t>
  </si>
  <si>
    <t>MVR</t>
  </si>
  <si>
    <t>Maltese Lirea</t>
  </si>
  <si>
    <t>MTL</t>
  </si>
  <si>
    <t>Mauritania Ouguiya</t>
  </si>
  <si>
    <t>MRO</t>
  </si>
  <si>
    <t>Mauritan Rupee</t>
  </si>
  <si>
    <t>MUR</t>
  </si>
  <si>
    <t>Mexican Peso</t>
  </si>
  <si>
    <t>MXN</t>
  </si>
  <si>
    <t>Moldovan Leu</t>
  </si>
  <si>
    <t>MDL</t>
  </si>
  <si>
    <t>Mongolian Tugrik</t>
  </si>
  <si>
    <t>MNT</t>
  </si>
  <si>
    <t>Moroccan Dirham</t>
  </si>
  <si>
    <t>MAD</t>
  </si>
  <si>
    <t>Mozambique Metical</t>
  </si>
  <si>
    <t>MZM</t>
  </si>
  <si>
    <t>Myanmar (Burma) Kyat</t>
  </si>
  <si>
    <t>MMK</t>
  </si>
  <si>
    <t>Namibian Dollar</t>
  </si>
  <si>
    <t>NAD</t>
  </si>
  <si>
    <t>Nepalese Rupee</t>
  </si>
  <si>
    <t>NPR</t>
  </si>
  <si>
    <t>Netherlands Antilles Guilder</t>
  </si>
  <si>
    <t>ANG</t>
  </si>
  <si>
    <t>Netherlands Guilder *</t>
  </si>
  <si>
    <t>NLG</t>
  </si>
  <si>
    <t>New Zealand Dollar</t>
  </si>
  <si>
    <t>NZD</t>
  </si>
  <si>
    <t>Nicaragua Cordoba Oro</t>
  </si>
  <si>
    <t>NIO</t>
  </si>
  <si>
    <t>Nigerian Naira</t>
  </si>
  <si>
    <t>NGN</t>
  </si>
  <si>
    <t>North Korean Won</t>
  </si>
  <si>
    <t>KPW</t>
  </si>
  <si>
    <t>Norwegian Krone</t>
  </si>
  <si>
    <t>NOK</t>
  </si>
  <si>
    <t>Oman Rial</t>
  </si>
  <si>
    <t>OMR</t>
  </si>
  <si>
    <t>Pakistan Rupee</t>
  </si>
  <si>
    <t>PKR</t>
  </si>
  <si>
    <t>Panama Balboa</t>
  </si>
  <si>
    <t>PAB</t>
  </si>
  <si>
    <t>Papua and New Guinea Kina</t>
  </si>
  <si>
    <t>PGK</t>
  </si>
  <si>
    <t>Paraguay Guarani</t>
  </si>
  <si>
    <t>PYG</t>
  </si>
  <si>
    <t>Peruvian New Sol</t>
  </si>
  <si>
    <t>PEN</t>
  </si>
  <si>
    <t>Philippines Peso</t>
  </si>
  <si>
    <t>PHP</t>
  </si>
  <si>
    <t>Polish Zloty</t>
  </si>
  <si>
    <t>PLN</t>
  </si>
  <si>
    <t>Portuguese Escudo *</t>
  </si>
  <si>
    <t>PTE</t>
  </si>
  <si>
    <t>Qatari Rial</t>
  </si>
  <si>
    <t>QAR</t>
  </si>
  <si>
    <t>Romanian Leu</t>
  </si>
  <si>
    <t>ROL</t>
  </si>
  <si>
    <t>Russian Rouble</t>
  </si>
  <si>
    <t>RUB</t>
  </si>
  <si>
    <t>Rwanda Franc</t>
  </si>
  <si>
    <t>RWF</t>
  </si>
  <si>
    <t>Sao Tome &amp; Principe Dobra</t>
  </si>
  <si>
    <t>STD</t>
  </si>
  <si>
    <t>Saudi Arabian Riyal</t>
  </si>
  <si>
    <t>SAR</t>
  </si>
  <si>
    <t>Seychelles Rupee</t>
  </si>
  <si>
    <t>SCR</t>
  </si>
  <si>
    <t>Sierra Leone Leone</t>
  </si>
  <si>
    <t>SLL</t>
  </si>
  <si>
    <t>Singapore Dollar</t>
  </si>
  <si>
    <t>SGD</t>
  </si>
  <si>
    <t>Slovakia Koruna</t>
  </si>
  <si>
    <t>SKK</t>
  </si>
  <si>
    <t>Slovenian Tolar</t>
  </si>
  <si>
    <t>SIT</t>
  </si>
  <si>
    <t>Solomon Island Dollar</t>
  </si>
  <si>
    <t>SBD</t>
  </si>
  <si>
    <t>Somali Shilling</t>
  </si>
  <si>
    <t>SOS</t>
  </si>
  <si>
    <t>South African Ran</t>
  </si>
  <si>
    <t>ZAR</t>
  </si>
  <si>
    <t>South Korean Won</t>
  </si>
  <si>
    <t>KRW</t>
  </si>
  <si>
    <t>Spanish Peseta *</t>
  </si>
  <si>
    <t>ESP</t>
  </si>
  <si>
    <t>Sri Lanka Rupee</t>
  </si>
  <si>
    <t>LKR</t>
  </si>
  <si>
    <t>St. Helena Pound</t>
  </si>
  <si>
    <t>SHP</t>
  </si>
  <si>
    <t>Sudanese Pound</t>
  </si>
  <si>
    <t>SDP</t>
  </si>
  <si>
    <t>Surinam Guilder</t>
  </si>
  <si>
    <t>SRG</t>
  </si>
  <si>
    <t>Swaziland Lilangeni</t>
  </si>
  <si>
    <t>SZL</t>
  </si>
  <si>
    <t>Swedish Krona</t>
  </si>
  <si>
    <t>SEK</t>
  </si>
  <si>
    <t>Swiss Franc</t>
  </si>
  <si>
    <t>CHF</t>
  </si>
  <si>
    <t>Syrian Pound</t>
  </si>
  <si>
    <t>SYP</t>
  </si>
  <si>
    <t>Taiwan Dollar</t>
  </si>
  <si>
    <t>TWD</t>
  </si>
  <si>
    <t>Tajikistan Rouble</t>
  </si>
  <si>
    <t>TJR</t>
  </si>
  <si>
    <t>Tanzania Shilling</t>
  </si>
  <si>
    <t>TZS</t>
  </si>
  <si>
    <t>Thailand Baht</t>
  </si>
  <si>
    <t>THB</t>
  </si>
  <si>
    <t>Tonga Pa'anga</t>
  </si>
  <si>
    <t>TOP</t>
  </si>
  <si>
    <t>Trinidad and Tobago Dollar</t>
  </si>
  <si>
    <t>TTD</t>
  </si>
  <si>
    <t>Tunisian Dinar</t>
  </si>
  <si>
    <t>TND</t>
  </si>
  <si>
    <t>TRL</t>
  </si>
  <si>
    <t>Turkmenistan Manet</t>
  </si>
  <si>
    <t>TMM</t>
  </si>
  <si>
    <t>UAE Dirham</t>
  </si>
  <si>
    <t>AED</t>
  </si>
  <si>
    <t>Uganda Shilling</t>
  </si>
  <si>
    <t>UGX</t>
  </si>
  <si>
    <t>Ukraine Karbovanets</t>
  </si>
  <si>
    <t>UAK</t>
  </si>
  <si>
    <t>Uruguay Peso</t>
  </si>
  <si>
    <t>UYU</t>
  </si>
  <si>
    <t>Uzbekistan Sum</t>
  </si>
  <si>
    <t>UZS</t>
  </si>
  <si>
    <t>Vanuatu Vatu</t>
  </si>
  <si>
    <t>VUV</t>
  </si>
  <si>
    <t>Venezualan Bolivar</t>
  </si>
  <si>
    <t>VEB</t>
  </si>
  <si>
    <t>Vietnam Dong</t>
  </si>
  <si>
    <t>VND</t>
  </si>
  <si>
    <t>Western Somoa Tala</t>
  </si>
  <si>
    <t>WST</t>
  </si>
  <si>
    <t>Yemeni Rial</t>
  </si>
  <si>
    <t>YER</t>
  </si>
  <si>
    <t>Yugoslav New Dinar</t>
  </si>
  <si>
    <t>YUN</t>
  </si>
  <si>
    <t>Zaire Zaire</t>
  </si>
  <si>
    <t>ZRN</t>
  </si>
  <si>
    <t>Zambian Kwacha</t>
  </si>
  <si>
    <t>ZMK</t>
  </si>
  <si>
    <t>Zimbabwe Dollar</t>
  </si>
  <si>
    <t>ZWD</t>
  </si>
  <si>
    <t>EQUAL</t>
  </si>
  <si>
    <t>MCAP</t>
  </si>
  <si>
    <t>British Pence</t>
  </si>
  <si>
    <t>GBp</t>
  </si>
  <si>
    <t>New Turkish Lira</t>
  </si>
  <si>
    <t>TRY</t>
  </si>
  <si>
    <t>Old Turkish Lira</t>
  </si>
  <si>
    <t>Dates</t>
  </si>
  <si>
    <t>Benchmark</t>
  </si>
  <si>
    <t>Start Date</t>
  </si>
  <si>
    <t>End Date</t>
  </si>
  <si>
    <t>Currencies</t>
  </si>
  <si>
    <t>Currency</t>
  </si>
  <si>
    <t>Peers Weight</t>
  </si>
  <si>
    <t>Peers Choice</t>
  </si>
  <si>
    <t>Bloomberg Peers</t>
  </si>
  <si>
    <t>My Peers</t>
  </si>
  <si>
    <t>BLMPEERS</t>
  </si>
  <si>
    <t>MYPEERS</t>
  </si>
  <si>
    <t>Warning: Changing the contents of this sheet will influence the way spreadsheet works and may damage programs.</t>
  </si>
  <si>
    <t>Name</t>
  </si>
  <si>
    <t>Price</t>
  </si>
  <si>
    <t>P/E</t>
  </si>
  <si>
    <t>EV/EBIT</t>
  </si>
  <si>
    <t>EV/EBITDA</t>
  </si>
  <si>
    <t>P/S</t>
  </si>
  <si>
    <t>P/B</t>
  </si>
  <si>
    <t>BEST_PE_RATIO</t>
  </si>
  <si>
    <t>BEST_EV_TO_BEST_EBIT</t>
  </si>
  <si>
    <t>BEST_EV_TO_BEST_EBITDA</t>
  </si>
  <si>
    <t>BEST_PX_SALES_RATIO</t>
  </si>
  <si>
    <t>BEST_PX_BPS_RATIO</t>
  </si>
  <si>
    <t>BEST_DIV_YLD</t>
  </si>
  <si>
    <t>PE_RATIO</t>
  </si>
  <si>
    <t>PX_TO_SALES_RATIO</t>
  </si>
  <si>
    <t>PX_TO_BOOK_RATIO</t>
  </si>
  <si>
    <t>DIVIDEND_YIELD</t>
  </si>
  <si>
    <t>RETURN_ON_ASSET</t>
  </si>
  <si>
    <t>RETURN_COM_EQY</t>
  </si>
  <si>
    <t>GROSS_MARGIN</t>
  </si>
  <si>
    <t>EBITDA_TO_NET_SALES</t>
  </si>
  <si>
    <t>OPER_MARGIN</t>
  </si>
  <si>
    <t>PROF_MARGIN</t>
  </si>
  <si>
    <t>Return on Assets</t>
  </si>
  <si>
    <t>Return on Equity</t>
  </si>
  <si>
    <t>BEST_GROSS_MARGIN</t>
  </si>
  <si>
    <t>BEST_OPP_TO_SALES</t>
  </si>
  <si>
    <t>BEST_NI_ADJ_TO_SALES</t>
  </si>
  <si>
    <t>BEST_ROA</t>
  </si>
  <si>
    <t>BEST_ROE</t>
  </si>
  <si>
    <t>Date</t>
  </si>
  <si>
    <t>Fiscal Year Ends</t>
  </si>
  <si>
    <t>FQ</t>
  </si>
  <si>
    <t>FS</t>
  </si>
  <si>
    <t>FY</t>
  </si>
  <si>
    <t>Max</t>
  </si>
  <si>
    <t>Min</t>
  </si>
  <si>
    <t>Price Earnings</t>
  </si>
  <si>
    <t>EV EBITDA</t>
  </si>
  <si>
    <t>EV EBIT</t>
  </si>
  <si>
    <t>Price to Sales</t>
  </si>
  <si>
    <t>Price to Book</t>
  </si>
  <si>
    <t>Fiscal Quarter</t>
  </si>
  <si>
    <t>Fiscal Semiannual</t>
  </si>
  <si>
    <t>Fiscal Year</t>
  </si>
  <si>
    <t>EV_TO_T12M_EBIT</t>
  </si>
  <si>
    <t>EV_TO_T12M_EBITDA</t>
  </si>
  <si>
    <t>Gross Margin %</t>
  </si>
  <si>
    <t>Operating Margin %</t>
  </si>
  <si>
    <t>Profit Margin %</t>
  </si>
  <si>
    <t>Return on Assets %</t>
  </si>
  <si>
    <t>Return on Equity %</t>
  </si>
  <si>
    <t>Dividend Yield %</t>
  </si>
  <si>
    <t>Market Cap Weight</t>
  </si>
  <si>
    <t>Equal Weight</t>
  </si>
  <si>
    <t>SALES_REV_TURN</t>
  </si>
  <si>
    <t>ACCOUNTING_STANDARD</t>
  </si>
  <si>
    <t>IS_COGS_TO_FE_AND_PP_AND_G</t>
  </si>
  <si>
    <t>GROSS_PROFIT</t>
  </si>
  <si>
    <t>IS_RD_EXPEND</t>
  </si>
  <si>
    <t>IS_OPER_INC</t>
  </si>
  <si>
    <t>IS_INT_EXPENSE</t>
  </si>
  <si>
    <t>IS_FOREIGN_EXCH_LOSS</t>
  </si>
  <si>
    <t>IS_NET_NON_OPER_LOSS</t>
  </si>
  <si>
    <t>Operating Income</t>
  </si>
  <si>
    <t>Pretax Income</t>
  </si>
  <si>
    <t>PRETAX_INC</t>
  </si>
  <si>
    <t>IS_INC_TAX_EXP</t>
  </si>
  <si>
    <t>IS_INC_BEF_XO_ITEM</t>
  </si>
  <si>
    <t>Dividends Per Share</t>
  </si>
  <si>
    <t>XO_GL_NET_OF_TAX</t>
  </si>
  <si>
    <t>MIN_NONCONTROL_INTEREST_CREDITS</t>
  </si>
  <si>
    <t>EBITDA</t>
  </si>
  <si>
    <t>CF_CASH_FROM_INV_ACT</t>
  </si>
  <si>
    <t>CF_DVD_PAID</t>
  </si>
  <si>
    <t>CF_INCR_ST_BORROW</t>
  </si>
  <si>
    <t>CF_INCR_LT_BORROW</t>
  </si>
  <si>
    <t>CF_REIMB_LT_BORROW</t>
  </si>
  <si>
    <t>CF_INCR_CAP_STOCK</t>
  </si>
  <si>
    <t>CF_DECR_CAP_STOCK</t>
  </si>
  <si>
    <t>CF_OTHER_FNC_ACT</t>
  </si>
  <si>
    <t>CF_DISP_FIX_ASSET</t>
  </si>
  <si>
    <t>CF_CAP_EXPEND_PRPTY_ADD</t>
  </si>
  <si>
    <t>CF_INCR_INVEST</t>
  </si>
  <si>
    <t>CF_DECR_INVEST</t>
  </si>
  <si>
    <t>CF_OTHER_INV_ACT</t>
  </si>
  <si>
    <t>CF_CASH_FROM_OPER</t>
  </si>
  <si>
    <t>CF_NET_INC</t>
  </si>
  <si>
    <t>CF_DEPR_AMORT</t>
  </si>
  <si>
    <t>CF_OTHER_NON_CASH_ADJUST</t>
  </si>
  <si>
    <t>CF_CHNG_NON_CASH_WORK_CAP</t>
  </si>
  <si>
    <t>TANG_BOOK_VAL_PER_SH</t>
  </si>
  <si>
    <t>BOOK_VAL_PER_SH</t>
  </si>
  <si>
    <t>TOT_LIAB_AND_EQY</t>
  </si>
  <si>
    <t>TOT_SHRHLDR_EQY</t>
  </si>
  <si>
    <t>BS_PFD_EQY</t>
  </si>
  <si>
    <t>MINORITY_NONCONTROLLING_INTEREST</t>
  </si>
  <si>
    <t>BS_SH_CAP_AND_APIC</t>
  </si>
  <si>
    <t>BS_RETAIN_EARN</t>
  </si>
  <si>
    <t>BS_TOT_LIAB2</t>
  </si>
  <si>
    <t>BS_OTHER_LT_LIABILITIES</t>
  </si>
  <si>
    <t>BS_LT_BORROW</t>
  </si>
  <si>
    <t>NON_CUR_LIAB</t>
  </si>
  <si>
    <t>BS_ACCT_PAYABLE</t>
  </si>
  <si>
    <t>BS_ST_BORROW</t>
  </si>
  <si>
    <t>BS_OTHER_ST_LIAB</t>
  </si>
  <si>
    <t>BS_CUR_LIAB</t>
  </si>
  <si>
    <t>BS_LT_INVEST</t>
  </si>
  <si>
    <t>BS_GROSS_FIX_ASSET</t>
  </si>
  <si>
    <t>BS_ACCUM_DEPR</t>
  </si>
  <si>
    <t>BS_NET_FIX_ASSET</t>
  </si>
  <si>
    <t>BS_OTHER_ASSET_DEF_CHNG_OTHER</t>
  </si>
  <si>
    <t>BS_TOT_NON_CUR_ASSET</t>
  </si>
  <si>
    <t>BS_CASH_NEAR_CASH_ITEM</t>
  </si>
  <si>
    <t>BS_MKT_SEC_OTHER_ST_INVEST</t>
  </si>
  <si>
    <t>BS_ACCT_NOTE_RCV</t>
  </si>
  <si>
    <t>BS_INVENTORIES</t>
  </si>
  <si>
    <t>BS_OTHER_CUR_ASSET</t>
  </si>
  <si>
    <t>BS_CUR_ASSET_REPORT</t>
  </si>
  <si>
    <t>IS_SH_FOR_DILUTED_EPS</t>
  </si>
  <si>
    <t>BS_SH_OUT</t>
  </si>
  <si>
    <t>DVD_PAYOUT_RATIO</t>
  </si>
  <si>
    <t>IS_DIV_PER_SHR</t>
  </si>
  <si>
    <t>IS_COMP_EPS_ADJUSTED</t>
  </si>
  <si>
    <t>IS_COMP_NET_INCOME_ADJUST</t>
  </si>
  <si>
    <t>IS_DIL_EPS_BEF_XO</t>
  </si>
  <si>
    <t>CF_CASH_FROM_FNC_ACT</t>
  </si>
  <si>
    <t>CF_NET_CHNG_CASH</t>
  </si>
  <si>
    <t>CF_FREE_CASH_FLOW_FIRM</t>
  </si>
  <si>
    <t>FREE_CASH_FLOW_EQUITY</t>
  </si>
  <si>
    <t>FREE_CASH_FLOW_PER_SH</t>
  </si>
  <si>
    <t>BEST_EPS</t>
  </si>
  <si>
    <t>BEST_DPS</t>
  </si>
  <si>
    <t>BEST_SALES</t>
  </si>
  <si>
    <t>BEST_EBITDA</t>
  </si>
  <si>
    <t>BEST_PTP</t>
  </si>
  <si>
    <t>BEST_NET_INCOME</t>
  </si>
  <si>
    <t>BEST_DPS_TO_EPS_ADJ</t>
  </si>
  <si>
    <t>BEST_OPP</t>
  </si>
  <si>
    <t>BEST_BPS</t>
  </si>
  <si>
    <t>BEST_NET_GAAP</t>
  </si>
  <si>
    <t>BEST_CAPEX</t>
  </si>
  <si>
    <t>Peers</t>
  </si>
  <si>
    <t>Index</t>
  </si>
  <si>
    <t>#N/A N/A</t>
  </si>
  <si>
    <t>10 Years Ago</t>
  </si>
  <si>
    <t>Six Months Ago</t>
  </si>
  <si>
    <t>%</t>
  </si>
  <si>
    <t>Sales</t>
  </si>
  <si>
    <t>EBIT</t>
  </si>
  <si>
    <t>Cash Flow Per Share</t>
  </si>
  <si>
    <t>BEST_EPS_BRK_GRID</t>
  </si>
  <si>
    <t>BEST_SALES_BRK_GRID</t>
  </si>
  <si>
    <t>BEST_EBITDA_BRK_GRID</t>
  </si>
  <si>
    <t>BEST_EBIT_BRK_GRID</t>
  </si>
  <si>
    <t>BEST_PTP_BRK_GRID</t>
  </si>
  <si>
    <t>BEST_NET_INCOME_BRK_GRID</t>
  </si>
  <si>
    <t>BEST_CPS_BRK_GRID</t>
  </si>
  <si>
    <t>BEST_DPS_BRK_GRID</t>
  </si>
  <si>
    <t>CAPEX</t>
  </si>
  <si>
    <t>BEST_CAPEX_BROKER_GRID</t>
  </si>
  <si>
    <t>EPS (Adjusted)</t>
  </si>
  <si>
    <t>EPS (GAAP)</t>
  </si>
  <si>
    <t>BEST_EPS_GAAP_BRK_GRID</t>
  </si>
  <si>
    <t>BEST_OP_INC_BRK_GRID</t>
  </si>
  <si>
    <t>Book Value per Share</t>
  </si>
  <si>
    <t>BEST_BPS_BRK_GRID</t>
  </si>
  <si>
    <t>BEST_ROE_BRK_GRID</t>
  </si>
  <si>
    <t>BEST_ROA_BRK_GRID</t>
  </si>
  <si>
    <t>Net Income (Adjusted)</t>
  </si>
  <si>
    <t>Net Income (GAAP)</t>
  </si>
  <si>
    <t>BEST_NET_INC_GAAP_BRK_GRID</t>
  </si>
  <si>
    <t>Net Debt</t>
  </si>
  <si>
    <t>BEST_NET_DEBT_BRK_GRID</t>
  </si>
  <si>
    <t>Goldman Sachs</t>
  </si>
  <si>
    <t>CF_FREE_CASH_FLOW</t>
  </si>
  <si>
    <t>BEST_CALCULATED_FCF</t>
  </si>
  <si>
    <t>BEST_EPS_GAAP</t>
  </si>
  <si>
    <t>BEST_EBIT</t>
  </si>
  <si>
    <t>BEST_CPS</t>
  </si>
  <si>
    <t>BEST_NET_DEBT</t>
  </si>
  <si>
    <t>Buy</t>
  </si>
  <si>
    <t>Hold</t>
  </si>
  <si>
    <t>Sell</t>
  </si>
  <si>
    <t>overweight</t>
  </si>
  <si>
    <t>buy</t>
  </si>
  <si>
    <t>hold</t>
  </si>
  <si>
    <t>St.Dev from Mean:</t>
  </si>
  <si>
    <t>BRITAIN</t>
  </si>
  <si>
    <t>UNITED STATES</t>
  </si>
  <si>
    <t>Pension Fund (ERISA)</t>
  </si>
  <si>
    <t>Insurance Company</t>
  </si>
  <si>
    <t>Bank</t>
  </si>
  <si>
    <t>BANK</t>
  </si>
  <si>
    <t>ENDOWMENT</t>
  </si>
  <si>
    <t>HEDGE FUND MANAGER</t>
  </si>
  <si>
    <t>INSURANCE COMPANY</t>
  </si>
  <si>
    <t>INVESTMENT ADVISOR</t>
  </si>
  <si>
    <t>MUTUAL FUND MANAGER</t>
  </si>
  <si>
    <t>PENSION FUND ERISA</t>
  </si>
  <si>
    <t>PUB RETIREMENT FUND</t>
  </si>
  <si>
    <t>PRIVATE EQUITY</t>
  </si>
  <si>
    <t>HOLDING COMPANY</t>
  </si>
  <si>
    <t>VENTURE CAPITAL</t>
  </si>
  <si>
    <t>CORPORATION</t>
  </si>
  <si>
    <t>GOVERNMENT</t>
  </si>
  <si>
    <t>OTHER</t>
  </si>
  <si>
    <t>TOP 20 ALL</t>
  </si>
  <si>
    <t>Local Currency</t>
  </si>
  <si>
    <t>EV to EBIT</t>
  </si>
  <si>
    <t>EV to SALES</t>
  </si>
  <si>
    <t>P/SALES</t>
  </si>
  <si>
    <t>EV/SALES</t>
  </si>
  <si>
    <t>Price Earnings Ratio (Rolling FY1, FY2, FY3)</t>
  </si>
  <si>
    <t>Price to Sales Ratio (Rolling FY1, FY2, FY3)</t>
  </si>
  <si>
    <t>Price to Book Ratio (Rolling FY1, FY2, FY3)</t>
  </si>
  <si>
    <t>EV EBITDA Ratio (Rolling FY1, FY2, FY3)</t>
  </si>
  <si>
    <t>EV to SALES Ratio (Rolling FY1, FY2, FY3)</t>
  </si>
  <si>
    <t>EV to EBIT Ratio (Rolling FY1, FY2, FY3)</t>
  </si>
  <si>
    <t>PX_LAST</t>
  </si>
  <si>
    <t>CURR_ENTP_VAL</t>
  </si>
  <si>
    <t>CUR_MKT_CAP</t>
  </si>
  <si>
    <t>Fundmtl Ticker</t>
  </si>
  <si>
    <t>CUR_RATIO</t>
  </si>
  <si>
    <t>QUICK_RATIO</t>
  </si>
  <si>
    <t>TOT_DEBT_TO_TOT_CAP</t>
  </si>
  <si>
    <t>TOT_DEBT_TO_TOT_EQY</t>
  </si>
  <si>
    <t>ASSET_TURNOVER</t>
  </si>
  <si>
    <t>INTEREST_COVERAGE_RATIO</t>
  </si>
  <si>
    <t>EFF_TAX_RATE</t>
  </si>
  <si>
    <t>ACCT_RCV_TURN</t>
  </si>
  <si>
    <t>ACCOUNTS_PAYABLE_TURNOVER</t>
  </si>
  <si>
    <t>INVENT_TURN</t>
  </si>
  <si>
    <t>Consensus Estimate (BEST)</t>
  </si>
  <si>
    <t>BEST Standard</t>
  </si>
  <si>
    <t>BEST Leading Indicator</t>
  </si>
  <si>
    <t>BEST Post Event</t>
  </si>
  <si>
    <t>Overview:</t>
  </si>
  <si>
    <t>Peers:</t>
  </si>
  <si>
    <t>Financials:</t>
  </si>
  <si>
    <t>Ratings:</t>
  </si>
  <si>
    <t>Owners:</t>
  </si>
  <si>
    <t>EST Brokers:</t>
  </si>
  <si>
    <t>VAL Graphs</t>
  </si>
  <si>
    <t>EST Detail:</t>
  </si>
  <si>
    <t>BEST_CUR_EV_TO_EBITDA</t>
  </si>
  <si>
    <t>Language</t>
  </si>
  <si>
    <t>English</t>
  </si>
  <si>
    <t>中文</t>
  </si>
  <si>
    <t>Government</t>
  </si>
  <si>
    <t>NORWAY</t>
  </si>
  <si>
    <t>NA</t>
  </si>
  <si>
    <t>CANADA</t>
  </si>
  <si>
    <t>MARKUS FRIEBEL</t>
  </si>
  <si>
    <t>Hedge Fund Manager</t>
  </si>
  <si>
    <t>neutral</t>
  </si>
  <si>
    <t>Ticker</t>
  </si>
  <si>
    <t>SWITZERLAND</t>
  </si>
  <si>
    <t>PERM DENIED</t>
  </si>
  <si>
    <t>ULT-AGG</t>
  </si>
  <si>
    <t>Consolidated</t>
  </si>
  <si>
    <t>Parent</t>
  </si>
  <si>
    <t>BEST_CURRENT_EV_BEST_EBIT</t>
  </si>
  <si>
    <t>CRNCY_ADJ_MKT_CAP</t>
  </si>
  <si>
    <t>CASH_AND_MARKETABLE_SECURITIES</t>
  </si>
  <si>
    <t>SHORT_AND_LONG_TERM_DEBT</t>
  </si>
  <si>
    <t>CRNCY_ADJ_CURR_EV</t>
  </si>
  <si>
    <t>UBS</t>
  </si>
  <si>
    <t>Last FY End</t>
  </si>
  <si>
    <t>-1FY</t>
  </si>
  <si>
    <t>-2FY</t>
  </si>
  <si>
    <t>-3FY</t>
  </si>
  <si>
    <t>-4FY</t>
  </si>
  <si>
    <t>-5FY</t>
  </si>
  <si>
    <t>-6FY</t>
  </si>
  <si>
    <t>NORTHERN TRUST CORPO</t>
  </si>
  <si>
    <t>BANK OF NEW YORK MEL</t>
  </si>
  <si>
    <t>GEODE CAPITAL MANAGE</t>
  </si>
  <si>
    <t>JAPAN</t>
  </si>
  <si>
    <t>Corporation</t>
  </si>
  <si>
    <t>Form 4</t>
  </si>
  <si>
    <t>13F</t>
  </si>
  <si>
    <t>Edward Jones</t>
  </si>
  <si>
    <t>IVAN FEINSETH</t>
  </si>
  <si>
    <t>Argus Research Corp</t>
  </si>
  <si>
    <t>MARCO GUENTHER</t>
  </si>
  <si>
    <t>FMR LLC</t>
  </si>
  <si>
    <t>日本語</t>
  </si>
  <si>
    <t>STATE STREET CORP</t>
  </si>
  <si>
    <t>Morningstar, Inc</t>
  </si>
  <si>
    <t>Erste Group</t>
  </si>
  <si>
    <t>Credit Suisse</t>
  </si>
  <si>
    <t>Back to top</t>
  </si>
  <si>
    <t>JPMorgan</t>
  </si>
  <si>
    <t>EVA Dimensions</t>
  </si>
  <si>
    <t>Atlantic Equities LLP</t>
  </si>
  <si>
    <t>BMO Capital Markets</t>
  </si>
  <si>
    <t>Jefferies</t>
  </si>
  <si>
    <t>Daiwa Securities Co. Ltd.</t>
  </si>
  <si>
    <t>JPMORGAN CHASE &amp; CO</t>
  </si>
  <si>
    <t>Societe Generale</t>
  </si>
  <si>
    <t>GERMANY</t>
  </si>
  <si>
    <t>HPQ US</t>
  </si>
  <si>
    <t>Stifel</t>
  </si>
  <si>
    <t>Cantor Fitzgerald</t>
  </si>
  <si>
    <t>Cowen and Company</t>
  </si>
  <si>
    <t>Hamburger Sparkasse</t>
  </si>
  <si>
    <t>Tigress Financial Partners</t>
  </si>
  <si>
    <t>Independent Research GmbH</t>
  </si>
  <si>
    <t>CM Research</t>
  </si>
  <si>
    <t>BLACKROCK</t>
  </si>
  <si>
    <t>TIAA-CREF</t>
  </si>
  <si>
    <t>NORGES BANK</t>
  </si>
  <si>
    <t>WELLS FARGO &amp; COMPAN</t>
  </si>
  <si>
    <t>JAMES KELLEHER</t>
  </si>
  <si>
    <t>KEITH F BACHMAN</t>
  </si>
  <si>
    <t>WILLIAM C KREHER</t>
  </si>
  <si>
    <t>KULBINDER GARCHA</t>
  </si>
  <si>
    <t>BRIAN J WHITE</t>
  </si>
  <si>
    <t>CYRUS MEWAWALLA</t>
  </si>
  <si>
    <t>BILL SHOPE</t>
  </si>
  <si>
    <t>STEVEN M MILUNOVICH</t>
  </si>
  <si>
    <t>sell</t>
  </si>
  <si>
    <t>market perform</t>
  </si>
  <si>
    <t>AMIT DARYANANI</t>
  </si>
  <si>
    <t>RBC Capital Markets</t>
  </si>
  <si>
    <t>outperform</t>
  </si>
  <si>
    <t>Positive</t>
  </si>
  <si>
    <t>no rating system</t>
  </si>
  <si>
    <t>market outperform</t>
  </si>
  <si>
    <t>Buy/Cautious</t>
  </si>
  <si>
    <t>strong buy</t>
  </si>
  <si>
    <t>suspended coverage</t>
  </si>
  <si>
    <t>Raymond James</t>
  </si>
  <si>
    <t>Oppenheimer &amp; Co</t>
  </si>
  <si>
    <t>ABG Sundal Collier</t>
  </si>
  <si>
    <t>Piper Jaffray</t>
  </si>
  <si>
    <t>Exane BNP Paribas</t>
  </si>
  <si>
    <t>Susquehanna Financial Group</t>
  </si>
  <si>
    <t>Robert W. Baird &amp; Co</t>
  </si>
  <si>
    <t>Cross Research</t>
  </si>
  <si>
    <t>ITG Investment Research</t>
  </si>
  <si>
    <t>Berenberg</t>
  </si>
  <si>
    <t>Monness, Crespi, Hardt &amp; Co</t>
  </si>
  <si>
    <t>JMP Securities</t>
  </si>
  <si>
    <t>FBN Securities</t>
  </si>
  <si>
    <t>Macquarie</t>
  </si>
  <si>
    <t>Mizuho Securities USA Inc</t>
  </si>
  <si>
    <t>Pacific Crest Securities</t>
  </si>
  <si>
    <t>Ameriprise Advisor Services, Inc</t>
  </si>
  <si>
    <t>Accountability Research Corp</t>
  </si>
  <si>
    <t>First Shanghai Securities Ltd</t>
  </si>
  <si>
    <t>Hilliard Lyons</t>
  </si>
  <si>
    <t>BGC Partners</t>
  </si>
  <si>
    <t>BTIG LLC</t>
  </si>
  <si>
    <t>William Blair &amp; Co</t>
  </si>
  <si>
    <t>Scotia Capital</t>
  </si>
  <si>
    <t>Cleveland Research Company</t>
  </si>
  <si>
    <t>6758 JP</t>
  </si>
  <si>
    <t>066570 KS</t>
  </si>
  <si>
    <t>CSCO US</t>
  </si>
  <si>
    <t>ALU FP</t>
  </si>
  <si>
    <t>ERICB SS</t>
  </si>
  <si>
    <t>COOK TIMOTHY DONALD</t>
  </si>
  <si>
    <t>GORE JR ALBERT ARNOLD</t>
  </si>
  <si>
    <t>FEDERIGHI CRAIG</t>
  </si>
  <si>
    <t>personal computing and mobile communication devices along with a variety of</t>
  </si>
  <si>
    <t>related software, services, peripherals, and networking solutions. The Company</t>
  </si>
  <si>
    <t>sells its products worldwide through its online stores, its retail stores, its</t>
  </si>
  <si>
    <t>direct sales force, third-party wholesalers, and resellers.</t>
  </si>
  <si>
    <t>Holding Company</t>
  </si>
  <si>
    <t>TAVIS C MCCOURT</t>
  </si>
  <si>
    <t>T MICHAEL WALKLEY</t>
  </si>
  <si>
    <t>ANDREW UERKWITZ</t>
  </si>
  <si>
    <t>ANDY PERKINS</t>
  </si>
  <si>
    <t>PER LINDBERG</t>
  </si>
  <si>
    <t>TIMOTHY M ARCURI</t>
  </si>
  <si>
    <t>EUGENE E MUNSTER</t>
  </si>
  <si>
    <t>ALEXANDER PETERC</t>
  </si>
  <si>
    <t>CHRISTOPHER CASO</t>
  </si>
  <si>
    <t>JAMES CORDWELL</t>
  </si>
  <si>
    <t>AARON C RAKERS</t>
  </si>
  <si>
    <t>WILLIAM V POWER</t>
  </si>
  <si>
    <t>SHANNON S CROSS</t>
  </si>
  <si>
    <t>MATTHEW GOODMAN</t>
  </si>
  <si>
    <t>SUNDEEP BAJIKAR</t>
  </si>
  <si>
    <t>ADNAAN AHMAD</t>
  </si>
  <si>
    <t>ROD HALL</t>
  </si>
  <si>
    <t>JEFFREY FIDACARO</t>
  </si>
  <si>
    <t>ALEX GAUNA</t>
  </si>
  <si>
    <t>BRIAN COLELLO</t>
  </si>
  <si>
    <t>SHEBLY SEYRAFI</t>
  </si>
  <si>
    <t>BENJAMIN A SCHACHTER</t>
  </si>
  <si>
    <t>ANDY HARGREAVES</t>
  </si>
  <si>
    <t>YOKO YAMADA</t>
  </si>
  <si>
    <t>JUSTIN H BURGIN</t>
  </si>
  <si>
    <t>KEVIN CHU</t>
  </si>
  <si>
    <t>TSOI HO</t>
  </si>
  <si>
    <t>STEPHEN TURNER</t>
  </si>
  <si>
    <t>COLIN W GILLIS</t>
  </si>
  <si>
    <t>WALTER P PIECYK JR</t>
  </si>
  <si>
    <t>ANIL K DORADLA</t>
  </si>
  <si>
    <t>DANIEL CHAN</t>
  </si>
  <si>
    <t>HANS ENGEL</t>
  </si>
  <si>
    <t>INVESCO LTD</t>
  </si>
  <si>
    <t>WELLINGTON MANAGEMEN</t>
  </si>
  <si>
    <t>T ROWE PRICE GROUP I</t>
  </si>
  <si>
    <t>GOLDMAN SACHS GROUP</t>
  </si>
  <si>
    <t>MORGAN STANLEY</t>
  </si>
  <si>
    <t>AMERIPRISE FIN GRP</t>
  </si>
  <si>
    <t>iPad</t>
  </si>
  <si>
    <t>Macintosh</t>
  </si>
  <si>
    <t>Services</t>
  </si>
  <si>
    <t>Other Products</t>
  </si>
  <si>
    <t>iPod</t>
  </si>
  <si>
    <t>Software, service, and other sales</t>
  </si>
  <si>
    <t>Europe</t>
  </si>
  <si>
    <t>Asia-Pacific (Australia &amp; Asia)</t>
  </si>
  <si>
    <t>Japan</t>
  </si>
  <si>
    <t>Retail (U.S., Canada, Japan, U.K.)</t>
  </si>
  <si>
    <t>AHRENDTS ANGELA J</t>
  </si>
  <si>
    <t>BB CN</t>
  </si>
  <si>
    <t>Maxim Group LLC</t>
  </si>
  <si>
    <t>FBR Capital Markets</t>
  </si>
  <si>
    <t>DANIEL H IVES</t>
  </si>
  <si>
    <t>NEHAL CHOKSHI</t>
  </si>
  <si>
    <t>TONI SACCONAGHI</t>
  </si>
  <si>
    <t>Brean Capital LLC</t>
  </si>
  <si>
    <t>SWEDEN</t>
  </si>
  <si>
    <t>Wells Fargo Securities</t>
  </si>
  <si>
    <t>MAYNARD UM</t>
  </si>
  <si>
    <t>AUSTIN BURKETT</t>
  </si>
  <si>
    <t>sector weight</t>
  </si>
  <si>
    <t>DEUTSCHE BANK AG</t>
  </si>
  <si>
    <t>Bernstein</t>
  </si>
  <si>
    <t>Morgan Stanley</t>
  </si>
  <si>
    <t>KATHRYN HUBERTY</t>
  </si>
  <si>
    <t>IS_OPERATING_EXPN</t>
  </si>
  <si>
    <t>Overwt/Cautious</t>
  </si>
  <si>
    <t>long-term buy</t>
  </si>
  <si>
    <t>BNP Paribas Equity Research</t>
  </si>
  <si>
    <t>Canaccord Genuity</t>
  </si>
  <si>
    <t>JEFFREY KVAAL</t>
  </si>
  <si>
    <t>ABHEY R LAMBA</t>
  </si>
  <si>
    <t>Nomura</t>
  </si>
  <si>
    <t>ICAHN ASSOCIATES HOL</t>
  </si>
  <si>
    <t>AAPL US</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</si>
</sst>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0.0%"/>
    <numFmt numFmtId="165" formatCode="#,##0.00\x"/>
    <numFmt numFmtId="166" formatCode="#,##0.0\x"/>
    <numFmt numFmtId="167" formatCode="0.0"/>
    <numFmt numFmtId="168" formatCode="0_);\(0\)"/>
    <numFmt numFmtId="169" formatCode="0.00_);\(0.00\)"/>
    <numFmt numFmtId="170" formatCode="[$-409]d\-mmm\-yy;@"/>
    <numFmt numFmtId="171" formatCode="_(* #,##0_);_(* \(#,##0\);_(* &quot;-&quot;??_);_(@_)"/>
  </numFmts>
  <fonts count="45">
    <font>
      <sz val="11"/>
      <color theme="1"/>
      <name val="Calibri"/>
      <family val="2"/>
      <scheme val="minor"/>
    </font>
    <font>
      <sz val="11"/>
      <color indexed="8"/>
      <name val="Calibri"/>
      <family val="2"/>
    </font>
    <font>
      <sz val="11"/>
      <color indexed="8"/>
      <name val="Calibri"/>
      <family val="2"/>
    </font>
    <font>
      <b/>
      <sz val="11"/>
      <color indexed="8"/>
      <name val="Calibri"/>
      <family val="2"/>
    </font>
    <font>
      <sz val="10"/>
      <color indexed="8"/>
      <name val="Calibri"/>
      <family val="2"/>
    </font>
    <font>
      <b/>
      <sz val="10"/>
      <color indexed="8"/>
      <name val="Calibri"/>
      <family val="2"/>
    </font>
    <font>
      <sz val="10"/>
      <name val="Arial"/>
      <family val="2"/>
    </font>
    <font>
      <sz val="10"/>
      <name val="Times New Roman"/>
      <family val="1"/>
    </font>
    <font>
      <sz val="8"/>
      <name val="Palatino"/>
      <family val="1"/>
    </font>
    <font>
      <sz val="8"/>
      <color indexed="16"/>
      <name val="Palatino"/>
      <family val="1"/>
    </font>
    <font>
      <sz val="7"/>
      <name val="Palatino"/>
      <family val="1"/>
    </font>
    <font>
      <sz val="6"/>
      <color indexed="16"/>
      <name val="Palatino"/>
      <family val="1"/>
    </font>
    <font>
      <sz val="10"/>
      <color indexed="16"/>
      <name val="Helvetica-Black"/>
    </font>
    <font>
      <b/>
      <sz val="9"/>
      <name val="Palatino"/>
      <family val="1"/>
    </font>
    <font>
      <sz val="9"/>
      <name val="Helvetica-Black"/>
    </font>
    <font>
      <sz val="11"/>
      <color indexed="8"/>
      <name val="Calibri"/>
      <family val="2"/>
    </font>
    <font>
      <sz val="8"/>
      <name val="Calibri"/>
      <family val="2"/>
    </font>
    <font>
      <sz val="11"/>
      <name val="Calibri"/>
      <family val="2"/>
    </font>
    <font>
      <b/>
      <sz val="14"/>
      <color indexed="8"/>
      <name val="Calibri"/>
      <family val="2"/>
    </font>
    <font>
      <b/>
      <sz val="12"/>
      <color indexed="8"/>
      <name val="Calibri"/>
      <family val="2"/>
    </font>
    <font>
      <b/>
      <sz val="11"/>
      <color indexed="10"/>
      <name val="Calibri"/>
      <family val="2"/>
    </font>
    <font>
      <u/>
      <sz val="10"/>
      <color indexed="12"/>
      <name val="Arial"/>
      <family val="2"/>
    </font>
    <font>
      <b/>
      <sz val="11"/>
      <name val="Calibri"/>
      <family val="2"/>
    </font>
    <font>
      <b/>
      <i/>
      <sz val="9"/>
      <color indexed="8"/>
      <name val="Calibri"/>
      <family val="2"/>
    </font>
    <font>
      <sz val="11"/>
      <color theme="1"/>
      <name val="Calibri"/>
      <family val="2"/>
      <scheme val="minor"/>
    </font>
    <font>
      <b/>
      <sz val="11"/>
      <color theme="1"/>
      <name val="Calibri"/>
      <family val="2"/>
      <scheme val="minor"/>
    </font>
    <font>
      <b/>
      <sz val="10"/>
      <color rgb="FF1F497D"/>
      <name val="Calibri"/>
      <family val="2"/>
    </font>
    <font>
      <b/>
      <sz val="14"/>
      <color rgb="FF1F497D"/>
      <name val="Calibri"/>
      <family val="2"/>
    </font>
    <font>
      <b/>
      <sz val="11"/>
      <color rgb="FF1F497D"/>
      <name val="Calibri"/>
      <family val="2"/>
      <scheme val="minor"/>
    </font>
    <font>
      <b/>
      <sz val="11"/>
      <color rgb="FF1F497D"/>
      <name val="Calibri"/>
      <family val="2"/>
    </font>
    <font>
      <b/>
      <sz val="11"/>
      <color rgb="FFFFFFFF"/>
      <name val="Calibri"/>
      <family val="2"/>
    </font>
    <font>
      <sz val="10"/>
      <color rgb="FF000000"/>
      <name val="Calibri"/>
      <family val="2"/>
    </font>
    <font>
      <b/>
      <sz val="11"/>
      <color rgb="FF000000"/>
      <name val="Calibri"/>
      <family val="2"/>
    </font>
    <font>
      <sz val="11"/>
      <color rgb="FF000000"/>
      <name val="Calibri"/>
      <family val="2"/>
    </font>
    <font>
      <sz val="11"/>
      <name val="Calibri"/>
      <family val="2"/>
      <scheme val="minor"/>
    </font>
    <font>
      <sz val="11"/>
      <color rgb="FF000000"/>
      <name val="Calibri"/>
      <family val="2"/>
      <scheme val="minor"/>
    </font>
    <font>
      <b/>
      <i/>
      <sz val="11"/>
      <color rgb="FF1F497D"/>
      <name val="Calibri"/>
      <family val="2"/>
    </font>
    <font>
      <b/>
      <sz val="11"/>
      <color theme="0"/>
      <name val="Calibri"/>
      <family val="2"/>
    </font>
    <font>
      <b/>
      <i/>
      <sz val="9"/>
      <color rgb="FF1F497D"/>
      <name val="Calibri"/>
      <family val="2"/>
    </font>
    <font>
      <b/>
      <i/>
      <sz val="11"/>
      <color rgb="FF1F497D"/>
      <name val="Calibri"/>
      <family val="2"/>
      <scheme val="minor"/>
    </font>
    <font>
      <i/>
      <sz val="9"/>
      <color rgb="FF000000"/>
      <name val="Calibri"/>
      <family val="2"/>
    </font>
    <font>
      <b/>
      <u/>
      <sz val="11"/>
      <color rgb="FFFFFFFF"/>
      <name val="Calibri"/>
      <family val="2"/>
    </font>
    <font>
      <b/>
      <u/>
      <sz val="11"/>
      <color rgb="FFFFFFFF"/>
      <name val="Calibri"/>
      <family val="2"/>
      <scheme val="minor"/>
    </font>
    <font>
      <sz val="8"/>
      <color rgb="FF000000"/>
      <name val="Tahoma"/>
      <family val="2"/>
    </font>
    <font>
      <b/>
      <sz val="12"/>
      <color rgb="FF1F497D"/>
      <name val="Calibri"/>
      <family val="2"/>
    </font>
  </fonts>
  <fills count="3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gradientFill>
        <stop position="0">
          <color rgb="FF1F497D"/>
        </stop>
        <stop position="0.5">
          <color rgb="FF4F81BD"/>
        </stop>
        <stop position="1">
          <color rgb="FF1F497D"/>
        </stop>
      </gradientFill>
    </fill>
    <fill>
      <gradientFill>
        <stop position="0">
          <color rgb="FF8DB4E2"/>
        </stop>
        <stop position="0.5">
          <color rgb="FFC5D9F1"/>
        </stop>
        <stop position="1">
          <color rgb="FF8DB4E2"/>
        </stop>
      </gradientFill>
    </fill>
    <fill>
      <gradientFill>
        <stop position="0">
          <color rgb="FFB8CCE4"/>
        </stop>
        <stop position="0.5">
          <color rgb="FFDCE6F1"/>
        </stop>
        <stop position="1">
          <color rgb="FFB8CCE4"/>
        </stop>
      </gradientFill>
    </fill>
    <fill>
      <patternFill patternType="solid">
        <fgColor rgb="FFFFFF00"/>
        <bgColor indexed="64"/>
      </patternFill>
    </fill>
    <fill>
      <gradientFill>
        <stop position="0">
          <color rgb="FFBFBFBF"/>
        </stop>
        <stop position="0.5">
          <color rgb="FFD9D9D9"/>
        </stop>
        <stop position="1">
          <color rgb="FFBFBFBF"/>
        </stop>
      </gradientFill>
    </fill>
    <fill>
      <gradientFill>
        <stop position="0">
          <color rgb="FFD9D9D9"/>
        </stop>
        <stop position="0.5">
          <color rgb="FFF2F2F2"/>
        </stop>
        <stop position="1">
          <color rgb="FFD9D9D9"/>
        </stop>
      </gradientFill>
    </fill>
    <fill>
      <gradientFill>
        <stop position="0">
          <color rgb="FF000000"/>
        </stop>
        <stop position="0.5">
          <color rgb="FF808080"/>
        </stop>
        <stop position="1">
          <color rgb="FF000000"/>
        </stop>
      </gradientFill>
    </fill>
    <fill>
      <patternFill patternType="solid">
        <fgColor theme="1"/>
        <bgColor indexed="55"/>
      </patternFill>
    </fill>
    <fill>
      <patternFill patternType="solid">
        <fgColor theme="0"/>
        <bgColor indexed="64"/>
      </patternFill>
    </fill>
    <fill>
      <patternFill patternType="solid">
        <fgColor rgb="FFFABF8F"/>
        <bgColor indexed="64"/>
      </patternFill>
    </fill>
    <fill>
      <patternFill patternType="solid">
        <fgColor rgb="FFFABF8F"/>
      </patternFill>
    </fill>
    <fill>
      <patternFill patternType="solid">
        <fgColor theme="9" tint="0.39997558519241921"/>
        <bgColor indexed="64"/>
      </patternFill>
    </fill>
    <fill>
      <patternFill patternType="solid">
        <fgColor theme="9" tint="0.39997558519241921"/>
        <bgColor indexed="62"/>
      </patternFill>
    </fill>
    <fill>
      <gradientFill>
        <stop position="0">
          <color theme="3"/>
        </stop>
        <stop position="0.5">
          <color theme="4"/>
        </stop>
        <stop position="1">
          <color theme="3"/>
        </stop>
      </gradientFill>
    </fill>
    <fill>
      <patternFill patternType="solid">
        <fgColor theme="9" tint="0.39994506668294322"/>
        <bgColor indexed="64"/>
      </patternFill>
    </fill>
    <fill>
      <gradientFill type="path" left="1">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right="1" top="1" bottom="1">
        <stop position="0">
          <color rgb="FFFFFFFF"/>
        </stop>
        <stop position="1">
          <color rgb="FFB8CCE4"/>
        </stop>
      </gradientFill>
    </fill>
    <fill>
      <gradientFill>
        <stop position="0">
          <color theme="0" tint="-0.1490218817712943"/>
        </stop>
        <stop position="0.5">
          <color theme="0" tint="-5.0965910824915313E-2"/>
        </stop>
        <stop position="1">
          <color theme="0" tint="-0.1490218817712943"/>
        </stop>
      </gradientFill>
    </fill>
    <fill>
      <gradientFill>
        <stop position="0">
          <color theme="0" tint="-0.49803155613879818"/>
        </stop>
        <stop position="0.5">
          <color theme="0" tint="-0.25098422193060094"/>
        </stop>
        <stop position="1">
          <color theme="0" tint="-0.49803155613879818"/>
        </stop>
      </gradientFill>
    </fill>
  </fills>
  <borders count="179">
    <border>
      <left/>
      <right/>
      <top/>
      <bottom/>
      <diagonal/>
    </border>
    <border>
      <left/>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9"/>
      </left>
      <right style="thin">
        <color indexed="8"/>
      </right>
      <top style="thin">
        <color indexed="8"/>
      </top>
      <bottom/>
      <diagonal/>
    </border>
    <border>
      <left style="thin">
        <color indexed="9"/>
      </left>
      <right/>
      <top style="thin">
        <color indexed="8"/>
      </top>
      <bottom style="thin">
        <color indexed="9"/>
      </bottom>
      <diagonal/>
    </border>
    <border>
      <left style="thin">
        <color indexed="9"/>
      </left>
      <right/>
      <top style="thin">
        <color indexed="9"/>
      </top>
      <bottom/>
      <diagonal/>
    </border>
    <border>
      <left/>
      <right style="thin">
        <color indexed="9"/>
      </right>
      <top style="thin">
        <color indexed="8"/>
      </top>
      <bottom style="thin">
        <color indexed="9"/>
      </bottom>
      <diagonal/>
    </border>
    <border>
      <left/>
      <right/>
      <top style="thin">
        <color indexed="8"/>
      </top>
      <bottom style="thin">
        <color indexed="9"/>
      </bottom>
      <diagonal/>
    </border>
    <border>
      <left/>
      <right/>
      <top style="thin">
        <color indexed="8"/>
      </top>
      <bottom/>
      <diagonal/>
    </border>
    <border>
      <left/>
      <right style="thin">
        <color indexed="9"/>
      </right>
      <top style="thin">
        <color indexed="9"/>
      </top>
      <bottom/>
      <diagonal/>
    </border>
    <border>
      <left/>
      <right/>
      <top style="thin">
        <color indexed="9"/>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8"/>
      </right>
      <top style="thin">
        <color indexed="9"/>
      </top>
      <bottom style="thin">
        <color indexed="9"/>
      </bottom>
      <diagonal/>
    </border>
    <border>
      <left style="thin">
        <color indexed="9"/>
      </left>
      <right style="thin">
        <color indexed="8"/>
      </right>
      <top style="thin">
        <color indexed="9"/>
      </top>
      <bottom style="thin">
        <color indexed="8"/>
      </bottom>
      <diagonal/>
    </border>
    <border>
      <left style="thin">
        <color indexed="9"/>
      </left>
      <right/>
      <top style="thin">
        <color indexed="9"/>
      </top>
      <bottom style="thin">
        <color indexed="64"/>
      </bottom>
      <diagonal/>
    </border>
    <border>
      <left style="thin">
        <color indexed="9"/>
      </left>
      <right style="thin">
        <color indexed="8"/>
      </right>
      <top style="thin">
        <color indexed="9"/>
      </top>
      <bottom style="thin">
        <color indexed="64"/>
      </bottom>
      <diagonal/>
    </border>
    <border>
      <left/>
      <right style="thin">
        <color indexed="9"/>
      </right>
      <top/>
      <bottom style="thin">
        <color indexed="8"/>
      </bottom>
      <diagonal/>
    </border>
    <border>
      <left style="thin">
        <color indexed="9"/>
      </left>
      <right style="thin">
        <color indexed="9"/>
      </right>
      <top/>
      <bottom/>
      <diagonal/>
    </border>
    <border>
      <left style="thin">
        <color indexed="9"/>
      </left>
      <right/>
      <top/>
      <bottom/>
      <diagonal/>
    </border>
    <border>
      <left style="thin">
        <color indexed="9"/>
      </left>
      <right style="thin">
        <color indexed="9"/>
      </right>
      <top/>
      <bottom style="thin">
        <color indexed="8"/>
      </bottom>
      <diagonal/>
    </border>
    <border>
      <left style="thin">
        <color indexed="9"/>
      </left>
      <right style="thin">
        <color indexed="9"/>
      </right>
      <top style="thin">
        <color indexed="9"/>
      </top>
      <bottom style="thin">
        <color indexed="64"/>
      </bottom>
      <diagonal/>
    </border>
    <border>
      <left/>
      <right style="thin">
        <color indexed="9"/>
      </right>
      <top/>
      <bottom/>
      <diagonal/>
    </border>
    <border>
      <left/>
      <right/>
      <top/>
      <bottom style="thin">
        <color indexed="8"/>
      </bottom>
      <diagonal/>
    </border>
    <border>
      <left style="thin">
        <color indexed="9"/>
      </left>
      <right style="thin">
        <color indexed="9"/>
      </right>
      <top style="thin">
        <color indexed="9"/>
      </top>
      <bottom style="thin">
        <color indexed="8"/>
      </bottom>
      <diagonal/>
    </border>
    <border>
      <left style="thin">
        <color indexed="9"/>
      </left>
      <right style="thin">
        <color indexed="8"/>
      </right>
      <top style="thin">
        <color indexed="8"/>
      </top>
      <bottom style="thin">
        <color indexed="9"/>
      </bottom>
      <diagonal/>
    </border>
    <border>
      <left style="thin">
        <color indexed="9"/>
      </left>
      <right style="thin">
        <color indexed="8"/>
      </right>
      <top/>
      <bottom style="thin">
        <color indexed="9"/>
      </bottom>
      <diagonal/>
    </border>
    <border>
      <left style="thin">
        <color indexed="8"/>
      </left>
      <right style="thin">
        <color indexed="9"/>
      </right>
      <top style="thin">
        <color indexed="9"/>
      </top>
      <bottom style="thin">
        <color indexed="9"/>
      </bottom>
      <diagonal/>
    </border>
    <border>
      <left/>
      <right style="thin">
        <color indexed="8"/>
      </right>
      <top style="thin">
        <color indexed="8"/>
      </top>
      <bottom style="thin">
        <color indexed="9"/>
      </bottom>
      <diagonal/>
    </border>
    <border>
      <left/>
      <right style="thin">
        <color indexed="8"/>
      </right>
      <top style="thin">
        <color indexed="9"/>
      </top>
      <bottom style="thin">
        <color indexed="9"/>
      </bottom>
      <diagonal/>
    </border>
    <border>
      <left style="thin">
        <color indexed="8"/>
      </left>
      <right style="thin">
        <color indexed="9"/>
      </right>
      <top style="thin">
        <color indexed="9"/>
      </top>
      <bottom style="thin">
        <color indexed="8"/>
      </bottom>
      <diagonal/>
    </border>
    <border>
      <left style="thin">
        <color indexed="9"/>
      </left>
      <right/>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8"/>
      </top>
      <bottom style="thin">
        <color indexed="9"/>
      </bottom>
      <diagonal/>
    </border>
    <border>
      <left style="thin">
        <color indexed="9"/>
      </left>
      <right style="thin">
        <color indexed="9"/>
      </right>
      <top style="thin">
        <color indexed="8"/>
      </top>
      <bottom style="thin">
        <color indexed="8"/>
      </bottom>
      <diagonal/>
    </border>
    <border>
      <left/>
      <right/>
      <top/>
      <bottom style="medium">
        <color indexed="23"/>
      </bottom>
      <diagonal/>
    </border>
    <border>
      <left style="thin">
        <color indexed="8"/>
      </left>
      <right style="thin">
        <color indexed="9"/>
      </right>
      <top style="thin">
        <color indexed="8"/>
      </top>
      <bottom style="thin">
        <color indexed="9"/>
      </bottom>
      <diagonal/>
    </border>
    <border>
      <left style="thin">
        <color indexed="9"/>
      </left>
      <right style="thin">
        <color indexed="64"/>
      </right>
      <top style="thin">
        <color indexed="8"/>
      </top>
      <bottom style="thin">
        <color indexed="9"/>
      </bottom>
      <diagonal/>
    </border>
    <border>
      <left style="thin">
        <color indexed="64"/>
      </left>
      <right style="thin">
        <color indexed="9"/>
      </right>
      <top style="thin">
        <color indexed="8"/>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8"/>
      </bottom>
      <diagonal/>
    </border>
    <border>
      <left style="thin">
        <color indexed="64"/>
      </left>
      <right style="thin">
        <color indexed="9"/>
      </right>
      <top style="thin">
        <color indexed="9"/>
      </top>
      <bottom style="thin">
        <color indexed="8"/>
      </bottom>
      <diagonal/>
    </border>
    <border>
      <left/>
      <right/>
      <top style="thin">
        <color indexed="9"/>
      </top>
      <bottom style="thin">
        <color indexed="9"/>
      </bottom>
      <diagonal/>
    </border>
    <border>
      <left style="thin">
        <color indexed="8"/>
      </left>
      <right style="thin">
        <color indexed="9"/>
      </right>
      <top/>
      <bottom style="thin">
        <color indexed="9"/>
      </bottom>
      <diagonal/>
    </border>
    <border>
      <left style="thin">
        <color indexed="9"/>
      </left>
      <right/>
      <top style="thin">
        <color indexed="8"/>
      </top>
      <bottom style="thin">
        <color indexed="8"/>
      </bottom>
      <diagonal/>
    </border>
    <border>
      <left style="thin">
        <color indexed="9"/>
      </left>
      <right style="thin">
        <color indexed="9"/>
      </right>
      <top style="thin">
        <color indexed="8"/>
      </top>
      <bottom/>
      <diagonal/>
    </border>
    <border>
      <left style="thin">
        <color indexed="8"/>
      </left>
      <right/>
      <top style="thin">
        <color indexed="8"/>
      </top>
      <bottom style="thin">
        <color indexed="9"/>
      </bottom>
      <diagonal/>
    </border>
    <border>
      <left style="thin">
        <color indexed="9"/>
      </left>
      <right/>
      <top style="thin">
        <color indexed="8"/>
      </top>
      <bottom/>
      <diagonal/>
    </border>
    <border>
      <left style="thin">
        <color indexed="9"/>
      </left>
      <right/>
      <top style="thin">
        <color indexed="9"/>
      </top>
      <bottom style="thin">
        <color indexed="8"/>
      </bottom>
      <diagonal/>
    </border>
    <border>
      <left/>
      <right/>
      <top style="thin">
        <color indexed="8"/>
      </top>
      <bottom style="thin">
        <color indexed="8"/>
      </bottom>
      <diagonal/>
    </border>
    <border>
      <left style="thin">
        <color indexed="8"/>
      </left>
      <right style="thin">
        <color indexed="9"/>
      </right>
      <top/>
      <bottom style="thin">
        <color indexed="8"/>
      </bottom>
      <diagonal/>
    </border>
    <border>
      <left style="thin">
        <color indexed="9"/>
      </left>
      <right style="thin">
        <color indexed="8"/>
      </right>
      <top/>
      <bottom style="thin">
        <color indexed="8"/>
      </bottom>
      <diagonal/>
    </border>
    <border>
      <left/>
      <right style="thin">
        <color indexed="9"/>
      </right>
      <top style="thin">
        <color indexed="9"/>
      </top>
      <bottom style="thin">
        <color indexed="9"/>
      </bottom>
      <diagonal/>
    </border>
    <border>
      <left style="thin">
        <color indexed="8"/>
      </left>
      <right style="thin">
        <color indexed="9"/>
      </right>
      <top/>
      <bottom/>
      <diagonal/>
    </border>
    <border>
      <left style="thin">
        <color indexed="9"/>
      </left>
      <right style="thin">
        <color indexed="8"/>
      </right>
      <top/>
      <bottom/>
      <diagonal/>
    </border>
    <border>
      <left/>
      <right style="thin">
        <color indexed="9"/>
      </right>
      <top style="thin">
        <color indexed="9"/>
      </top>
      <bottom style="thin">
        <color indexed="8"/>
      </bottom>
      <diagonal/>
    </border>
    <border>
      <left style="thin">
        <color indexed="9"/>
      </left>
      <right style="thin">
        <color indexed="9"/>
      </right>
      <top style="thin">
        <color indexed="9"/>
      </top>
      <bottom/>
      <diagonal/>
    </border>
    <border>
      <left style="thin">
        <color indexed="9"/>
      </left>
      <right style="thin">
        <color indexed="8"/>
      </right>
      <top style="thin">
        <color indexed="9"/>
      </top>
      <bottom/>
      <diagonal/>
    </border>
    <border>
      <left style="thin">
        <color indexed="8"/>
      </left>
      <right/>
      <top style="thin">
        <color indexed="9"/>
      </top>
      <bottom style="thin">
        <color indexed="8"/>
      </bottom>
      <diagonal/>
    </border>
    <border>
      <left/>
      <right/>
      <top style="thin">
        <color indexed="9"/>
      </top>
      <bottom style="thin">
        <color indexed="8"/>
      </bottom>
      <diagonal/>
    </border>
    <border>
      <left style="thin">
        <color indexed="8"/>
      </left>
      <right/>
      <top style="thin">
        <color indexed="9"/>
      </top>
      <bottom style="thin">
        <color indexed="9"/>
      </bottom>
      <diagonal/>
    </border>
    <border>
      <left style="thin">
        <color indexed="64"/>
      </left>
      <right style="thin">
        <color indexed="9"/>
      </right>
      <top style="thin">
        <color indexed="64"/>
      </top>
      <bottom style="thin">
        <color indexed="64"/>
      </bottom>
      <diagonal/>
    </border>
    <border>
      <left style="thin">
        <color indexed="8"/>
      </left>
      <right/>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64"/>
      </bottom>
      <diagonal/>
    </border>
    <border>
      <left style="thin">
        <color indexed="8"/>
      </left>
      <right/>
      <top style="thin">
        <color indexed="8"/>
      </top>
      <bottom/>
      <diagonal/>
    </border>
    <border>
      <left/>
      <right style="thin">
        <color indexed="9"/>
      </right>
      <top style="thin">
        <color indexed="8"/>
      </top>
      <bottom/>
      <diagonal/>
    </border>
    <border>
      <left style="thin">
        <color indexed="8"/>
      </left>
      <right style="thin">
        <color indexed="9"/>
      </right>
      <top style="thin">
        <color indexed="9"/>
      </top>
      <bottom style="thin">
        <color indexed="64"/>
      </bottom>
      <diagonal/>
    </border>
    <border>
      <left style="thin">
        <color indexed="8"/>
      </left>
      <right/>
      <top style="thin">
        <color indexed="9"/>
      </top>
      <bottom style="thin">
        <color indexed="64"/>
      </bottom>
      <diagonal/>
    </border>
    <border>
      <left/>
      <right style="thin">
        <color indexed="8"/>
      </right>
      <top style="thin">
        <color indexed="9"/>
      </top>
      <bottom style="thin">
        <color indexed="8"/>
      </bottom>
      <diagonal/>
    </border>
    <border>
      <left/>
      <right style="thin">
        <color indexed="8"/>
      </right>
      <top/>
      <bottom style="thin">
        <color indexed="9"/>
      </bottom>
      <diagonal/>
    </border>
    <border>
      <left style="thin">
        <color indexed="8"/>
      </left>
      <right/>
      <top/>
      <bottom/>
      <diagonal/>
    </border>
    <border>
      <left style="thin">
        <color indexed="8"/>
      </left>
      <right/>
      <top/>
      <bottom style="thin">
        <color indexed="64"/>
      </bottom>
      <diagonal/>
    </border>
    <border>
      <left/>
      <right style="thin">
        <color indexed="9"/>
      </right>
      <top/>
      <bottom style="thin">
        <color indexed="64"/>
      </bottom>
      <diagonal/>
    </border>
    <border>
      <left style="thin">
        <color indexed="9"/>
      </left>
      <right/>
      <top/>
      <bottom style="thin">
        <color indexed="64"/>
      </bottom>
      <diagonal/>
    </border>
    <border>
      <left style="thin">
        <color indexed="64"/>
      </left>
      <right/>
      <top/>
      <bottom style="thin">
        <color indexed="9"/>
      </bottom>
      <diagonal/>
    </border>
    <border>
      <left style="thin">
        <color indexed="9"/>
      </left>
      <right style="thin">
        <color indexed="8"/>
      </right>
      <top/>
      <bottom style="thin">
        <color indexed="64"/>
      </bottom>
      <diagonal/>
    </border>
    <border>
      <left style="thin">
        <color indexed="8"/>
      </left>
      <right/>
      <top style="thin">
        <color indexed="8"/>
      </top>
      <bottom style="thin">
        <color indexed="8"/>
      </bottom>
      <diagonal/>
    </border>
    <border>
      <left/>
      <right style="thin">
        <color indexed="9"/>
      </right>
      <top style="thin">
        <color indexed="8"/>
      </top>
      <bottom style="thin">
        <color indexed="8"/>
      </bottom>
      <diagonal/>
    </border>
    <border>
      <left/>
      <right/>
      <top style="thin">
        <color indexed="9"/>
      </top>
      <bottom style="thin">
        <color indexed="64"/>
      </bottom>
      <diagonal/>
    </border>
    <border>
      <left/>
      <right style="thin">
        <color indexed="8"/>
      </right>
      <top style="thin">
        <color indexed="8"/>
      </top>
      <bottom/>
      <diagonal/>
    </border>
    <border>
      <left style="thin">
        <color indexed="8"/>
      </left>
      <right style="thin">
        <color indexed="9"/>
      </right>
      <top style="thin">
        <color theme="0"/>
      </top>
      <bottom style="thin">
        <color theme="0"/>
      </bottom>
      <diagonal/>
    </border>
    <border>
      <left style="thin">
        <color indexed="9"/>
      </left>
      <right style="thin">
        <color indexed="9"/>
      </right>
      <top style="thin">
        <color theme="0"/>
      </top>
      <bottom style="thin">
        <color theme="0"/>
      </bottom>
      <diagonal/>
    </border>
    <border>
      <left/>
      <right style="thin">
        <color indexed="8"/>
      </right>
      <top style="thin">
        <color theme="0"/>
      </top>
      <bottom style="thin">
        <color theme="0"/>
      </bottom>
      <diagonal/>
    </border>
    <border>
      <left style="thin">
        <color indexed="8"/>
      </left>
      <right style="thin">
        <color indexed="9"/>
      </right>
      <top style="thin">
        <color indexed="9"/>
      </top>
      <bottom style="thin">
        <color theme="0"/>
      </bottom>
      <diagonal/>
    </border>
    <border>
      <left style="thin">
        <color indexed="9"/>
      </left>
      <right style="thin">
        <color indexed="9"/>
      </right>
      <top style="thin">
        <color indexed="9"/>
      </top>
      <bottom style="thin">
        <color theme="0"/>
      </bottom>
      <diagonal/>
    </border>
    <border>
      <left style="thin">
        <color indexed="9"/>
      </left>
      <right style="thin">
        <color indexed="8"/>
      </right>
      <top style="thin">
        <color indexed="9"/>
      </top>
      <bottom style="thin">
        <color theme="0"/>
      </bottom>
      <diagonal/>
    </border>
    <border>
      <left/>
      <right/>
      <top style="thin">
        <color indexed="8"/>
      </top>
      <bottom style="thin">
        <color theme="0"/>
      </bottom>
      <diagonal/>
    </border>
    <border>
      <left style="thin">
        <color indexed="64"/>
      </left>
      <right style="thin">
        <color indexed="9"/>
      </right>
      <top style="thin">
        <color theme="0"/>
      </top>
      <bottom style="thin">
        <color indexed="64"/>
      </bottom>
      <diagonal/>
    </border>
    <border>
      <left style="thin">
        <color indexed="9"/>
      </left>
      <right style="thin">
        <color indexed="9"/>
      </right>
      <top style="thin">
        <color theme="0"/>
      </top>
      <bottom style="thin">
        <color indexed="64"/>
      </bottom>
      <diagonal/>
    </border>
    <border>
      <left style="thin">
        <color indexed="8"/>
      </left>
      <right style="thin">
        <color indexed="9"/>
      </right>
      <top style="thin">
        <color theme="0"/>
      </top>
      <bottom style="thin">
        <color indexed="8"/>
      </bottom>
      <diagonal/>
    </border>
    <border>
      <left style="thin">
        <color indexed="9"/>
      </left>
      <right style="thin">
        <color indexed="9"/>
      </right>
      <top style="thin">
        <color theme="0"/>
      </top>
      <bottom style="thin">
        <color indexed="8"/>
      </bottom>
      <diagonal/>
    </border>
    <border>
      <left style="thin">
        <color indexed="9"/>
      </left>
      <right style="thin">
        <color indexed="8"/>
      </right>
      <top style="thin">
        <color theme="0"/>
      </top>
      <bottom style="thin">
        <color indexed="8"/>
      </bottom>
      <diagonal/>
    </border>
    <border>
      <left style="thin">
        <color theme="0"/>
      </left>
      <right style="thin">
        <color indexed="9"/>
      </right>
      <top style="thin">
        <color indexed="9"/>
      </top>
      <bottom style="thin">
        <color indexed="9"/>
      </bottom>
      <diagonal/>
    </border>
    <border>
      <left style="thin">
        <color indexed="9"/>
      </left>
      <right style="thin">
        <color indexed="8"/>
      </right>
      <top style="thin">
        <color theme="0"/>
      </top>
      <bottom style="thin">
        <color theme="0"/>
      </bottom>
      <diagonal/>
    </border>
    <border>
      <left style="thin">
        <color indexed="8"/>
      </left>
      <right/>
      <top style="thin">
        <color indexed="8"/>
      </top>
      <bottom style="thin">
        <color theme="0"/>
      </bottom>
      <diagonal/>
    </border>
    <border>
      <left/>
      <right style="thin">
        <color indexed="8"/>
      </right>
      <top style="thin">
        <color indexed="8"/>
      </top>
      <bottom style="thin">
        <color theme="0"/>
      </bottom>
      <diagonal/>
    </border>
    <border>
      <left style="thin">
        <color indexed="9"/>
      </left>
      <right style="thin">
        <color indexed="9"/>
      </right>
      <top style="thin">
        <color theme="0"/>
      </top>
      <bottom style="thin">
        <color indexed="9"/>
      </bottom>
      <diagonal/>
    </border>
    <border>
      <left style="thin">
        <color indexed="9"/>
      </left>
      <right/>
      <top style="thin">
        <color theme="0"/>
      </top>
      <bottom style="thin">
        <color indexed="9"/>
      </bottom>
      <diagonal/>
    </border>
    <border>
      <left style="thin">
        <color indexed="9"/>
      </left>
      <right style="thin">
        <color indexed="9"/>
      </right>
      <top style="thin">
        <color indexed="8"/>
      </top>
      <bottom style="thin">
        <color theme="0"/>
      </bottom>
      <diagonal/>
    </border>
    <border>
      <left style="thin">
        <color indexed="9"/>
      </left>
      <right style="thin">
        <color indexed="64"/>
      </right>
      <top style="thin">
        <color indexed="8"/>
      </top>
      <bottom style="thin">
        <color theme="0"/>
      </bottom>
      <diagonal/>
    </border>
    <border>
      <left style="thin">
        <color indexed="9"/>
      </left>
      <right style="thin">
        <color indexed="8"/>
      </right>
      <top style="thin">
        <color theme="0"/>
      </top>
      <bottom style="thin">
        <color indexed="9"/>
      </bottom>
      <diagonal/>
    </border>
    <border>
      <left style="thin">
        <color indexed="8"/>
      </left>
      <right style="thin">
        <color indexed="9"/>
      </right>
      <top/>
      <bottom style="thin">
        <color theme="0"/>
      </bottom>
      <diagonal/>
    </border>
    <border>
      <left style="thin">
        <color indexed="9"/>
      </left>
      <right style="thin">
        <color indexed="9"/>
      </right>
      <top/>
      <bottom style="thin">
        <color theme="0"/>
      </bottom>
      <diagonal/>
    </border>
    <border>
      <left style="thin">
        <color indexed="9"/>
      </left>
      <right style="thin">
        <color indexed="8"/>
      </right>
      <top/>
      <bottom style="thin">
        <color theme="0"/>
      </bottom>
      <diagonal/>
    </border>
    <border>
      <left style="thin">
        <color indexed="8"/>
      </left>
      <right style="thin">
        <color indexed="9"/>
      </right>
      <top style="thin">
        <color indexed="8"/>
      </top>
      <bottom style="thin">
        <color theme="0"/>
      </bottom>
      <diagonal/>
    </border>
    <border>
      <left/>
      <right style="thin">
        <color indexed="9"/>
      </right>
      <top style="thin">
        <color theme="0"/>
      </top>
      <bottom style="thin">
        <color indexed="8"/>
      </bottom>
      <diagonal/>
    </border>
    <border>
      <left/>
      <right style="thin">
        <color indexed="9"/>
      </right>
      <top style="thin">
        <color theme="0"/>
      </top>
      <bottom style="thin">
        <color indexed="9"/>
      </bottom>
      <diagonal/>
    </border>
    <border>
      <left style="thin">
        <color theme="0"/>
      </left>
      <right style="thin">
        <color indexed="9"/>
      </right>
      <top/>
      <bottom style="thin">
        <color indexed="9"/>
      </bottom>
      <diagonal/>
    </border>
    <border>
      <left style="thin">
        <color indexed="9"/>
      </left>
      <right style="thin">
        <color theme="0"/>
      </right>
      <top style="thin">
        <color indexed="64"/>
      </top>
      <bottom style="thin">
        <color indexed="64"/>
      </bottom>
      <diagonal/>
    </border>
    <border>
      <left style="thin">
        <color theme="0"/>
      </left>
      <right/>
      <top style="thin">
        <color theme="0"/>
      </top>
      <bottom style="thin">
        <color indexed="64"/>
      </bottom>
      <diagonal/>
    </border>
    <border>
      <left/>
      <right style="thin">
        <color indexed="64"/>
      </right>
      <top style="thin">
        <color theme="0"/>
      </top>
      <bottom style="thin">
        <color indexed="64"/>
      </bottom>
      <diagonal/>
    </border>
    <border>
      <left style="thin">
        <color indexed="9"/>
      </left>
      <right style="thin">
        <color theme="0"/>
      </right>
      <top style="thin">
        <color indexed="8"/>
      </top>
      <bottom style="thin">
        <color indexed="9"/>
      </bottom>
      <diagonal/>
    </border>
    <border>
      <left style="thin">
        <color indexed="9"/>
      </left>
      <right style="thin">
        <color theme="0"/>
      </right>
      <top style="thin">
        <color indexed="9"/>
      </top>
      <bottom style="thin">
        <color indexed="9"/>
      </bottom>
      <diagonal/>
    </border>
    <border>
      <left style="thin">
        <color indexed="9"/>
      </left>
      <right/>
      <top style="thin">
        <color indexed="9"/>
      </top>
      <bottom style="thin">
        <color theme="0"/>
      </bottom>
      <diagonal/>
    </border>
    <border>
      <left style="thin">
        <color indexed="9"/>
      </left>
      <right style="thin">
        <color indexed="8"/>
      </right>
      <top style="thin">
        <color indexed="8"/>
      </top>
      <bottom style="thin">
        <color theme="0"/>
      </bottom>
      <diagonal/>
    </border>
    <border>
      <left style="thin">
        <color theme="0"/>
      </left>
      <right/>
      <top style="thin">
        <color indexed="8"/>
      </top>
      <bottom style="thin">
        <color theme="0"/>
      </bottom>
      <diagonal/>
    </border>
    <border>
      <left style="thin">
        <color theme="0"/>
      </left>
      <right/>
      <top style="thin">
        <color theme="0"/>
      </top>
      <bottom style="thin">
        <color theme="0"/>
      </bottom>
      <diagonal/>
    </border>
    <border>
      <left/>
      <right style="thin">
        <color indexed="64"/>
      </right>
      <top style="thin">
        <color theme="0"/>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style="thin">
        <color indexed="8"/>
      </left>
      <right/>
      <top style="thin">
        <color theme="0"/>
      </top>
      <bottom style="thin">
        <color indexed="9"/>
      </bottom>
      <diagonal/>
    </border>
    <border>
      <left/>
      <right/>
      <top style="thin">
        <color theme="0"/>
      </top>
      <bottom style="thin">
        <color indexed="9"/>
      </bottom>
      <diagonal/>
    </border>
    <border>
      <left style="thin">
        <color indexed="9"/>
      </left>
      <right/>
      <top style="thin">
        <color indexed="8"/>
      </top>
      <bottom style="thin">
        <color theme="0"/>
      </bottom>
      <diagonal/>
    </border>
    <border>
      <left style="thin">
        <color indexed="64"/>
      </left>
      <right/>
      <top/>
      <bottom style="thin">
        <color theme="0"/>
      </bottom>
      <diagonal/>
    </border>
    <border>
      <left/>
      <right/>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style="thin">
        <color indexed="9"/>
      </right>
      <top style="thin">
        <color indexed="9"/>
      </top>
      <bottom style="thin">
        <color theme="0"/>
      </bottom>
      <diagonal/>
    </border>
    <border>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style="thin">
        <color theme="0"/>
      </bottom>
      <diagonal/>
    </border>
    <border>
      <left/>
      <right/>
      <top style="thin">
        <color indexed="9"/>
      </top>
      <bottom style="thin">
        <color theme="0"/>
      </bottom>
      <diagonal/>
    </border>
    <border>
      <left/>
      <right style="thin">
        <color theme="0"/>
      </right>
      <top style="thin">
        <color indexed="8"/>
      </top>
      <bottom style="thin">
        <color indexed="9"/>
      </bottom>
      <diagonal/>
    </border>
    <border>
      <left style="thin">
        <color theme="0"/>
      </left>
      <right/>
      <top style="thin">
        <color indexed="8"/>
      </top>
      <bottom style="thin">
        <color indexed="9"/>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indexed="8"/>
      </left>
      <right/>
      <top/>
      <bottom style="thin">
        <color theme="0"/>
      </bottom>
      <diagonal/>
    </border>
    <border>
      <left/>
      <right style="thin">
        <color indexed="9"/>
      </right>
      <top/>
      <bottom style="thin">
        <color theme="0"/>
      </bottom>
      <diagonal/>
    </border>
    <border>
      <left style="thin">
        <color indexed="8"/>
      </left>
      <right/>
      <top style="thin">
        <color theme="0"/>
      </top>
      <bottom style="thin">
        <color theme="0"/>
      </bottom>
      <diagonal/>
    </border>
    <border>
      <left/>
      <right style="thin">
        <color indexed="9"/>
      </right>
      <top style="thin">
        <color theme="0"/>
      </top>
      <bottom style="thin">
        <color theme="0"/>
      </bottom>
      <diagonal/>
    </border>
    <border>
      <left/>
      <right style="thin">
        <color indexed="9"/>
      </right>
      <top style="thin">
        <color indexed="8"/>
      </top>
      <bottom style="thin">
        <color theme="0"/>
      </bottom>
      <diagonal/>
    </border>
    <border>
      <left/>
      <right style="thin">
        <color indexed="8"/>
      </right>
      <top style="thin">
        <color theme="0"/>
      </top>
      <bottom style="thin">
        <color indexed="9"/>
      </bottom>
      <diagonal/>
    </border>
    <border>
      <left style="thin">
        <color indexed="64"/>
      </left>
      <right style="thin">
        <color rgb="FF8DB4E2"/>
      </right>
      <top style="thin">
        <color indexed="64"/>
      </top>
      <bottom style="thin">
        <color indexed="64"/>
      </bottom>
      <diagonal/>
    </border>
    <border>
      <left style="thin">
        <color rgb="FF8DB4E2"/>
      </left>
      <right style="thin">
        <color rgb="FF8DB4E2"/>
      </right>
      <top style="thin">
        <color indexed="64"/>
      </top>
      <bottom style="thin">
        <color indexed="64"/>
      </bottom>
      <diagonal/>
    </border>
    <border>
      <left style="thin">
        <color rgb="FF8DB4E2"/>
      </left>
      <right style="thin">
        <color indexed="64"/>
      </right>
      <top style="thin">
        <color indexed="64"/>
      </top>
      <bottom style="thin">
        <color indexed="64"/>
      </bottom>
      <diagonal/>
    </border>
    <border>
      <left/>
      <right style="thin">
        <color theme="0"/>
      </right>
      <top style="thin">
        <color indexed="9"/>
      </top>
      <bottom style="thin">
        <color indexed="9"/>
      </bottom>
      <diagonal/>
    </border>
    <border>
      <left style="thin">
        <color theme="0"/>
      </left>
      <right style="thin">
        <color theme="0"/>
      </right>
      <top style="thin">
        <color indexed="9"/>
      </top>
      <bottom style="thin">
        <color indexed="9"/>
      </bottom>
      <diagonal/>
    </border>
    <border>
      <left style="thin">
        <color theme="0"/>
      </left>
      <right style="thin">
        <color theme="0"/>
      </right>
      <top style="thin">
        <color indexed="9"/>
      </top>
      <bottom style="thin">
        <color theme="0"/>
      </bottom>
      <diagonal/>
    </border>
    <border>
      <left style="thin">
        <color theme="0"/>
      </left>
      <right style="thin">
        <color indexed="8"/>
      </right>
      <top style="thin">
        <color indexed="9"/>
      </top>
      <bottom style="thin">
        <color theme="0"/>
      </bottom>
      <diagonal/>
    </border>
    <border>
      <left/>
      <right style="thin">
        <color theme="0"/>
      </right>
      <top style="thin">
        <color indexed="64"/>
      </top>
      <bottom style="thin">
        <color indexed="64"/>
      </bottom>
      <diagonal/>
    </border>
    <border>
      <left style="thin">
        <color indexed="8"/>
      </left>
      <right/>
      <top style="thin">
        <color indexed="9"/>
      </top>
      <bottom style="thin">
        <color theme="0"/>
      </bottom>
      <diagonal/>
    </border>
    <border>
      <left/>
      <right style="thin">
        <color theme="0"/>
      </right>
      <top style="thin">
        <color indexed="9"/>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8"/>
      </right>
      <top style="thin">
        <color indexed="9"/>
      </top>
      <bottom style="thin">
        <color indexed="9"/>
      </bottom>
      <diagonal/>
    </border>
    <border>
      <left style="thin">
        <color theme="0"/>
      </left>
      <right style="thin">
        <color theme="0"/>
      </right>
      <top style="thin">
        <color theme="0"/>
      </top>
      <bottom style="thin">
        <color indexed="64"/>
      </bottom>
      <diagonal/>
    </border>
    <border>
      <left style="thin">
        <color theme="0"/>
      </left>
      <right style="thin">
        <color indexed="8"/>
      </right>
      <top style="thin">
        <color theme="0"/>
      </top>
      <bottom style="thin">
        <color indexed="64"/>
      </bottom>
      <diagonal/>
    </border>
    <border>
      <left style="thin">
        <color indexed="8"/>
      </left>
      <right style="thin">
        <color indexed="9"/>
      </right>
      <top style="thin">
        <color indexed="9"/>
      </top>
      <bottom/>
      <diagonal/>
    </border>
    <border>
      <left style="thin">
        <color indexed="64"/>
      </left>
      <right/>
      <top style="thin">
        <color indexed="8"/>
      </top>
      <bottom/>
      <diagonal/>
    </border>
    <border>
      <left style="thin">
        <color indexed="64"/>
      </left>
      <right/>
      <top style="thin">
        <color indexed="9"/>
      </top>
      <bottom style="thin">
        <color indexed="9"/>
      </bottom>
      <diagonal/>
    </border>
    <border>
      <left style="thin">
        <color indexed="64"/>
      </left>
      <right/>
      <top style="thin">
        <color indexed="9"/>
      </top>
      <bottom style="thin">
        <color indexed="64"/>
      </bottom>
      <diagonal/>
    </border>
    <border>
      <left style="thin">
        <color indexed="64"/>
      </left>
      <right/>
      <top style="thin">
        <color indexed="9"/>
      </top>
      <bottom/>
      <diagonal/>
    </border>
  </borders>
  <cellStyleXfs count="27">
    <xf numFmtId="0" fontId="0" fillId="0" borderId="0"/>
    <xf numFmtId="0" fontId="6" fillId="0" borderId="0"/>
    <xf numFmtId="0" fontId="7" fillId="2" borderId="0"/>
    <xf numFmtId="43" fontId="24" fillId="0" borderId="0" applyFont="0" applyFill="0" applyBorder="0" applyAlignment="0" applyProtection="0"/>
    <xf numFmtId="0" fontId="8" fillId="0" borderId="0" applyFont="0" applyFill="0" applyBorder="0" applyAlignment="0" applyProtection="0">
      <alignment horizontal="right"/>
    </xf>
    <xf numFmtId="0" fontId="8" fillId="0" borderId="0" applyFont="0" applyFill="0" applyBorder="0" applyAlignment="0" applyProtection="0"/>
    <xf numFmtId="0" fontId="8" fillId="0" borderId="0" applyFont="0" applyFill="0" applyBorder="0" applyAlignment="0" applyProtection="0">
      <alignment horizontal="right"/>
    </xf>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alignment horizontal="right"/>
    </xf>
    <xf numFmtId="0" fontId="9" fillId="0" borderId="0" applyFont="0" applyFill="0" applyBorder="0" applyAlignment="0" applyProtection="0"/>
    <xf numFmtId="0" fontId="9"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10" fillId="0" borderId="0" applyFill="0" applyBorder="0" applyProtection="0">
      <alignment horizontal="left"/>
    </xf>
    <xf numFmtId="0" fontId="8" fillId="0" borderId="0" applyFont="0" applyFill="0" applyBorder="0" applyAlignment="0" applyProtection="0">
      <alignment horizontal="right"/>
    </xf>
    <xf numFmtId="0" fontId="11" fillId="0" borderId="0" applyProtection="0">
      <alignment horizontal="right"/>
    </xf>
    <xf numFmtId="0" fontId="21" fillId="0" borderId="0" applyNumberFormat="0" applyFill="0" applyBorder="0" applyAlignment="0" applyProtection="0">
      <alignment vertical="top"/>
      <protection locked="0"/>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1" fontId="12" fillId="0" borderId="0" applyProtection="0">
      <alignment horizontal="right" vertical="center"/>
    </xf>
    <xf numFmtId="0" fontId="9" fillId="0" borderId="0" applyFont="0" applyFill="0" applyBorder="0" applyAlignment="0" applyProtection="0"/>
    <xf numFmtId="0" fontId="13" fillId="0" borderId="0" applyBorder="0" applyProtection="0">
      <alignment vertical="center"/>
    </xf>
    <xf numFmtId="0" fontId="13" fillId="0" borderId="1" applyBorder="0" applyProtection="0">
      <alignment horizontal="right" vertical="center"/>
    </xf>
    <xf numFmtId="0" fontId="14" fillId="0" borderId="0" applyFill="0" applyBorder="0" applyProtection="0">
      <alignment horizontal="left"/>
    </xf>
    <xf numFmtId="0" fontId="10" fillId="0" borderId="2" applyFill="0" applyBorder="0" applyProtection="0">
      <alignment horizontal="left" vertical="top"/>
    </xf>
  </cellStyleXfs>
  <cellXfs count="1043">
    <xf numFmtId="0" fontId="0" fillId="0" borderId="0" xfId="0"/>
    <xf numFmtId="0" fontId="4" fillId="0" borderId="0" xfId="0" applyFont="1"/>
    <xf numFmtId="0" fontId="5" fillId="0" borderId="0" xfId="0" applyFont="1" applyFill="1" applyBorder="1" applyAlignment="1">
      <alignment horizontal="center"/>
    </xf>
    <xf numFmtId="0" fontId="0" fillId="0" borderId="0" xfId="0" applyAlignment="1">
      <alignment horizontal="left"/>
    </xf>
    <xf numFmtId="0" fontId="0" fillId="0" borderId="0" xfId="0" applyFont="1" applyAlignment="1">
      <alignment horizontal="left"/>
    </xf>
    <xf numFmtId="0" fontId="0" fillId="0" borderId="0" xfId="0" applyFont="1"/>
    <xf numFmtId="0" fontId="4" fillId="0" borderId="0" xfId="0" applyFont="1" applyFill="1"/>
    <xf numFmtId="0" fontId="16" fillId="0" borderId="0" xfId="1" applyFont="1" applyFill="1" applyAlignment="1" applyProtection="1">
      <alignment horizontal="left"/>
    </xf>
    <xf numFmtId="0" fontId="17" fillId="0" borderId="0" xfId="1" applyFont="1" applyFill="1" applyAlignment="1" applyProtection="1">
      <alignment horizontal="left"/>
    </xf>
    <xf numFmtId="0" fontId="17" fillId="0" borderId="0" xfId="1" applyFont="1" applyFill="1" applyProtection="1"/>
    <xf numFmtId="14" fontId="17" fillId="0" borderId="0" xfId="1" quotePrefix="1" applyNumberFormat="1" applyFont="1" applyFill="1" applyAlignment="1" applyProtection="1">
      <alignment horizontal="left"/>
    </xf>
    <xf numFmtId="0" fontId="17" fillId="0" borderId="0" xfId="1" quotePrefix="1" applyFont="1" applyFill="1" applyAlignment="1" applyProtection="1">
      <alignment horizontal="left"/>
    </xf>
    <xf numFmtId="0" fontId="15" fillId="0" borderId="0" xfId="0" applyFont="1"/>
    <xf numFmtId="0" fontId="15" fillId="0" borderId="0" xfId="0" applyFont="1" applyAlignment="1">
      <alignment horizontal="left"/>
    </xf>
    <xf numFmtId="0" fontId="3" fillId="0" borderId="0" xfId="0" applyFont="1" applyAlignment="1">
      <alignment horizontal="left"/>
    </xf>
    <xf numFmtId="0" fontId="17" fillId="0" borderId="0" xfId="1" applyFont="1" applyFill="1" applyAlignment="1" applyProtection="1">
      <alignment horizontal="center"/>
    </xf>
    <xf numFmtId="0" fontId="15" fillId="0" borderId="0" xfId="0" applyFont="1" applyAlignment="1">
      <alignment horizontal="center"/>
    </xf>
    <xf numFmtId="0" fontId="4" fillId="0" borderId="0" xfId="0" applyFont="1" applyFill="1" applyBorder="1"/>
    <xf numFmtId="0" fontId="18" fillId="0" borderId="0" xfId="0" applyFont="1" applyFill="1" applyBorder="1"/>
    <xf numFmtId="0" fontId="4" fillId="0" borderId="0" xfId="0" applyFont="1" applyBorder="1"/>
    <xf numFmtId="3" fontId="4" fillId="0" borderId="0" xfId="0" applyNumberFormat="1" applyFont="1" applyBorder="1" applyAlignment="1">
      <alignment horizontal="right"/>
    </xf>
    <xf numFmtId="164" fontId="4" fillId="0" borderId="0" xfId="0" applyNumberFormat="1" applyFont="1" applyFill="1" applyAlignment="1"/>
    <xf numFmtId="164" fontId="4" fillId="0" borderId="0" xfId="0" applyNumberFormat="1" applyFont="1" applyAlignment="1"/>
    <xf numFmtId="166" fontId="4" fillId="0" borderId="0" xfId="0" applyNumberFormat="1" applyFont="1" applyAlignment="1"/>
    <xf numFmtId="164" fontId="4" fillId="0" borderId="0" xfId="0" applyNumberFormat="1" applyFont="1" applyBorder="1" applyAlignment="1"/>
    <xf numFmtId="164" fontId="4" fillId="0" borderId="0" xfId="0" applyNumberFormat="1" applyFont="1" applyFill="1" applyBorder="1" applyAlignment="1">
      <alignment horizontal="right"/>
    </xf>
    <xf numFmtId="164" fontId="4" fillId="0" borderId="0" xfId="0" applyNumberFormat="1" applyFont="1" applyFill="1" applyBorder="1" applyAlignment="1"/>
    <xf numFmtId="167" fontId="4" fillId="0" borderId="0" xfId="0" applyNumberFormat="1" applyFont="1"/>
    <xf numFmtId="0" fontId="20" fillId="0" borderId="0" xfId="0" applyFont="1"/>
    <xf numFmtId="0" fontId="0" fillId="0" borderId="3" xfId="0" applyBorder="1"/>
    <xf numFmtId="0" fontId="0" fillId="0" borderId="4" xfId="0" applyBorder="1"/>
    <xf numFmtId="0" fontId="0" fillId="0" borderId="5" xfId="0" applyBorder="1"/>
    <xf numFmtId="0" fontId="0" fillId="0" borderId="2" xfId="0" applyBorder="1"/>
    <xf numFmtId="0" fontId="0" fillId="0" borderId="0" xfId="0" applyBorder="1"/>
    <xf numFmtId="0" fontId="0" fillId="0" borderId="6" xfId="0" applyBorder="1"/>
    <xf numFmtId="0" fontId="0" fillId="0" borderId="7" xfId="0" applyBorder="1"/>
    <xf numFmtId="0" fontId="0" fillId="0" borderId="1" xfId="0" applyBorder="1"/>
    <xf numFmtId="0" fontId="0" fillId="0" borderId="8" xfId="0" applyBorder="1"/>
    <xf numFmtId="14" fontId="0" fillId="0" borderId="0" xfId="0" applyNumberFormat="1"/>
    <xf numFmtId="14" fontId="0" fillId="0" borderId="0" xfId="0" applyNumberFormat="1" applyFont="1"/>
    <xf numFmtId="1" fontId="0" fillId="0" borderId="0" xfId="0" applyNumberFormat="1" applyAlignment="1">
      <alignment horizontal="right"/>
    </xf>
    <xf numFmtId="1" fontId="17" fillId="0" borderId="0" xfId="1" applyNumberFormat="1" applyFont="1" applyFill="1" applyAlignment="1" applyProtection="1">
      <alignment horizontal="right"/>
    </xf>
    <xf numFmtId="3" fontId="4" fillId="0" borderId="0" xfId="0" applyNumberFormat="1" applyFont="1"/>
    <xf numFmtId="0" fontId="0" fillId="0" borderId="0" xfId="0" applyAlignment="1">
      <alignment horizontal="right"/>
    </xf>
    <xf numFmtId="0" fontId="17" fillId="3" borderId="9" xfId="1" quotePrefix="1" applyFont="1" applyFill="1" applyBorder="1" applyAlignment="1" applyProtection="1">
      <alignment horizontal="left"/>
    </xf>
    <xf numFmtId="2" fontId="4" fillId="0" borderId="0" xfId="0" applyNumberFormat="1" applyFont="1"/>
    <xf numFmtId="49" fontId="0" fillId="0" borderId="0" xfId="0" applyNumberFormat="1"/>
    <xf numFmtId="0" fontId="5" fillId="0" borderId="0" xfId="0" applyFont="1" applyFill="1" applyBorder="1" applyAlignment="1">
      <alignment horizontal="right"/>
    </xf>
    <xf numFmtId="0" fontId="0" fillId="0" borderId="0" xfId="0" applyFill="1"/>
    <xf numFmtId="0" fontId="5" fillId="0" borderId="0" xfId="0" applyFont="1" applyFill="1"/>
    <xf numFmtId="0" fontId="3" fillId="0" borderId="0" xfId="0" applyFont="1" applyBorder="1" applyAlignment="1"/>
    <xf numFmtId="0" fontId="3" fillId="0" borderId="0" xfId="0" applyFont="1" applyFill="1" applyBorder="1" applyAlignment="1">
      <alignment horizontal="left" vertical="center"/>
    </xf>
    <xf numFmtId="1" fontId="17" fillId="0" borderId="0" xfId="1" applyNumberFormat="1" applyFont="1" applyFill="1" applyAlignment="1" applyProtection="1">
      <alignment horizontal="left"/>
    </xf>
    <xf numFmtId="0" fontId="3" fillId="0" borderId="0" xfId="0" applyFont="1"/>
    <xf numFmtId="0" fontId="3" fillId="0" borderId="0" xfId="0" quotePrefix="1" applyFont="1"/>
    <xf numFmtId="1" fontId="0" fillId="0" borderId="0" xfId="0" applyNumberFormat="1" applyFill="1" applyAlignment="1">
      <alignment horizontal="right"/>
    </xf>
    <xf numFmtId="0" fontId="0" fillId="0" borderId="0" xfId="0" applyFont="1" applyFill="1"/>
    <xf numFmtId="1" fontId="0" fillId="3" borderId="9" xfId="0" applyNumberFormat="1" applyFill="1" applyBorder="1" applyAlignment="1">
      <alignment horizontal="right"/>
    </xf>
    <xf numFmtId="1" fontId="17" fillId="3" borderId="9" xfId="1" applyNumberFormat="1" applyFont="1" applyFill="1" applyBorder="1" applyAlignment="1" applyProtection="1">
      <alignment horizontal="right"/>
    </xf>
    <xf numFmtId="1" fontId="0" fillId="3" borderId="9" xfId="0" applyNumberFormat="1" applyFont="1" applyFill="1" applyBorder="1"/>
    <xf numFmtId="0" fontId="0" fillId="4" borderId="10" xfId="0" applyFill="1" applyBorder="1"/>
    <xf numFmtId="0" fontId="0" fillId="4" borderId="11" xfId="0" applyFill="1" applyBorder="1"/>
    <xf numFmtId="14" fontId="17" fillId="0" borderId="3" xfId="1" quotePrefix="1" applyNumberFormat="1" applyFont="1" applyFill="1" applyBorder="1" applyAlignment="1" applyProtection="1">
      <alignment horizontal="left"/>
    </xf>
    <xf numFmtId="0" fontId="17" fillId="0" borderId="7" xfId="1" quotePrefix="1" applyFont="1" applyFill="1" applyBorder="1" applyAlignment="1" applyProtection="1">
      <alignment horizontal="left"/>
    </xf>
    <xf numFmtId="0" fontId="0" fillId="4" borderId="12" xfId="0" applyFill="1" applyBorder="1"/>
    <xf numFmtId="14" fontId="15" fillId="0" borderId="0" xfId="0" applyNumberFormat="1" applyFont="1" applyAlignment="1">
      <alignment horizontal="left"/>
    </xf>
    <xf numFmtId="0" fontId="0" fillId="0" borderId="2" xfId="0" applyBorder="1"/>
    <xf numFmtId="14" fontId="17" fillId="0" borderId="0" xfId="1" applyNumberFormat="1" applyFont="1" applyFill="1" applyAlignment="1" applyProtection="1">
      <alignment horizontal="left"/>
    </xf>
    <xf numFmtId="0" fontId="0" fillId="0" borderId="0" xfId="0" quotePrefix="1" applyAlignment="1">
      <alignment horizontal="left"/>
    </xf>
    <xf numFmtId="0" fontId="0" fillId="0" borderId="0" xfId="0"/>
    <xf numFmtId="0" fontId="3" fillId="0" borderId="0" xfId="0" applyFont="1" applyBorder="1"/>
    <xf numFmtId="0" fontId="19" fillId="0" borderId="0" xfId="0" applyFont="1" applyBorder="1"/>
    <xf numFmtId="0" fontId="26" fillId="0" borderId="0" xfId="0" applyFont="1" applyAlignment="1">
      <alignment vertical="top"/>
    </xf>
    <xf numFmtId="0" fontId="26" fillId="0" borderId="0" xfId="0" applyFont="1"/>
    <xf numFmtId="0" fontId="27" fillId="0" borderId="0" xfId="0" applyFont="1" applyFill="1" applyBorder="1"/>
    <xf numFmtId="0" fontId="28" fillId="0" borderId="0" xfId="0" applyFont="1"/>
    <xf numFmtId="0" fontId="26" fillId="0" borderId="0" xfId="0" applyFont="1" applyFill="1" applyBorder="1"/>
    <xf numFmtId="166" fontId="4" fillId="0" borderId="0" xfId="0" applyNumberFormat="1" applyFont="1" applyFill="1" applyAlignment="1"/>
    <xf numFmtId="0" fontId="0" fillId="0" borderId="0" xfId="0"/>
    <xf numFmtId="0" fontId="27" fillId="0" borderId="0" xfId="0" applyFont="1" applyFill="1" applyBorder="1" applyAlignment="1">
      <alignment vertical="top"/>
    </xf>
    <xf numFmtId="0" fontId="25" fillId="0" borderId="0" xfId="0" applyFont="1"/>
    <xf numFmtId="0" fontId="29" fillId="0" borderId="0" xfId="0" applyFont="1"/>
    <xf numFmtId="0" fontId="29" fillId="0" borderId="0" xfId="0" quotePrefix="1" applyFont="1"/>
    <xf numFmtId="0" fontId="21" fillId="0" borderId="0" xfId="18" applyAlignment="1" applyProtection="1"/>
    <xf numFmtId="0" fontId="21" fillId="0" borderId="0" xfId="18" quotePrefix="1" applyAlignment="1" applyProtection="1"/>
    <xf numFmtId="0" fontId="29" fillId="0" borderId="0" xfId="0" applyFont="1" applyAlignment="1">
      <alignment horizontal="left" vertical="top" indent="1"/>
    </xf>
    <xf numFmtId="0" fontId="29" fillId="0" borderId="0" xfId="0" applyFont="1" applyFill="1" applyBorder="1" applyAlignment="1">
      <alignment horizontal="left" indent="1"/>
    </xf>
    <xf numFmtId="0" fontId="30" fillId="5" borderId="13" xfId="0" applyFont="1" applyFill="1" applyBorder="1" applyAlignment="1">
      <alignment horizontal="center" vertical="center"/>
    </xf>
    <xf numFmtId="0" fontId="29" fillId="0" borderId="0" xfId="0" applyFont="1" applyAlignment="1">
      <alignment vertical="center" wrapText="1"/>
    </xf>
    <xf numFmtId="0" fontId="31" fillId="0" borderId="14" xfId="0" applyFont="1" applyFill="1" applyBorder="1" applyAlignment="1">
      <alignment vertical="top"/>
    </xf>
    <xf numFmtId="1" fontId="31" fillId="0" borderId="14" xfId="0" applyNumberFormat="1" applyFont="1" applyFill="1" applyBorder="1" applyAlignment="1">
      <alignment vertical="top"/>
    </xf>
    <xf numFmtId="0" fontId="31" fillId="0" borderId="15" xfId="0" applyFont="1" applyFill="1" applyBorder="1" applyAlignment="1">
      <alignment vertical="top"/>
    </xf>
    <xf numFmtId="0" fontId="31" fillId="0" borderId="16" xfId="0" applyFont="1" applyFill="1" applyBorder="1" applyAlignment="1">
      <alignment vertical="top"/>
    </xf>
    <xf numFmtId="0" fontId="31" fillId="0" borderId="17" xfId="0" applyFont="1" applyFill="1" applyBorder="1" applyAlignment="1">
      <alignment vertical="top"/>
    </xf>
    <xf numFmtId="0" fontId="4" fillId="0" borderId="18" xfId="0" applyFont="1" applyBorder="1"/>
    <xf numFmtId="1" fontId="31" fillId="0" borderId="17" xfId="0" applyNumberFormat="1" applyFont="1" applyFill="1" applyBorder="1" applyAlignment="1">
      <alignment vertical="top"/>
    </xf>
    <xf numFmtId="0" fontId="31" fillId="0" borderId="19" xfId="0" applyFont="1" applyFill="1" applyBorder="1" applyAlignment="1">
      <alignment vertical="top"/>
    </xf>
    <xf numFmtId="0" fontId="31" fillId="0" borderId="20" xfId="0" applyFont="1" applyFill="1" applyBorder="1" applyAlignment="1">
      <alignment vertical="top"/>
    </xf>
    <xf numFmtId="0" fontId="29" fillId="0" borderId="0" xfId="0" applyFont="1" applyAlignment="1">
      <alignment horizontal="left" vertical="top"/>
    </xf>
    <xf numFmtId="0" fontId="25" fillId="0" borderId="0" xfId="0" applyFont="1" applyAlignment="1">
      <alignment horizontal="center"/>
    </xf>
    <xf numFmtId="0" fontId="32" fillId="6" borderId="21" xfId="0" applyFont="1" applyFill="1" applyBorder="1" applyAlignment="1">
      <alignment horizontal="left" vertical="center" indent="1"/>
    </xf>
    <xf numFmtId="0" fontId="32" fillId="6" borderId="22" xfId="0" applyFont="1" applyFill="1" applyBorder="1" applyAlignment="1">
      <alignment horizontal="left" vertical="center" indent="1"/>
    </xf>
    <xf numFmtId="164" fontId="33" fillId="6" borderId="23" xfId="0" applyNumberFormat="1" applyFont="1" applyFill="1" applyBorder="1" applyAlignment="1">
      <alignment vertical="top"/>
    </xf>
    <xf numFmtId="164" fontId="33" fillId="7" borderId="23" xfId="0" applyNumberFormat="1" applyFont="1" applyFill="1" applyBorder="1" applyAlignment="1">
      <alignment vertical="top"/>
    </xf>
    <xf numFmtId="164" fontId="33" fillId="6" borderId="24" xfId="0" applyNumberFormat="1" applyFont="1" applyFill="1" applyBorder="1" applyAlignment="1">
      <alignment vertical="top"/>
    </xf>
    <xf numFmtId="0" fontId="2" fillId="0" borderId="0" xfId="0" applyFont="1" applyBorder="1"/>
    <xf numFmtId="2" fontId="2" fillId="0" borderId="0" xfId="0" applyNumberFormat="1" applyFont="1" applyBorder="1"/>
    <xf numFmtId="2" fontId="2" fillId="0" borderId="0" xfId="0" applyNumberFormat="1" applyFont="1" applyBorder="1" applyAlignment="1">
      <alignment horizontal="right"/>
    </xf>
    <xf numFmtId="164" fontId="2" fillId="0" borderId="0" xfId="0" applyNumberFormat="1" applyFont="1" applyBorder="1" applyAlignment="1"/>
    <xf numFmtId="0" fontId="32" fillId="6" borderId="22" xfId="0" applyFont="1" applyFill="1" applyBorder="1" applyAlignment="1">
      <alignment vertical="center"/>
    </xf>
    <xf numFmtId="166" fontId="33" fillId="6" borderId="23" xfId="0" applyNumberFormat="1" applyFont="1" applyFill="1" applyBorder="1" applyAlignment="1">
      <alignment horizontal="right" vertical="center"/>
    </xf>
    <xf numFmtId="0" fontId="32" fillId="7" borderId="22" xfId="0" applyFont="1" applyFill="1" applyBorder="1" applyAlignment="1">
      <alignment vertical="center"/>
    </xf>
    <xf numFmtId="166" fontId="33" fillId="7" borderId="23" xfId="0" applyNumberFormat="1" applyFont="1" applyFill="1" applyBorder="1" applyAlignment="1">
      <alignment horizontal="right" vertical="center"/>
    </xf>
    <xf numFmtId="0" fontId="32" fillId="6" borderId="25" xfId="0" applyFont="1" applyFill="1" applyBorder="1" applyAlignment="1">
      <alignment vertical="center"/>
    </xf>
    <xf numFmtId="166" fontId="33" fillId="6" borderId="26" xfId="0" applyNumberFormat="1" applyFont="1" applyFill="1" applyBorder="1" applyAlignment="1">
      <alignment horizontal="right" vertical="center"/>
    </xf>
    <xf numFmtId="0" fontId="32" fillId="0" borderId="27" xfId="0" applyFont="1" applyFill="1" applyBorder="1" applyAlignment="1">
      <alignment vertical="center"/>
    </xf>
    <xf numFmtId="0" fontId="32" fillId="0" borderId="28" xfId="0" applyFont="1" applyFill="1" applyBorder="1" applyAlignment="1">
      <alignment vertical="center"/>
    </xf>
    <xf numFmtId="0" fontId="32" fillId="0" borderId="29" xfId="0" applyFont="1" applyFill="1" applyBorder="1" applyAlignment="1">
      <alignment vertical="center"/>
    </xf>
    <xf numFmtId="166" fontId="32" fillId="0" borderId="29" xfId="0" applyNumberFormat="1" applyFont="1" applyFill="1" applyBorder="1" applyAlignment="1">
      <alignment horizontal="right" vertical="top"/>
    </xf>
    <xf numFmtId="0" fontId="32" fillId="0" borderId="29" xfId="0" applyFont="1" applyFill="1" applyBorder="1" applyAlignment="1">
      <alignment vertical="top"/>
    </xf>
    <xf numFmtId="0" fontId="33" fillId="0" borderId="28" xfId="0" applyFont="1" applyFill="1" applyBorder="1" applyAlignment="1">
      <alignment vertical="center"/>
    </xf>
    <xf numFmtId="0" fontId="33" fillId="0" borderId="29" xfId="0" applyFont="1" applyFill="1" applyBorder="1" applyAlignment="1">
      <alignment vertical="center"/>
    </xf>
    <xf numFmtId="164" fontId="33" fillId="0" borderId="30" xfId="0" applyNumberFormat="1" applyFont="1" applyFill="1" applyBorder="1" applyAlignment="1">
      <alignment horizontal="right" vertical="center"/>
    </xf>
    <xf numFmtId="0" fontId="3" fillId="0" borderId="0" xfId="0" applyFont="1" applyFill="1" applyBorder="1"/>
    <xf numFmtId="0" fontId="2" fillId="0" borderId="0" xfId="0" applyFont="1" applyFill="1" applyBorder="1"/>
    <xf numFmtId="0" fontId="2" fillId="0" borderId="0" xfId="0" quotePrefix="1" applyFont="1" applyFill="1" applyBorder="1" applyAlignment="1">
      <alignment horizontal="right"/>
    </xf>
    <xf numFmtId="0" fontId="33" fillId="6" borderId="21" xfId="0" applyFont="1" applyFill="1" applyBorder="1" applyAlignment="1">
      <alignment vertical="top"/>
    </xf>
    <xf numFmtId="166" fontId="33" fillId="6" borderId="21" xfId="0" applyNumberFormat="1" applyFont="1" applyFill="1" applyBorder="1" applyAlignment="1">
      <alignment vertical="top"/>
    </xf>
    <xf numFmtId="166" fontId="33" fillId="6" borderId="23" xfId="0" applyNumberFormat="1" applyFont="1" applyFill="1" applyBorder="1" applyAlignment="1">
      <alignment vertical="top"/>
    </xf>
    <xf numFmtId="0" fontId="33" fillId="7" borderId="21" xfId="0" applyFont="1" applyFill="1" applyBorder="1" applyAlignment="1">
      <alignment vertical="top"/>
    </xf>
    <xf numFmtId="166" fontId="33" fillId="7" borderId="21" xfId="0" applyNumberFormat="1" applyFont="1" applyFill="1" applyBorder="1" applyAlignment="1">
      <alignment vertical="top"/>
    </xf>
    <xf numFmtId="166" fontId="33" fillId="7" borderId="23" xfId="0" applyNumberFormat="1" applyFont="1" applyFill="1" applyBorder="1" applyAlignment="1">
      <alignment vertical="top"/>
    </xf>
    <xf numFmtId="0" fontId="33" fillId="7" borderId="31" xfId="0" applyFont="1" applyFill="1" applyBorder="1" applyAlignment="1">
      <alignment vertical="top"/>
    </xf>
    <xf numFmtId="164" fontId="33" fillId="7" borderId="31" xfId="0" applyNumberFormat="1" applyFont="1" applyFill="1" applyBorder="1" applyAlignment="1">
      <alignment vertical="top"/>
    </xf>
    <xf numFmtId="164" fontId="33" fillId="7" borderId="26" xfId="0" applyNumberFormat="1" applyFont="1" applyFill="1" applyBorder="1" applyAlignment="1">
      <alignment vertical="top"/>
    </xf>
    <xf numFmtId="0" fontId="33" fillId="0" borderId="32" xfId="0" applyFont="1" applyFill="1" applyBorder="1" applyAlignment="1">
      <alignment vertical="center"/>
    </xf>
    <xf numFmtId="167" fontId="33" fillId="0" borderId="32" xfId="0" applyNumberFormat="1" applyFont="1" applyFill="1" applyBorder="1" applyAlignment="1">
      <alignment vertical="center"/>
    </xf>
    <xf numFmtId="167" fontId="33" fillId="0" borderId="28" xfId="0" applyNumberFormat="1" applyFont="1" applyFill="1" applyBorder="1" applyAlignment="1">
      <alignment vertical="center"/>
    </xf>
    <xf numFmtId="167" fontId="33" fillId="0" borderId="30" xfId="0" applyNumberFormat="1" applyFont="1" applyFill="1" applyBorder="1" applyAlignment="1">
      <alignment vertical="center"/>
    </xf>
    <xf numFmtId="167" fontId="33" fillId="6" borderId="21" xfId="0" applyNumberFormat="1" applyFont="1" applyFill="1" applyBorder="1" applyAlignment="1">
      <alignment vertical="top"/>
    </xf>
    <xf numFmtId="167" fontId="33" fillId="6" borderId="23" xfId="0" applyNumberFormat="1" applyFont="1" applyFill="1" applyBorder="1" applyAlignment="1">
      <alignment vertical="top"/>
    </xf>
    <xf numFmtId="167" fontId="33" fillId="7" borderId="21" xfId="0" applyNumberFormat="1" applyFont="1" applyFill="1" applyBorder="1" applyAlignment="1">
      <alignment vertical="top"/>
    </xf>
    <xf numFmtId="167" fontId="33" fillId="7" borderId="23" xfId="0" applyNumberFormat="1" applyFont="1" applyFill="1" applyBorder="1" applyAlignment="1">
      <alignment vertical="top"/>
    </xf>
    <xf numFmtId="167" fontId="33" fillId="7" borderId="31" xfId="0" applyNumberFormat="1" applyFont="1" applyFill="1" applyBorder="1" applyAlignment="1">
      <alignment vertical="top"/>
    </xf>
    <xf numFmtId="167" fontId="33" fillId="7" borderId="26" xfId="0" applyNumberFormat="1" applyFont="1" applyFill="1" applyBorder="1" applyAlignment="1">
      <alignment vertical="top"/>
    </xf>
    <xf numFmtId="0" fontId="32" fillId="0" borderId="33" xfId="0" applyFont="1" applyFill="1" applyBorder="1" applyAlignment="1">
      <alignment vertical="center"/>
    </xf>
    <xf numFmtId="0" fontId="33" fillId="0" borderId="0" xfId="0" applyFont="1" applyFill="1" applyBorder="1" applyAlignment="1">
      <alignment vertical="center"/>
    </xf>
    <xf numFmtId="0" fontId="33" fillId="0" borderId="30" xfId="0" applyFont="1" applyFill="1" applyBorder="1" applyAlignment="1">
      <alignment vertical="center"/>
    </xf>
    <xf numFmtId="0" fontId="33" fillId="7" borderId="34" xfId="0" applyFont="1" applyFill="1" applyBorder="1" applyAlignment="1">
      <alignment vertical="top"/>
    </xf>
    <xf numFmtId="167" fontId="33" fillId="7" borderId="34" xfId="0" applyNumberFormat="1" applyFont="1" applyFill="1" applyBorder="1" applyAlignment="1">
      <alignment vertical="top"/>
    </xf>
    <xf numFmtId="167" fontId="33" fillId="7" borderId="24" xfId="0" applyNumberFormat="1" applyFont="1" applyFill="1" applyBorder="1" applyAlignment="1">
      <alignment vertical="top"/>
    </xf>
    <xf numFmtId="0" fontId="3" fillId="0" borderId="0" xfId="0" applyFont="1" applyFill="1"/>
    <xf numFmtId="0" fontId="2" fillId="0" borderId="0" xfId="0" applyFont="1" applyFill="1"/>
    <xf numFmtId="167" fontId="2" fillId="0" borderId="0" xfId="0" applyNumberFormat="1" applyFont="1" applyFill="1" applyAlignment="1">
      <alignment horizontal="right"/>
    </xf>
    <xf numFmtId="0" fontId="2" fillId="0" borderId="0" xfId="0" applyFont="1"/>
    <xf numFmtId="0" fontId="3" fillId="0" borderId="0" xfId="0" applyFont="1" applyFill="1" applyBorder="1" applyAlignment="1">
      <alignment horizontal="center" vertical="center"/>
    </xf>
    <xf numFmtId="0" fontId="0" fillId="0" borderId="0" xfId="0" applyFont="1" applyAlignment="1">
      <alignment vertical="center" wrapText="1"/>
    </xf>
    <xf numFmtId="44" fontId="30" fillId="5" borderId="35" xfId="0" applyNumberFormat="1" applyFont="1" applyFill="1" applyBorder="1" applyAlignment="1">
      <alignment horizontal="center" vertical="center"/>
    </xf>
    <xf numFmtId="1" fontId="33" fillId="6" borderId="36" xfId="0" applyNumberFormat="1" applyFont="1" applyFill="1" applyBorder="1" applyAlignment="1">
      <alignment vertical="top"/>
    </xf>
    <xf numFmtId="1" fontId="33" fillId="6" borderId="35" xfId="0" applyNumberFormat="1" applyFont="1" applyFill="1" applyBorder="1" applyAlignment="1">
      <alignment vertical="top"/>
    </xf>
    <xf numFmtId="1" fontId="33" fillId="7" borderId="23" xfId="0" applyNumberFormat="1" applyFont="1" applyFill="1" applyBorder="1" applyAlignment="1">
      <alignment vertical="top"/>
    </xf>
    <xf numFmtId="1" fontId="33" fillId="6" borderId="23" xfId="0" applyNumberFormat="1" applyFont="1" applyFill="1" applyBorder="1" applyAlignment="1">
      <alignment vertical="top"/>
    </xf>
    <xf numFmtId="1" fontId="33" fillId="6" borderId="24" xfId="0" applyNumberFormat="1" applyFont="1" applyFill="1" applyBorder="1" applyAlignment="1">
      <alignment vertical="top"/>
    </xf>
    <xf numFmtId="0" fontId="29" fillId="0" borderId="0" xfId="0" applyFont="1" applyFill="1" applyBorder="1" applyAlignment="1">
      <alignment vertical="top"/>
    </xf>
    <xf numFmtId="0" fontId="34" fillId="0" borderId="0" xfId="0" applyFont="1"/>
    <xf numFmtId="3" fontId="33" fillId="7" borderId="37" xfId="0" applyNumberFormat="1" applyFont="1" applyFill="1" applyBorder="1" applyAlignment="1">
      <alignment vertical="top"/>
    </xf>
    <xf numFmtId="2" fontId="0" fillId="0" borderId="0" xfId="0" applyNumberFormat="1" applyFont="1"/>
    <xf numFmtId="0" fontId="0" fillId="8" borderId="3" xfId="0" applyFill="1" applyBorder="1"/>
    <xf numFmtId="0" fontId="0" fillId="8" borderId="0" xfId="0" applyFill="1"/>
    <xf numFmtId="0" fontId="30" fillId="5" borderId="17" xfId="0" applyFont="1" applyFill="1" applyBorder="1" applyAlignment="1">
      <alignment vertical="center"/>
    </xf>
    <xf numFmtId="0" fontId="30" fillId="5" borderId="38" xfId="0" applyFont="1" applyFill="1" applyBorder="1" applyAlignment="1">
      <alignment vertical="center"/>
    </xf>
    <xf numFmtId="1" fontId="17" fillId="8" borderId="0" xfId="1" quotePrefix="1" applyNumberFormat="1" applyFont="1" applyFill="1" applyAlignment="1" applyProtection="1">
      <alignment horizontal="left"/>
    </xf>
    <xf numFmtId="1" fontId="17" fillId="8" borderId="0" xfId="1" applyNumberFormat="1" applyFont="1" applyFill="1" applyAlignment="1" applyProtection="1">
      <alignment horizontal="left"/>
    </xf>
    <xf numFmtId="2" fontId="35" fillId="7" borderId="21" xfId="0" applyNumberFormat="1" applyFont="1" applyFill="1" applyBorder="1" applyAlignment="1">
      <alignment vertical="top"/>
    </xf>
    <xf numFmtId="2" fontId="35" fillId="6" borderId="21" xfId="0" applyNumberFormat="1" applyFont="1" applyFill="1" applyBorder="1" applyAlignment="1">
      <alignment vertical="top"/>
    </xf>
    <xf numFmtId="0" fontId="35" fillId="6" borderId="21" xfId="0" applyFont="1" applyFill="1" applyBorder="1" applyAlignment="1">
      <alignment vertical="top"/>
    </xf>
    <xf numFmtId="0" fontId="35" fillId="7" borderId="21" xfId="0" applyFont="1" applyFill="1" applyBorder="1" applyAlignment="1">
      <alignment vertical="top"/>
    </xf>
    <xf numFmtId="0" fontId="35" fillId="6" borderId="34" xfId="0" applyFont="1" applyFill="1" applyBorder="1" applyAlignment="1">
      <alignment vertical="top"/>
    </xf>
    <xf numFmtId="14" fontId="30" fillId="5" borderId="93" xfId="0" applyNumberFormat="1" applyFont="1" applyFill="1" applyBorder="1" applyAlignment="1">
      <alignment horizontal="center" vertical="center" wrapText="1"/>
    </xf>
    <xf numFmtId="0" fontId="30" fillId="5" borderId="94" xfId="0" applyFont="1" applyFill="1" applyBorder="1" applyAlignment="1">
      <alignment horizontal="center" vertical="center" wrapText="1"/>
    </xf>
    <xf numFmtId="0" fontId="30" fillId="5" borderId="95" xfId="0" applyFont="1" applyFill="1" applyBorder="1" applyAlignment="1">
      <alignment horizontal="center" vertical="center" wrapText="1"/>
    </xf>
    <xf numFmtId="14" fontId="30" fillId="5" borderId="96" xfId="0" applyNumberFormat="1" applyFont="1" applyFill="1" applyBorder="1" applyAlignment="1">
      <alignment vertical="center" wrapText="1"/>
    </xf>
    <xf numFmtId="0" fontId="30" fillId="5" borderId="97" xfId="0" applyFont="1" applyFill="1" applyBorder="1" applyAlignment="1">
      <alignment vertical="center" wrapText="1"/>
    </xf>
    <xf numFmtId="2" fontId="30" fillId="5" borderId="97" xfId="0" applyNumberFormat="1" applyFont="1" applyFill="1" applyBorder="1" applyAlignment="1">
      <alignment vertical="center" wrapText="1"/>
    </xf>
    <xf numFmtId="0" fontId="30" fillId="5" borderId="98" xfId="0" applyFont="1" applyFill="1" applyBorder="1" applyAlignment="1">
      <alignment vertical="center" wrapText="1"/>
    </xf>
    <xf numFmtId="0" fontId="35" fillId="7" borderId="34" xfId="0" applyFont="1" applyFill="1" applyBorder="1" applyAlignment="1">
      <alignment vertical="top"/>
    </xf>
    <xf numFmtId="0" fontId="35" fillId="7" borderId="23" xfId="0" applyFont="1" applyFill="1" applyBorder="1" applyAlignment="1">
      <alignment vertical="top"/>
    </xf>
    <xf numFmtId="0" fontId="35" fillId="6" borderId="23" xfId="0" applyFont="1" applyFill="1" applyBorder="1" applyAlignment="1">
      <alignment vertical="top"/>
    </xf>
    <xf numFmtId="0" fontId="35" fillId="7" borderId="24" xfId="0" applyFont="1" applyFill="1" applyBorder="1" applyAlignment="1">
      <alignment vertical="top"/>
    </xf>
    <xf numFmtId="0" fontId="35" fillId="7" borderId="37" xfId="0" applyFont="1" applyFill="1" applyBorder="1" applyAlignment="1">
      <alignment vertical="top"/>
    </xf>
    <xf numFmtId="0" fontId="35" fillId="6" borderId="37" xfId="0" applyFont="1" applyFill="1" applyBorder="1" applyAlignment="1">
      <alignment vertical="top"/>
    </xf>
    <xf numFmtId="0" fontId="35" fillId="6" borderId="24" xfId="0" applyFont="1" applyFill="1" applyBorder="1" applyAlignment="1">
      <alignment vertical="top"/>
    </xf>
    <xf numFmtId="14" fontId="35" fillId="7" borderId="21" xfId="0" applyNumberFormat="1" applyFont="1" applyFill="1" applyBorder="1" applyAlignment="1">
      <alignment vertical="top"/>
    </xf>
    <xf numFmtId="14" fontId="35" fillId="6" borderId="21" xfId="0" applyNumberFormat="1" applyFont="1" applyFill="1" applyBorder="1" applyAlignment="1">
      <alignment vertical="top"/>
    </xf>
    <xf numFmtId="0" fontId="35" fillId="6" borderId="40" xfId="0" applyFont="1" applyFill="1" applyBorder="1" applyAlignment="1">
      <alignment vertical="top"/>
    </xf>
    <xf numFmtId="14" fontId="35" fillId="6" borderId="34" xfId="0" applyNumberFormat="1" applyFont="1" applyFill="1" applyBorder="1" applyAlignment="1">
      <alignment vertical="top"/>
    </xf>
    <xf numFmtId="164" fontId="33" fillId="7" borderId="36" xfId="0" applyNumberFormat="1" applyFont="1" applyFill="1" applyBorder="1" applyAlignment="1">
      <alignment vertical="top"/>
    </xf>
    <xf numFmtId="0" fontId="32" fillId="7" borderId="41" xfId="0" applyFont="1" applyFill="1" applyBorder="1" applyAlignment="1">
      <alignment vertical="center"/>
    </xf>
    <xf numFmtId="166" fontId="32" fillId="7" borderId="41" xfId="0" applyNumberFormat="1" applyFont="1" applyFill="1" applyBorder="1" applyAlignment="1">
      <alignment horizontal="right" vertical="top"/>
    </xf>
    <xf numFmtId="0" fontId="32" fillId="7" borderId="41" xfId="0" applyFont="1" applyFill="1" applyBorder="1" applyAlignment="1">
      <alignment vertical="top"/>
    </xf>
    <xf numFmtId="166" fontId="33" fillId="7" borderId="36" xfId="0" applyNumberFormat="1" applyFont="1" applyFill="1" applyBorder="1" applyAlignment="1">
      <alignment horizontal="right" vertical="center"/>
    </xf>
    <xf numFmtId="0" fontId="30" fillId="5" borderId="99" xfId="0" applyFont="1" applyFill="1" applyBorder="1" applyAlignment="1">
      <alignment vertical="center"/>
    </xf>
    <xf numFmtId="0" fontId="33" fillId="7" borderId="42" xfId="0" applyFont="1" applyFill="1" applyBorder="1" applyAlignment="1">
      <alignment vertical="top"/>
    </xf>
    <xf numFmtId="167" fontId="4" fillId="0" borderId="0" xfId="0" applyNumberFormat="1" applyFont="1" applyFill="1" applyAlignment="1">
      <alignment horizontal="right"/>
    </xf>
    <xf numFmtId="0" fontId="17" fillId="8" borderId="0" xfId="1" quotePrefix="1" applyFont="1" applyFill="1" applyAlignment="1" applyProtection="1">
      <alignment horizontal="left"/>
    </xf>
    <xf numFmtId="2" fontId="33" fillId="7" borderId="21" xfId="0" applyNumberFormat="1" applyFont="1" applyFill="1" applyBorder="1" applyAlignment="1">
      <alignment vertical="top"/>
    </xf>
    <xf numFmtId="166" fontId="33" fillId="6" borderId="21" xfId="0" applyNumberFormat="1" applyFont="1" applyFill="1" applyBorder="1" applyAlignment="1">
      <alignment vertical="center"/>
    </xf>
    <xf numFmtId="2" fontId="33" fillId="7" borderId="42" xfId="0" applyNumberFormat="1" applyFont="1" applyFill="1" applyBorder="1" applyAlignment="1">
      <alignment vertical="top"/>
    </xf>
    <xf numFmtId="2" fontId="33" fillId="6" borderId="21" xfId="0" applyNumberFormat="1" applyFont="1" applyFill="1" applyBorder="1" applyAlignment="1">
      <alignment vertical="top"/>
    </xf>
    <xf numFmtId="2" fontId="33" fillId="6" borderId="34" xfId="0" applyNumberFormat="1" applyFont="1" applyFill="1" applyBorder="1" applyAlignment="1">
      <alignment vertical="top"/>
    </xf>
    <xf numFmtId="0" fontId="30" fillId="5" borderId="43" xfId="0" applyFont="1" applyFill="1" applyBorder="1" applyAlignment="1">
      <alignment horizontal="center" vertical="center"/>
    </xf>
    <xf numFmtId="0" fontId="30" fillId="5" borderId="35" xfId="0" applyFont="1" applyFill="1" applyBorder="1" applyAlignment="1">
      <alignment horizontal="center" vertical="center"/>
    </xf>
    <xf numFmtId="0" fontId="27" fillId="0" borderId="0" xfId="0" applyFont="1" applyFill="1" applyBorder="1" applyAlignment="1">
      <alignment horizontal="left"/>
    </xf>
    <xf numFmtId="0" fontId="0" fillId="0" borderId="0" xfId="0" applyFont="1" applyFill="1" applyBorder="1"/>
    <xf numFmtId="0" fontId="3" fillId="0" borderId="0" xfId="0" applyFont="1" applyAlignment="1">
      <alignment horizontal="left" indent="1"/>
    </xf>
    <xf numFmtId="0" fontId="17" fillId="0" borderId="0" xfId="0" applyFont="1"/>
    <xf numFmtId="0" fontId="1" fillId="0" borderId="0" xfId="0" applyFont="1"/>
    <xf numFmtId="0" fontId="3" fillId="0" borderId="0" xfId="0" applyFont="1" applyAlignment="1">
      <alignment vertical="top"/>
    </xf>
    <xf numFmtId="0" fontId="3" fillId="0" borderId="0" xfId="0" applyFont="1" applyAlignment="1">
      <alignment vertical="center"/>
    </xf>
    <xf numFmtId="0" fontId="3" fillId="0" borderId="0" xfId="0" applyFont="1" applyBorder="1" applyAlignment="1">
      <alignment horizontal="center"/>
    </xf>
    <xf numFmtId="0" fontId="1" fillId="0" borderId="0" xfId="0" applyFont="1" applyFill="1" applyBorder="1"/>
    <xf numFmtId="0" fontId="30" fillId="5" borderId="44" xfId="0" applyFont="1" applyFill="1" applyBorder="1" applyAlignment="1">
      <alignment horizontal="center" vertical="center"/>
    </xf>
    <xf numFmtId="0" fontId="3" fillId="0" borderId="0" xfId="0" applyFont="1" applyFill="1" applyBorder="1" applyAlignment="1">
      <alignment horizontal="center"/>
    </xf>
    <xf numFmtId="0" fontId="3" fillId="0" borderId="0" xfId="0" applyFont="1" applyBorder="1" applyAlignment="1">
      <alignment horizontal="left"/>
    </xf>
    <xf numFmtId="0" fontId="3" fillId="0" borderId="0" xfId="0" applyFont="1" applyFill="1" applyBorder="1" applyAlignment="1"/>
    <xf numFmtId="0" fontId="3" fillId="0" borderId="0" xfId="0" applyFont="1" applyFill="1" applyBorder="1" applyAlignment="1">
      <alignment vertical="center"/>
    </xf>
    <xf numFmtId="0" fontId="3" fillId="0" borderId="0" xfId="0" applyFont="1" applyFill="1" applyBorder="1" applyAlignment="1">
      <alignment vertical="distributed"/>
    </xf>
    <xf numFmtId="0" fontId="0" fillId="0" borderId="0" xfId="0" applyFont="1" applyFill="1" applyBorder="1" applyAlignment="1">
      <alignment horizontal="center"/>
    </xf>
    <xf numFmtId="0" fontId="0" fillId="0" borderId="45" xfId="0" applyFont="1" applyFill="1" applyBorder="1" applyAlignment="1">
      <alignment vertical="center"/>
    </xf>
    <xf numFmtId="0" fontId="0" fillId="0" borderId="0" xfId="0" applyFont="1" applyFill="1" applyBorder="1" applyAlignment="1">
      <alignment vertical="center"/>
    </xf>
    <xf numFmtId="0" fontId="3" fillId="0" borderId="0" xfId="0" applyFont="1" applyFill="1" applyBorder="1" applyAlignment="1">
      <alignment vertical="distributed" wrapText="1"/>
    </xf>
    <xf numFmtId="0" fontId="3" fillId="0" borderId="0" xfId="0" applyFont="1" applyFill="1" applyBorder="1" applyAlignment="1">
      <alignment wrapText="1"/>
    </xf>
    <xf numFmtId="0" fontId="3" fillId="0" borderId="0" xfId="0" applyFont="1" applyAlignment="1">
      <alignment wrapText="1"/>
    </xf>
    <xf numFmtId="0" fontId="30" fillId="5" borderId="100" xfId="0" applyNumberFormat="1" applyFont="1" applyFill="1" applyBorder="1" applyAlignment="1">
      <alignment horizontal="center" vertical="center"/>
    </xf>
    <xf numFmtId="0" fontId="30" fillId="5" borderId="101" xfId="0" applyNumberFormat="1" applyFont="1" applyFill="1" applyBorder="1" applyAlignment="1">
      <alignment horizontal="center" vertical="center"/>
    </xf>
    <xf numFmtId="0" fontId="3" fillId="0" borderId="0" xfId="0" applyNumberFormat="1" applyFont="1" applyFill="1" applyBorder="1" applyAlignment="1">
      <alignment horizontal="right"/>
    </xf>
    <xf numFmtId="0" fontId="3" fillId="0" borderId="0" xfId="0" applyFont="1" applyFill="1" applyBorder="1" applyAlignment="1">
      <alignment horizontal="right" wrapText="1"/>
    </xf>
    <xf numFmtId="0" fontId="3" fillId="0" borderId="33" xfId="0" applyFont="1" applyFill="1" applyBorder="1" applyAlignment="1">
      <alignment horizontal="right" wrapText="1"/>
    </xf>
    <xf numFmtId="0" fontId="3" fillId="0" borderId="33" xfId="0" applyFont="1" applyFill="1" applyBorder="1" applyAlignment="1">
      <alignment wrapText="1"/>
    </xf>
    <xf numFmtId="0" fontId="3" fillId="0" borderId="0" xfId="0" applyFont="1" applyFill="1" applyAlignment="1">
      <alignment wrapText="1"/>
    </xf>
    <xf numFmtId="0" fontId="1" fillId="0" borderId="0" xfId="0" quotePrefix="1" applyFont="1" applyFill="1" applyBorder="1" applyAlignment="1">
      <alignment horizontal="right"/>
    </xf>
    <xf numFmtId="3" fontId="1" fillId="0" borderId="0" xfId="0" applyNumberFormat="1" applyFont="1" applyFill="1" applyBorder="1"/>
    <xf numFmtId="0" fontId="32" fillId="7" borderId="46" xfId="0" applyFont="1" applyFill="1" applyBorder="1" applyAlignment="1">
      <alignment horizontal="right" vertical="center"/>
    </xf>
    <xf numFmtId="3" fontId="33" fillId="7" borderId="47" xfId="0" applyNumberFormat="1" applyFont="1" applyFill="1" applyBorder="1" applyAlignment="1">
      <alignment vertical="center"/>
    </xf>
    <xf numFmtId="164" fontId="33" fillId="7" borderId="48" xfId="0" applyNumberFormat="1" applyFont="1" applyFill="1" applyBorder="1" applyAlignment="1">
      <alignment vertical="center"/>
    </xf>
    <xf numFmtId="164" fontId="33" fillId="7" borderId="35" xfId="0" applyNumberFormat="1" applyFont="1" applyFill="1" applyBorder="1" applyAlignment="1">
      <alignment vertical="center"/>
    </xf>
    <xf numFmtId="166" fontId="33" fillId="7" borderId="46" xfId="0" applyNumberFormat="1" applyFont="1" applyFill="1" applyBorder="1" applyAlignment="1">
      <alignment vertical="center"/>
    </xf>
    <xf numFmtId="166" fontId="33" fillId="7" borderId="43" xfId="0" applyNumberFormat="1" applyFont="1" applyFill="1" applyBorder="1" applyAlignment="1">
      <alignment vertical="center"/>
    </xf>
    <xf numFmtId="166" fontId="33" fillId="10" borderId="43" xfId="0" applyNumberFormat="1" applyFont="1" applyFill="1" applyBorder="1" applyAlignment="1">
      <alignment vertical="center"/>
    </xf>
    <xf numFmtId="166" fontId="33" fillId="10" borderId="35" xfId="0" applyNumberFormat="1" applyFont="1" applyFill="1" applyBorder="1" applyAlignment="1">
      <alignment vertical="center"/>
    </xf>
    <xf numFmtId="164" fontId="1" fillId="0" borderId="0" xfId="0" applyNumberFormat="1" applyFont="1" applyFill="1" applyAlignment="1">
      <alignment horizontal="right"/>
    </xf>
    <xf numFmtId="0" fontId="32" fillId="6" borderId="37" xfId="0" applyFont="1" applyFill="1" applyBorder="1" applyAlignment="1">
      <alignment horizontal="right" vertical="center"/>
    </xf>
    <xf numFmtId="3" fontId="33" fillId="6" borderId="49" xfId="0" applyNumberFormat="1" applyFont="1" applyFill="1" applyBorder="1" applyAlignment="1">
      <alignment vertical="center"/>
    </xf>
    <xf numFmtId="164" fontId="33" fillId="6" borderId="50" xfId="0" applyNumberFormat="1" applyFont="1" applyFill="1" applyBorder="1" applyAlignment="1">
      <alignment vertical="center"/>
    </xf>
    <xf numFmtId="164" fontId="33" fillId="6" borderId="23" xfId="0" applyNumberFormat="1" applyFont="1" applyFill="1" applyBorder="1" applyAlignment="1">
      <alignment vertical="center"/>
    </xf>
    <xf numFmtId="166" fontId="33" fillId="6" borderId="37" xfId="0" applyNumberFormat="1" applyFont="1" applyFill="1" applyBorder="1" applyAlignment="1">
      <alignment vertical="center"/>
    </xf>
    <xf numFmtId="166" fontId="33" fillId="9" borderId="21" xfId="0" applyNumberFormat="1" applyFont="1" applyFill="1" applyBorder="1" applyAlignment="1">
      <alignment vertical="center"/>
    </xf>
    <xf numFmtId="166" fontId="33" fillId="9" borderId="23" xfId="0" applyNumberFormat="1" applyFont="1" applyFill="1" applyBorder="1" applyAlignment="1">
      <alignment vertical="center"/>
    </xf>
    <xf numFmtId="164" fontId="1" fillId="0" borderId="0" xfId="0" applyNumberFormat="1" applyFont="1" applyFill="1"/>
    <xf numFmtId="0" fontId="32" fillId="7" borderId="40" xfId="0" applyFont="1" applyFill="1" applyBorder="1" applyAlignment="1">
      <alignment horizontal="right" vertical="center"/>
    </xf>
    <xf numFmtId="3" fontId="33" fillId="7" borderId="51" xfId="0" applyNumberFormat="1" applyFont="1" applyFill="1" applyBorder="1" applyAlignment="1">
      <alignment vertical="center"/>
    </xf>
    <xf numFmtId="164" fontId="33" fillId="7" borderId="52" xfId="0" applyNumberFormat="1" applyFont="1" applyFill="1" applyBorder="1" applyAlignment="1">
      <alignment vertical="center"/>
    </xf>
    <xf numFmtId="164" fontId="33" fillId="7" borderId="24" xfId="0" applyNumberFormat="1" applyFont="1" applyFill="1" applyBorder="1" applyAlignment="1">
      <alignment vertical="center"/>
    </xf>
    <xf numFmtId="166" fontId="33" fillId="7" borderId="40" xfId="0" applyNumberFormat="1" applyFont="1" applyFill="1" applyBorder="1" applyAlignment="1">
      <alignment vertical="center"/>
    </xf>
    <xf numFmtId="166" fontId="33" fillId="7" borderId="34" xfId="0" applyNumberFormat="1" applyFont="1" applyFill="1" applyBorder="1" applyAlignment="1">
      <alignment vertical="center"/>
    </xf>
    <xf numFmtId="166" fontId="33" fillId="10" borderId="34" xfId="0" applyNumberFormat="1" applyFont="1" applyFill="1" applyBorder="1" applyAlignment="1">
      <alignment vertical="center"/>
    </xf>
    <xf numFmtId="166" fontId="33" fillId="10" borderId="24" xfId="0" applyNumberFormat="1" applyFont="1" applyFill="1" applyBorder="1" applyAlignment="1">
      <alignment vertical="center"/>
    </xf>
    <xf numFmtId="166" fontId="1" fillId="0" borderId="0" xfId="0" applyNumberFormat="1" applyFont="1" applyFill="1" applyAlignment="1">
      <alignment horizontal="right"/>
    </xf>
    <xf numFmtId="0" fontId="1" fillId="0" borderId="0" xfId="0" applyFont="1" applyFill="1"/>
    <xf numFmtId="0" fontId="3" fillId="0" borderId="0" xfId="0" applyFont="1" applyFill="1" applyAlignment="1">
      <alignment horizontal="left"/>
    </xf>
    <xf numFmtId="0" fontId="3" fillId="0" borderId="0" xfId="0" applyFont="1" applyFill="1" applyAlignment="1">
      <alignment horizontal="right"/>
    </xf>
    <xf numFmtId="164" fontId="1" fillId="0" borderId="0" xfId="0" applyNumberFormat="1" applyFont="1" applyFill="1" applyAlignment="1"/>
    <xf numFmtId="0" fontId="22" fillId="0" borderId="0" xfId="0" applyFont="1"/>
    <xf numFmtId="0" fontId="32" fillId="0" borderId="0" xfId="0" applyFont="1" applyFill="1" applyBorder="1" applyAlignment="1">
      <alignment vertical="center"/>
    </xf>
    <xf numFmtId="166" fontId="3" fillId="0" borderId="0" xfId="0" applyNumberFormat="1" applyFont="1" applyFill="1" applyAlignment="1">
      <alignment horizontal="right"/>
    </xf>
    <xf numFmtId="0" fontId="33" fillId="6" borderId="23" xfId="0" applyFont="1" applyFill="1" applyBorder="1" applyAlignment="1">
      <alignment vertical="top"/>
    </xf>
    <xf numFmtId="0" fontId="1" fillId="0" borderId="53" xfId="0" applyFont="1" applyFill="1" applyBorder="1"/>
    <xf numFmtId="3" fontId="33" fillId="6" borderId="37" xfId="0" applyNumberFormat="1" applyFont="1" applyFill="1" applyBorder="1" applyAlignment="1">
      <alignment vertical="top"/>
    </xf>
    <xf numFmtId="3" fontId="33" fillId="6" borderId="23" xfId="0" applyNumberFormat="1" applyFont="1" applyFill="1" applyBorder="1" applyAlignment="1">
      <alignment vertical="top"/>
    </xf>
    <xf numFmtId="164" fontId="33" fillId="6" borderId="37" xfId="0" applyNumberFormat="1" applyFont="1" applyFill="1" applyBorder="1" applyAlignment="1">
      <alignment vertical="top"/>
    </xf>
    <xf numFmtId="166" fontId="33" fillId="6" borderId="37" xfId="0" applyNumberFormat="1" applyFont="1" applyFill="1" applyBorder="1" applyAlignment="1">
      <alignment vertical="top"/>
    </xf>
    <xf numFmtId="166" fontId="1" fillId="0" borderId="0" xfId="0" applyNumberFormat="1" applyFont="1" applyAlignment="1">
      <alignment horizontal="right"/>
    </xf>
    <xf numFmtId="0" fontId="33" fillId="7" borderId="23" xfId="0" applyFont="1" applyFill="1" applyBorder="1" applyAlignment="1">
      <alignment vertical="top"/>
    </xf>
    <xf numFmtId="3" fontId="33" fillId="7" borderId="23" xfId="0" applyNumberFormat="1" applyFont="1" applyFill="1" applyBorder="1" applyAlignment="1">
      <alignment vertical="top"/>
    </xf>
    <xf numFmtId="164" fontId="33" fillId="7" borderId="37" xfId="0" applyNumberFormat="1" applyFont="1" applyFill="1" applyBorder="1" applyAlignment="1">
      <alignment vertical="top"/>
    </xf>
    <xf numFmtId="166" fontId="33" fillId="7" borderId="37" xfId="0" applyNumberFormat="1" applyFont="1" applyFill="1" applyBorder="1" applyAlignment="1">
      <alignment vertical="top"/>
    </xf>
    <xf numFmtId="166" fontId="33" fillId="10" borderId="21" xfId="0" applyNumberFormat="1" applyFont="1" applyFill="1" applyBorder="1" applyAlignment="1">
      <alignment vertical="center"/>
    </xf>
    <xf numFmtId="166" fontId="33" fillId="10" borderId="23" xfId="0" applyNumberFormat="1" applyFont="1" applyFill="1" applyBorder="1" applyAlignment="1">
      <alignment vertical="center"/>
    </xf>
    <xf numFmtId="2" fontId="1" fillId="0" borderId="0" xfId="0" applyNumberFormat="1" applyFont="1" applyFill="1" applyAlignment="1">
      <alignment horizontal="right"/>
    </xf>
    <xf numFmtId="0" fontId="33" fillId="7" borderId="24" xfId="0" applyFont="1" applyFill="1" applyBorder="1" applyAlignment="1">
      <alignment vertical="top"/>
    </xf>
    <xf numFmtId="3" fontId="33" fillId="7" borderId="40" xfId="0" applyNumberFormat="1" applyFont="1" applyFill="1" applyBorder="1" applyAlignment="1">
      <alignment vertical="top"/>
    </xf>
    <xf numFmtId="3" fontId="33" fillId="7" borderId="24" xfId="0" applyNumberFormat="1" applyFont="1" applyFill="1" applyBorder="1" applyAlignment="1">
      <alignment vertical="top"/>
    </xf>
    <xf numFmtId="164" fontId="33" fillId="7" borderId="40" xfId="0" applyNumberFormat="1" applyFont="1" applyFill="1" applyBorder="1" applyAlignment="1">
      <alignment vertical="top"/>
    </xf>
    <xf numFmtId="164" fontId="33" fillId="7" borderId="24" xfId="0" applyNumberFormat="1" applyFont="1" applyFill="1" applyBorder="1" applyAlignment="1">
      <alignment vertical="top"/>
    </xf>
    <xf numFmtId="166" fontId="33" fillId="7" borderId="40" xfId="0" applyNumberFormat="1" applyFont="1" applyFill="1" applyBorder="1" applyAlignment="1">
      <alignment vertical="top"/>
    </xf>
    <xf numFmtId="166" fontId="33" fillId="7" borderId="34" xfId="0" applyNumberFormat="1" applyFont="1" applyFill="1" applyBorder="1" applyAlignment="1">
      <alignment vertical="top"/>
    </xf>
    <xf numFmtId="1" fontId="0" fillId="0" borderId="0" xfId="0" applyNumberFormat="1" applyFont="1"/>
    <xf numFmtId="14" fontId="0" fillId="0" borderId="0" xfId="0" applyNumberFormat="1" applyFont="1" applyAlignment="1">
      <alignment horizontal="left"/>
    </xf>
    <xf numFmtId="2" fontId="0" fillId="0" borderId="0" xfId="0" applyNumberFormat="1" applyFont="1" applyAlignment="1">
      <alignment horizontal="right"/>
    </xf>
    <xf numFmtId="0" fontId="0" fillId="0" borderId="0" xfId="0" quotePrefix="1" applyFont="1"/>
    <xf numFmtId="14" fontId="3" fillId="0" borderId="0" xfId="0" applyNumberFormat="1" applyFont="1" applyAlignment="1">
      <alignment horizontal="left"/>
    </xf>
    <xf numFmtId="0" fontId="3" fillId="0" borderId="0" xfId="0" applyFont="1" applyAlignment="1">
      <alignment horizontal="right"/>
    </xf>
    <xf numFmtId="0" fontId="29" fillId="0" borderId="0" xfId="0" applyFont="1" applyFill="1" applyBorder="1" applyAlignment="1">
      <alignment horizontal="left"/>
    </xf>
    <xf numFmtId="14" fontId="36" fillId="0" borderId="0" xfId="0" applyNumberFormat="1" applyFont="1" applyAlignment="1">
      <alignment horizontal="left"/>
    </xf>
    <xf numFmtId="2" fontId="3" fillId="0" borderId="0" xfId="0" applyNumberFormat="1" applyFont="1" applyAlignment="1">
      <alignment horizontal="right" vertical="top" wrapText="1"/>
    </xf>
    <xf numFmtId="14" fontId="3" fillId="0" borderId="0" xfId="0" applyNumberFormat="1" applyFont="1" applyAlignment="1">
      <alignment horizontal="left" vertical="top" wrapText="1"/>
    </xf>
    <xf numFmtId="0" fontId="3" fillId="0" borderId="0" xfId="0" applyFont="1" applyAlignment="1">
      <alignment horizontal="right" vertical="top" wrapText="1"/>
    </xf>
    <xf numFmtId="0" fontId="36" fillId="0" borderId="0" xfId="0" applyFont="1" applyAlignment="1">
      <alignment horizontal="left" vertical="center"/>
    </xf>
    <xf numFmtId="0" fontId="3" fillId="0" borderId="0" xfId="0" applyFont="1" applyBorder="1" applyAlignment="1">
      <alignment horizontal="right"/>
    </xf>
    <xf numFmtId="0" fontId="3" fillId="0" borderId="0" xfId="0" applyFont="1" applyBorder="1" applyAlignment="1">
      <alignment horizontal="right" vertical="top"/>
    </xf>
    <xf numFmtId="0" fontId="3" fillId="0" borderId="0" xfId="0" applyFont="1" applyAlignment="1">
      <alignment horizontal="center" wrapText="1"/>
    </xf>
    <xf numFmtId="2" fontId="1" fillId="0" borderId="0" xfId="0" applyNumberFormat="1" applyFont="1" applyFill="1" applyBorder="1"/>
    <xf numFmtId="2" fontId="1" fillId="0" borderId="0" xfId="0" applyNumberFormat="1" applyFont="1" applyFill="1"/>
    <xf numFmtId="14" fontId="33" fillId="6" borderId="54" xfId="0" applyNumberFormat="1" applyFont="1" applyFill="1" applyBorder="1" applyAlignment="1">
      <alignment vertical="top"/>
    </xf>
    <xf numFmtId="2" fontId="33" fillId="6" borderId="42" xfId="0" applyNumberFormat="1" applyFont="1" applyFill="1" applyBorder="1" applyAlignment="1">
      <alignment vertical="top"/>
    </xf>
    <xf numFmtId="2" fontId="33" fillId="6" borderId="36" xfId="0" applyNumberFormat="1" applyFont="1" applyFill="1" applyBorder="1" applyAlignment="1">
      <alignment vertical="top"/>
    </xf>
    <xf numFmtId="2" fontId="33" fillId="6" borderId="54" xfId="0" applyNumberFormat="1" applyFont="1" applyFill="1" applyBorder="1" applyAlignment="1">
      <alignment vertical="top"/>
    </xf>
    <xf numFmtId="2" fontId="1" fillId="0" borderId="0" xfId="0" applyNumberFormat="1" applyFont="1"/>
    <xf numFmtId="14" fontId="33" fillId="7" borderId="37" xfId="0" applyNumberFormat="1" applyFont="1" applyFill="1" applyBorder="1" applyAlignment="1">
      <alignment vertical="top"/>
    </xf>
    <xf numFmtId="2" fontId="33" fillId="7" borderId="23" xfId="0" applyNumberFormat="1" applyFont="1" applyFill="1" applyBorder="1" applyAlignment="1">
      <alignment vertical="top"/>
    </xf>
    <xf numFmtId="2" fontId="33" fillId="7" borderId="37" xfId="0" applyNumberFormat="1" applyFont="1" applyFill="1" applyBorder="1" applyAlignment="1">
      <alignment vertical="top"/>
    </xf>
    <xf numFmtId="14" fontId="3" fillId="0" borderId="0" xfId="0" applyNumberFormat="1" applyFont="1" applyFill="1" applyBorder="1" applyAlignment="1">
      <alignment horizontal="center"/>
    </xf>
    <xf numFmtId="14" fontId="33" fillId="6" borderId="37" xfId="0" applyNumberFormat="1" applyFont="1" applyFill="1" applyBorder="1" applyAlignment="1">
      <alignment vertical="top"/>
    </xf>
    <xf numFmtId="2" fontId="33" fillId="6" borderId="23" xfId="0" applyNumberFormat="1" applyFont="1" applyFill="1" applyBorder="1" applyAlignment="1">
      <alignment vertical="top"/>
    </xf>
    <xf numFmtId="2" fontId="33" fillId="6" borderId="37" xfId="0" applyNumberFormat="1" applyFont="1" applyFill="1" applyBorder="1" applyAlignment="1">
      <alignment vertical="top"/>
    </xf>
    <xf numFmtId="14" fontId="1" fillId="0" borderId="0" xfId="0" applyNumberFormat="1" applyFont="1" applyFill="1" applyBorder="1" applyAlignment="1">
      <alignment horizontal="left"/>
    </xf>
    <xf numFmtId="1" fontId="1" fillId="0" borderId="0" xfId="0" applyNumberFormat="1" applyFont="1" applyFill="1" applyBorder="1"/>
    <xf numFmtId="14" fontId="0" fillId="0" borderId="0" xfId="0" applyNumberFormat="1" applyFont="1" applyFill="1" applyBorder="1" applyAlignment="1">
      <alignment horizontal="left"/>
    </xf>
    <xf numFmtId="1" fontId="0" fillId="0" borderId="0" xfId="0" applyNumberFormat="1" applyFont="1" applyFill="1" applyBorder="1"/>
    <xf numFmtId="2" fontId="0" fillId="0" borderId="0" xfId="0" applyNumberFormat="1" applyFont="1" applyFill="1" applyBorder="1"/>
    <xf numFmtId="2" fontId="0" fillId="0" borderId="0" xfId="0" applyNumberFormat="1" applyFont="1" applyFill="1"/>
    <xf numFmtId="14" fontId="33" fillId="6" borderId="40" xfId="0" applyNumberFormat="1" applyFont="1" applyFill="1" applyBorder="1" applyAlignment="1">
      <alignment vertical="top"/>
    </xf>
    <xf numFmtId="2" fontId="33" fillId="6" borderId="24" xfId="0" applyNumberFormat="1" applyFont="1" applyFill="1" applyBorder="1" applyAlignment="1">
      <alignment vertical="top"/>
    </xf>
    <xf numFmtId="0" fontId="33" fillId="6" borderId="34" xfId="0" applyFont="1" applyFill="1" applyBorder="1" applyAlignment="1">
      <alignment vertical="top"/>
    </xf>
    <xf numFmtId="2" fontId="33" fillId="6" borderId="40" xfId="0" applyNumberFormat="1" applyFont="1" applyFill="1" applyBorder="1" applyAlignment="1">
      <alignment vertical="top"/>
    </xf>
    <xf numFmtId="0" fontId="1" fillId="0" borderId="0" xfId="0" quotePrefix="1" applyFont="1" applyAlignment="1">
      <alignment horizontal="right"/>
    </xf>
    <xf numFmtId="0" fontId="30" fillId="5" borderId="44" xfId="0" applyFont="1" applyFill="1" applyBorder="1" applyAlignment="1">
      <alignment vertical="center"/>
    </xf>
    <xf numFmtId="0" fontId="30" fillId="5" borderId="55" xfId="0" applyFont="1" applyFill="1" applyBorder="1" applyAlignment="1">
      <alignment horizontal="center" vertical="center"/>
    </xf>
    <xf numFmtId="0" fontId="30" fillId="11" borderId="102" xfId="0" applyFont="1" applyFill="1" applyBorder="1" applyAlignment="1">
      <alignment horizontal="center" vertical="center"/>
    </xf>
    <xf numFmtId="0" fontId="30" fillId="11" borderId="103" xfId="0" applyFont="1" applyFill="1" applyBorder="1" applyAlignment="1">
      <alignment horizontal="center" vertical="center"/>
    </xf>
    <xf numFmtId="0" fontId="30" fillId="11" borderId="104" xfId="0" applyFont="1" applyFill="1" applyBorder="1" applyAlignment="1">
      <alignment horizontal="center" vertical="center"/>
    </xf>
    <xf numFmtId="0" fontId="3" fillId="0" borderId="0" xfId="0" applyFont="1" applyFill="1" applyBorder="1" applyAlignment="1">
      <alignment horizontal="right"/>
    </xf>
    <xf numFmtId="37" fontId="33" fillId="6" borderId="21" xfId="0" applyNumberFormat="1" applyFont="1" applyFill="1" applyBorder="1" applyAlignment="1">
      <alignment vertical="top"/>
    </xf>
    <xf numFmtId="37" fontId="33" fillId="6" borderId="22" xfId="0" applyNumberFormat="1" applyFont="1" applyFill="1" applyBorder="1" applyAlignment="1">
      <alignment vertical="top"/>
    </xf>
    <xf numFmtId="37" fontId="33" fillId="7" borderId="21" xfId="0" applyNumberFormat="1" applyFont="1" applyFill="1" applyBorder="1" applyAlignment="1">
      <alignment vertical="top"/>
    </xf>
    <xf numFmtId="37" fontId="33" fillId="7" borderId="22" xfId="0" applyNumberFormat="1" applyFont="1" applyFill="1" applyBorder="1" applyAlignment="1">
      <alignment vertical="top"/>
    </xf>
    <xf numFmtId="37" fontId="33" fillId="10" borderId="21" xfId="0" applyNumberFormat="1" applyFont="1" applyFill="1" applyBorder="1" applyAlignment="1">
      <alignment vertical="center"/>
    </xf>
    <xf numFmtId="37" fontId="33" fillId="10" borderId="23" xfId="0" applyNumberFormat="1" applyFont="1" applyFill="1" applyBorder="1" applyAlignment="1">
      <alignment vertical="center"/>
    </xf>
    <xf numFmtId="169" fontId="33" fillId="7" borderId="21" xfId="0" applyNumberFormat="1" applyFont="1" applyFill="1" applyBorder="1" applyAlignment="1">
      <alignment vertical="top"/>
    </xf>
    <xf numFmtId="169" fontId="33" fillId="7" borderId="22" xfId="0" applyNumberFormat="1" applyFont="1" applyFill="1" applyBorder="1" applyAlignment="1">
      <alignment vertical="top"/>
    </xf>
    <xf numFmtId="169" fontId="33" fillId="6" borderId="21" xfId="0" applyNumberFormat="1" applyFont="1" applyFill="1" applyBorder="1" applyAlignment="1">
      <alignment vertical="top"/>
    </xf>
    <xf numFmtId="169" fontId="33" fillId="6" borderId="22" xfId="0" applyNumberFormat="1" applyFont="1" applyFill="1" applyBorder="1" applyAlignment="1">
      <alignment vertical="top"/>
    </xf>
    <xf numFmtId="4" fontId="1" fillId="0" borderId="0" xfId="0" applyNumberFormat="1" applyFont="1" applyFill="1"/>
    <xf numFmtId="167" fontId="1" fillId="0" borderId="0" xfId="0" applyNumberFormat="1" applyFont="1"/>
    <xf numFmtId="166" fontId="33" fillId="10" borderId="21" xfId="0" applyNumberFormat="1" applyFont="1" applyFill="1" applyBorder="1" applyAlignment="1">
      <alignment vertical="top"/>
    </xf>
    <xf numFmtId="166" fontId="33" fillId="10" borderId="23" xfId="0" applyNumberFormat="1" applyFont="1" applyFill="1" applyBorder="1" applyAlignment="1">
      <alignment vertical="top"/>
    </xf>
    <xf numFmtId="0" fontId="0" fillId="0" borderId="0" xfId="0" applyFont="1" applyAlignment="1">
      <alignment horizontal="center"/>
    </xf>
    <xf numFmtId="170" fontId="1" fillId="0" borderId="0" xfId="0" applyNumberFormat="1" applyFont="1" applyAlignment="1">
      <alignment horizontal="left"/>
    </xf>
    <xf numFmtId="9" fontId="1" fillId="0" borderId="0" xfId="0" applyNumberFormat="1" applyFont="1" applyAlignment="1">
      <alignment horizontal="center"/>
    </xf>
    <xf numFmtId="170" fontId="1" fillId="0" borderId="0" xfId="0" applyNumberFormat="1" applyFont="1"/>
    <xf numFmtId="0" fontId="30" fillId="5" borderId="56" xfId="0" applyFont="1" applyFill="1" applyBorder="1" applyAlignment="1">
      <alignment horizontal="center" vertical="center"/>
    </xf>
    <xf numFmtId="9" fontId="33" fillId="7" borderId="21" xfId="0" applyNumberFormat="1" applyFont="1" applyFill="1" applyBorder="1" applyAlignment="1">
      <alignment vertical="top"/>
    </xf>
    <xf numFmtId="9" fontId="33" fillId="7" borderId="23" xfId="0" applyNumberFormat="1" applyFont="1" applyFill="1" applyBorder="1" applyAlignment="1">
      <alignment vertical="top"/>
    </xf>
    <xf numFmtId="2" fontId="33" fillId="7" borderId="36" xfId="0" applyNumberFormat="1" applyFont="1" applyFill="1" applyBorder="1" applyAlignment="1">
      <alignment vertical="top"/>
    </xf>
    <xf numFmtId="170" fontId="33" fillId="7" borderId="36" xfId="0" applyNumberFormat="1" applyFont="1" applyFill="1" applyBorder="1" applyAlignment="1">
      <alignment vertical="top"/>
    </xf>
    <xf numFmtId="9" fontId="33" fillId="6" borderId="21" xfId="0" applyNumberFormat="1" applyFont="1" applyFill="1" applyBorder="1" applyAlignment="1">
      <alignment vertical="top"/>
    </xf>
    <xf numFmtId="9" fontId="33" fillId="6" borderId="23" xfId="0" applyNumberFormat="1" applyFont="1" applyFill="1" applyBorder="1" applyAlignment="1">
      <alignment vertical="top"/>
    </xf>
    <xf numFmtId="170" fontId="33" fillId="6" borderId="23" xfId="0" applyNumberFormat="1" applyFont="1" applyFill="1" applyBorder="1" applyAlignment="1">
      <alignment vertical="top"/>
    </xf>
    <xf numFmtId="170" fontId="33" fillId="7" borderId="23" xfId="0" applyNumberFormat="1" applyFont="1" applyFill="1" applyBorder="1" applyAlignment="1">
      <alignment vertical="top"/>
    </xf>
    <xf numFmtId="170" fontId="33" fillId="6" borderId="24" xfId="0" applyNumberFormat="1" applyFont="1" applyFill="1" applyBorder="1" applyAlignment="1">
      <alignment vertical="top"/>
    </xf>
    <xf numFmtId="0" fontId="0" fillId="0" borderId="0" xfId="0" applyFont="1" applyBorder="1"/>
    <xf numFmtId="0" fontId="30" fillId="5" borderId="97" xfId="0" applyFont="1" applyFill="1" applyBorder="1" applyAlignment="1">
      <alignment horizontal="center" vertical="center"/>
    </xf>
    <xf numFmtId="0" fontId="30" fillId="5" borderId="98" xfId="0" applyFont="1" applyFill="1" applyBorder="1" applyAlignment="1">
      <alignment horizontal="center" vertical="center"/>
    </xf>
    <xf numFmtId="0" fontId="30" fillId="5" borderId="96" xfId="0" applyFont="1" applyFill="1" applyBorder="1" applyAlignment="1">
      <alignment horizontal="center" vertical="center"/>
    </xf>
    <xf numFmtId="14" fontId="33" fillId="6" borderId="42" xfId="0" applyNumberFormat="1" applyFont="1" applyFill="1" applyBorder="1" applyAlignment="1">
      <alignment vertical="top"/>
    </xf>
    <xf numFmtId="164" fontId="33" fillId="6" borderId="36" xfId="0" applyNumberFormat="1" applyFont="1" applyFill="1" applyBorder="1" applyAlignment="1">
      <alignment vertical="top"/>
    </xf>
    <xf numFmtId="0" fontId="1" fillId="0" borderId="0" xfId="0" applyFont="1" applyFill="1" applyAlignment="1">
      <alignment horizontal="right"/>
    </xf>
    <xf numFmtId="0" fontId="33" fillId="6" borderId="42" xfId="0" applyFont="1" applyFill="1" applyBorder="1" applyAlignment="1">
      <alignment vertical="top"/>
    </xf>
    <xf numFmtId="14" fontId="33" fillId="7" borderId="21" xfId="0" applyNumberFormat="1" applyFont="1" applyFill="1" applyBorder="1" applyAlignment="1">
      <alignment vertical="top"/>
    </xf>
    <xf numFmtId="14" fontId="33" fillId="6" borderId="21" xfId="0" applyNumberFormat="1" applyFont="1" applyFill="1" applyBorder="1" applyAlignment="1">
      <alignment vertical="top"/>
    </xf>
    <xf numFmtId="0" fontId="1" fillId="0" borderId="0" xfId="0" applyFont="1" applyAlignment="1">
      <alignment horizontal="right"/>
    </xf>
    <xf numFmtId="14" fontId="33" fillId="7" borderId="34" xfId="0" applyNumberFormat="1" applyFont="1" applyFill="1" applyBorder="1" applyAlignment="1">
      <alignment vertical="top"/>
    </xf>
    <xf numFmtId="2" fontId="33" fillId="7" borderId="34" xfId="0" applyNumberFormat="1" applyFont="1" applyFill="1" applyBorder="1" applyAlignment="1">
      <alignment vertical="top"/>
    </xf>
    <xf numFmtId="14" fontId="33" fillId="7" borderId="40" xfId="0" applyNumberFormat="1" applyFont="1" applyFill="1" applyBorder="1" applyAlignment="1">
      <alignment vertical="top"/>
    </xf>
    <xf numFmtId="0" fontId="30" fillId="5" borderId="94" xfId="0" applyFont="1" applyFill="1" applyBorder="1" applyAlignment="1">
      <alignment horizontal="center" vertical="center"/>
    </xf>
    <xf numFmtId="0" fontId="30" fillId="5" borderId="106" xfId="0" applyFont="1" applyFill="1" applyBorder="1" applyAlignment="1">
      <alignment horizontal="center" vertical="center"/>
    </xf>
    <xf numFmtId="0" fontId="30" fillId="5" borderId="93" xfId="0" applyFont="1" applyFill="1" applyBorder="1" applyAlignment="1">
      <alignment horizontal="center" vertical="center"/>
    </xf>
    <xf numFmtId="39" fontId="33" fillId="6" borderId="42" xfId="0" applyNumberFormat="1" applyFont="1" applyFill="1" applyBorder="1" applyAlignment="1">
      <alignment vertical="top"/>
    </xf>
    <xf numFmtId="39" fontId="33" fillId="6" borderId="36" xfId="0" applyNumberFormat="1" applyFont="1" applyFill="1" applyBorder="1" applyAlignment="1">
      <alignment vertical="top"/>
    </xf>
    <xf numFmtId="39" fontId="33" fillId="6" borderId="54" xfId="0" applyNumberFormat="1" applyFont="1" applyFill="1" applyBorder="1" applyAlignment="1">
      <alignment vertical="top"/>
    </xf>
    <xf numFmtId="10" fontId="33" fillId="6" borderId="54" xfId="0" applyNumberFormat="1" applyFont="1" applyFill="1" applyBorder="1" applyAlignment="1">
      <alignment vertical="top"/>
    </xf>
    <xf numFmtId="10" fontId="33" fillId="6" borderId="42" xfId="0" applyNumberFormat="1" applyFont="1" applyFill="1" applyBorder="1" applyAlignment="1">
      <alignment vertical="top"/>
    </xf>
    <xf numFmtId="10" fontId="33" fillId="6" borderId="36" xfId="0" applyNumberFormat="1" applyFont="1" applyFill="1" applyBorder="1" applyAlignment="1">
      <alignment vertical="top"/>
    </xf>
    <xf numFmtId="39" fontId="33" fillId="7" borderId="21" xfId="0" applyNumberFormat="1" applyFont="1" applyFill="1" applyBorder="1" applyAlignment="1">
      <alignment vertical="top"/>
    </xf>
    <xf numFmtId="39" fontId="33" fillId="7" borderId="23" xfId="0" applyNumberFormat="1" applyFont="1" applyFill="1" applyBorder="1" applyAlignment="1">
      <alignment vertical="top"/>
    </xf>
    <xf numFmtId="39" fontId="33" fillId="7" borderId="37" xfId="0" applyNumberFormat="1" applyFont="1" applyFill="1" applyBorder="1" applyAlignment="1">
      <alignment vertical="top"/>
    </xf>
    <xf numFmtId="10" fontId="33" fillId="7" borderId="37" xfId="0" applyNumberFormat="1" applyFont="1" applyFill="1" applyBorder="1" applyAlignment="1">
      <alignment vertical="top"/>
    </xf>
    <xf numFmtId="10" fontId="33" fillId="7" borderId="21" xfId="0" applyNumberFormat="1" applyFont="1" applyFill="1" applyBorder="1" applyAlignment="1">
      <alignment vertical="top"/>
    </xf>
    <xf numFmtId="10" fontId="33" fillId="7" borderId="23" xfId="0" applyNumberFormat="1" applyFont="1" applyFill="1" applyBorder="1" applyAlignment="1">
      <alignment vertical="top"/>
    </xf>
    <xf numFmtId="10" fontId="33" fillId="6" borderId="37" xfId="0" applyNumberFormat="1" applyFont="1" applyFill="1" applyBorder="1" applyAlignment="1">
      <alignment vertical="top"/>
    </xf>
    <xf numFmtId="10" fontId="33" fillId="6" borderId="21" xfId="0" applyNumberFormat="1" applyFont="1" applyFill="1" applyBorder="1" applyAlignment="1">
      <alignment vertical="top"/>
    </xf>
    <xf numFmtId="10" fontId="33" fillId="6" borderId="23" xfId="0" applyNumberFormat="1" applyFont="1" applyFill="1" applyBorder="1" applyAlignment="1">
      <alignment vertical="top"/>
    </xf>
    <xf numFmtId="37" fontId="33" fillId="7" borderId="23" xfId="0" applyNumberFormat="1" applyFont="1" applyFill="1" applyBorder="1" applyAlignment="1">
      <alignment vertical="top"/>
    </xf>
    <xf numFmtId="37" fontId="33" fillId="7" borderId="37" xfId="0" applyNumberFormat="1" applyFont="1" applyFill="1" applyBorder="1" applyAlignment="1">
      <alignment vertical="top"/>
    </xf>
    <xf numFmtId="37" fontId="33" fillId="6" borderId="23" xfId="0" applyNumberFormat="1" applyFont="1" applyFill="1" applyBorder="1" applyAlignment="1">
      <alignment vertical="top"/>
    </xf>
    <xf numFmtId="37" fontId="33" fillId="6" borderId="37" xfId="0" applyNumberFormat="1" applyFont="1" applyFill="1" applyBorder="1" applyAlignment="1">
      <alignment vertical="top"/>
    </xf>
    <xf numFmtId="39" fontId="33" fillId="6" borderId="21" xfId="0" applyNumberFormat="1" applyFont="1" applyFill="1" applyBorder="1" applyAlignment="1">
      <alignment vertical="top"/>
    </xf>
    <xf numFmtId="39" fontId="33" fillId="6" borderId="23" xfId="0" applyNumberFormat="1" applyFont="1" applyFill="1" applyBorder="1" applyAlignment="1">
      <alignment vertical="top"/>
    </xf>
    <xf numFmtId="39" fontId="33" fillId="6" borderId="37" xfId="0" applyNumberFormat="1" applyFont="1" applyFill="1" applyBorder="1" applyAlignment="1">
      <alignment vertical="top"/>
    </xf>
    <xf numFmtId="0" fontId="33" fillId="7" borderId="37" xfId="0" applyFont="1" applyFill="1" applyBorder="1" applyAlignment="1">
      <alignment vertical="top"/>
    </xf>
    <xf numFmtId="0" fontId="33" fillId="6" borderId="37" xfId="0" applyFont="1" applyFill="1" applyBorder="1" applyAlignment="1">
      <alignment vertical="top"/>
    </xf>
    <xf numFmtId="165" fontId="0" fillId="0" borderId="0" xfId="0" applyNumberFormat="1" applyFont="1"/>
    <xf numFmtId="14" fontId="33" fillId="7" borderId="54" xfId="0" applyNumberFormat="1" applyFont="1" applyFill="1" applyBorder="1" applyAlignment="1">
      <alignment vertical="top"/>
    </xf>
    <xf numFmtId="165" fontId="33" fillId="7" borderId="42" xfId="0" applyNumberFormat="1" applyFont="1" applyFill="1" applyBorder="1" applyAlignment="1">
      <alignment vertical="top"/>
    </xf>
    <xf numFmtId="165" fontId="33" fillId="7" borderId="36" xfId="0" applyNumberFormat="1" applyFont="1" applyFill="1" applyBorder="1" applyAlignment="1">
      <alignment vertical="top"/>
    </xf>
    <xf numFmtId="165" fontId="33" fillId="7" borderId="54" xfId="0" applyNumberFormat="1" applyFont="1" applyFill="1" applyBorder="1" applyAlignment="1">
      <alignment vertical="top"/>
    </xf>
    <xf numFmtId="165" fontId="33" fillId="6" borderId="21" xfId="0" applyNumberFormat="1" applyFont="1" applyFill="1" applyBorder="1" applyAlignment="1">
      <alignment vertical="top"/>
    </xf>
    <xf numFmtId="165" fontId="33" fillId="6" borderId="23" xfId="0" applyNumberFormat="1" applyFont="1" applyFill="1" applyBorder="1" applyAlignment="1">
      <alignment vertical="top"/>
    </xf>
    <xf numFmtId="165" fontId="33" fillId="6" borderId="37" xfId="0" applyNumberFormat="1" applyFont="1" applyFill="1" applyBorder="1" applyAlignment="1">
      <alignment vertical="top"/>
    </xf>
    <xf numFmtId="165" fontId="33" fillId="7" borderId="21" xfId="0" applyNumberFormat="1" applyFont="1" applyFill="1" applyBorder="1" applyAlignment="1">
      <alignment vertical="top"/>
    </xf>
    <xf numFmtId="165" fontId="33" fillId="7" borderId="23" xfId="0" applyNumberFormat="1" applyFont="1" applyFill="1" applyBorder="1" applyAlignment="1">
      <alignment vertical="top"/>
    </xf>
    <xf numFmtId="165" fontId="33" fillId="7" borderId="37" xfId="0" applyNumberFormat="1" applyFont="1" applyFill="1" applyBorder="1" applyAlignment="1">
      <alignment vertical="top"/>
    </xf>
    <xf numFmtId="165" fontId="33" fillId="7" borderId="24" xfId="0" applyNumberFormat="1" applyFont="1" applyFill="1" applyBorder="1" applyAlignment="1">
      <alignment vertical="top"/>
    </xf>
    <xf numFmtId="165" fontId="33" fillId="6" borderId="24" xfId="0" applyNumberFormat="1" applyFont="1" applyFill="1" applyBorder="1" applyAlignment="1">
      <alignment vertical="top"/>
    </xf>
    <xf numFmtId="165" fontId="33" fillId="6" borderId="34" xfId="0" applyNumberFormat="1" applyFont="1" applyFill="1" applyBorder="1" applyAlignment="1">
      <alignment vertical="top"/>
    </xf>
    <xf numFmtId="165" fontId="33" fillId="6" borderId="40" xfId="0" applyNumberFormat="1" applyFont="1" applyFill="1" applyBorder="1" applyAlignment="1">
      <alignment vertical="top"/>
    </xf>
    <xf numFmtId="0" fontId="30" fillId="0" borderId="0" xfId="0" applyFont="1" applyFill="1" applyBorder="1" applyAlignment="1">
      <alignment horizontal="center" vertical="center"/>
    </xf>
    <xf numFmtId="0" fontId="30" fillId="5" borderId="107" xfId="0" applyFont="1" applyFill="1" applyBorder="1" applyAlignment="1">
      <alignment vertical="center"/>
    </xf>
    <xf numFmtId="0" fontId="30" fillId="5" borderId="108" xfId="0" applyFont="1" applyFill="1" applyBorder="1" applyAlignment="1">
      <alignment vertical="center"/>
    </xf>
    <xf numFmtId="167" fontId="33" fillId="6" borderId="36" xfId="0" applyNumberFormat="1" applyFont="1" applyFill="1" applyBorder="1" applyAlignment="1">
      <alignment vertical="top"/>
    </xf>
    <xf numFmtId="167" fontId="33" fillId="0" borderId="0" xfId="0" applyNumberFormat="1" applyFont="1" applyFill="1" applyBorder="1" applyAlignment="1">
      <alignment vertical="top"/>
    </xf>
    <xf numFmtId="164" fontId="33" fillId="0" borderId="0" xfId="0" applyNumberFormat="1" applyFont="1" applyFill="1" applyBorder="1" applyAlignment="1">
      <alignment vertical="top"/>
    </xf>
    <xf numFmtId="10" fontId="0" fillId="0" borderId="0" xfId="0" applyNumberFormat="1" applyFont="1"/>
    <xf numFmtId="10" fontId="33" fillId="0" borderId="0" xfId="0" applyNumberFormat="1" applyFont="1" applyFill="1" applyBorder="1" applyAlignment="1">
      <alignment vertical="top"/>
    </xf>
    <xf numFmtId="2" fontId="33" fillId="0" borderId="0" xfId="0" applyNumberFormat="1" applyFont="1" applyFill="1" applyBorder="1" applyAlignment="1">
      <alignment vertical="top"/>
    </xf>
    <xf numFmtId="10" fontId="33" fillId="7" borderId="24" xfId="0" applyNumberFormat="1" applyFont="1" applyFill="1" applyBorder="1" applyAlignment="1">
      <alignment vertical="top"/>
    </xf>
    <xf numFmtId="0" fontId="1" fillId="0" borderId="0" xfId="0" applyFont="1" applyAlignment="1">
      <alignment horizontal="center"/>
    </xf>
    <xf numFmtId="0" fontId="30" fillId="0" borderId="0" xfId="0" applyFont="1" applyFill="1" applyBorder="1" applyAlignment="1">
      <alignment vertical="center"/>
    </xf>
    <xf numFmtId="10" fontId="33" fillId="6" borderId="24" xfId="0" applyNumberFormat="1" applyFont="1" applyFill="1" applyBorder="1" applyAlignment="1">
      <alignment vertical="top"/>
    </xf>
    <xf numFmtId="0" fontId="1" fillId="0" borderId="0" xfId="0" applyFont="1" applyFill="1" applyBorder="1" applyAlignment="1">
      <alignment horizontal="center"/>
    </xf>
    <xf numFmtId="10" fontId="1" fillId="0" borderId="0" xfId="0" applyNumberFormat="1" applyFont="1" applyAlignment="1">
      <alignment horizontal="center"/>
    </xf>
    <xf numFmtId="0" fontId="30" fillId="5" borderId="56" xfId="0" applyFont="1" applyFill="1" applyBorder="1" applyAlignment="1">
      <alignment horizontal="center" vertical="center" wrapText="1"/>
    </xf>
    <xf numFmtId="0" fontId="30" fillId="5" borderId="58" xfId="0" applyFont="1" applyFill="1" applyBorder="1" applyAlignment="1">
      <alignment vertical="center" wrapText="1"/>
    </xf>
    <xf numFmtId="10" fontId="33" fillId="7" borderId="109" xfId="0" applyNumberFormat="1" applyFont="1" applyFill="1" applyBorder="1" applyAlignment="1">
      <alignment vertical="top"/>
    </xf>
    <xf numFmtId="14" fontId="33" fillId="7" borderId="110" xfId="0" applyNumberFormat="1" applyFont="1" applyFill="1" applyBorder="1" applyAlignment="1">
      <alignment vertical="top"/>
    </xf>
    <xf numFmtId="0" fontId="33" fillId="7" borderId="109" xfId="0" applyFont="1" applyFill="1" applyBorder="1" applyAlignment="1">
      <alignment vertical="top"/>
    </xf>
    <xf numFmtId="14" fontId="33" fillId="6" borderId="22" xfId="0" applyNumberFormat="1" applyFont="1" applyFill="1" applyBorder="1" applyAlignment="1">
      <alignment vertical="top"/>
    </xf>
    <xf numFmtId="14" fontId="33" fillId="7" borderId="22" xfId="0" applyNumberFormat="1" applyFont="1" applyFill="1" applyBorder="1" applyAlignment="1">
      <alignment vertical="top"/>
    </xf>
    <xf numFmtId="10" fontId="33" fillId="6" borderId="34" xfId="0" applyNumberFormat="1" applyFont="1" applyFill="1" applyBorder="1" applyAlignment="1">
      <alignment vertical="top"/>
    </xf>
    <xf numFmtId="14" fontId="33" fillId="6" borderId="59" xfId="0" applyNumberFormat="1" applyFont="1" applyFill="1" applyBorder="1" applyAlignment="1">
      <alignment vertical="top"/>
    </xf>
    <xf numFmtId="3" fontId="1" fillId="0" borderId="0" xfId="0" applyNumberFormat="1" applyFont="1" applyFill="1"/>
    <xf numFmtId="10" fontId="1" fillId="0" borderId="0" xfId="0" applyNumberFormat="1" applyFont="1" applyFill="1" applyAlignment="1">
      <alignment horizontal="center"/>
    </xf>
    <xf numFmtId="14" fontId="1" fillId="0" borderId="0" xfId="0" applyNumberFormat="1" applyFont="1" applyFill="1"/>
    <xf numFmtId="0" fontId="1" fillId="0" borderId="0" xfId="0" applyFont="1" applyFill="1" applyAlignment="1">
      <alignment horizontal="center"/>
    </xf>
    <xf numFmtId="0" fontId="30" fillId="5" borderId="111" xfId="0" applyFont="1" applyFill="1" applyBorder="1" applyAlignment="1">
      <alignment horizontal="center" vertical="center" wrapText="1"/>
    </xf>
    <xf numFmtId="0" fontId="30" fillId="5" borderId="112" xfId="0" applyFont="1" applyFill="1" applyBorder="1" applyAlignment="1">
      <alignment horizontal="center" vertical="center" wrapText="1"/>
    </xf>
    <xf numFmtId="0" fontId="30" fillId="0" borderId="50" xfId="0" applyFont="1" applyFill="1" applyBorder="1" applyAlignment="1">
      <alignment horizontal="center" vertical="center" wrapText="1"/>
    </xf>
    <xf numFmtId="0" fontId="0" fillId="0" borderId="0" xfId="0" applyFont="1" applyFill="1" applyAlignment="1">
      <alignment horizontal="center"/>
    </xf>
    <xf numFmtId="0" fontId="33" fillId="6" borderId="41" xfId="0" applyFont="1" applyFill="1" applyBorder="1" applyAlignment="1">
      <alignment horizontal="right" vertical="top"/>
    </xf>
    <xf numFmtId="0" fontId="33" fillId="0" borderId="50" xfId="0" applyFont="1" applyFill="1" applyBorder="1" applyAlignment="1">
      <alignment vertical="top"/>
    </xf>
    <xf numFmtId="0" fontId="33" fillId="7" borderId="22" xfId="0" applyFont="1" applyFill="1" applyBorder="1" applyAlignment="1">
      <alignment horizontal="right" vertical="top"/>
    </xf>
    <xf numFmtId="0" fontId="33" fillId="6" borderId="22" xfId="0" applyFont="1" applyFill="1" applyBorder="1" applyAlignment="1">
      <alignment horizontal="right" vertical="top"/>
    </xf>
    <xf numFmtId="14" fontId="33" fillId="6" borderId="34" xfId="0" applyNumberFormat="1" applyFont="1" applyFill="1" applyBorder="1" applyAlignment="1">
      <alignment vertical="top"/>
    </xf>
    <xf numFmtId="0" fontId="33" fillId="6" borderId="59" xfId="0" applyFont="1" applyFill="1" applyBorder="1" applyAlignment="1">
      <alignment horizontal="right" vertical="top"/>
    </xf>
    <xf numFmtId="0" fontId="32" fillId="7" borderId="109" xfId="0" applyFont="1" applyFill="1" applyBorder="1" applyAlignment="1">
      <alignment horizontal="center" vertical="top"/>
    </xf>
    <xf numFmtId="0" fontId="32" fillId="7" borderId="113" xfId="0" applyFont="1" applyFill="1" applyBorder="1" applyAlignment="1">
      <alignment horizontal="center" vertical="top"/>
    </xf>
    <xf numFmtId="0" fontId="32" fillId="7" borderId="42" xfId="0" applyFont="1" applyFill="1" applyBorder="1" applyAlignment="1">
      <alignment horizontal="center" vertical="top"/>
    </xf>
    <xf numFmtId="0" fontId="32" fillId="7" borderId="36" xfId="0" applyFont="1" applyFill="1" applyBorder="1" applyAlignment="1">
      <alignment horizontal="center" vertical="top"/>
    </xf>
    <xf numFmtId="167" fontId="32" fillId="7" borderId="42" xfId="0" applyNumberFormat="1" applyFont="1" applyFill="1" applyBorder="1" applyAlignment="1">
      <alignment horizontal="center" vertical="top"/>
    </xf>
    <xf numFmtId="167" fontId="32" fillId="7" borderId="36" xfId="0" applyNumberFormat="1" applyFont="1" applyFill="1" applyBorder="1" applyAlignment="1">
      <alignment horizontal="center" vertical="top"/>
    </xf>
    <xf numFmtId="3" fontId="1" fillId="0" borderId="60" xfId="0" applyNumberFormat="1" applyFont="1" applyFill="1" applyBorder="1"/>
    <xf numFmtId="0" fontId="30" fillId="5" borderId="61" xfId="0" applyFont="1" applyFill="1" applyBorder="1" applyAlignment="1">
      <alignment horizontal="center" vertical="center" wrapText="1"/>
    </xf>
    <xf numFmtId="0" fontId="30" fillId="5" borderId="62" xfId="0" applyFont="1" applyFill="1" applyBorder="1" applyAlignment="1">
      <alignment horizontal="center" vertical="center" wrapText="1"/>
    </xf>
    <xf numFmtId="0" fontId="30" fillId="5" borderId="114" xfId="0" applyFont="1" applyFill="1" applyBorder="1" applyAlignment="1">
      <alignment horizontal="center" vertical="center" wrapText="1"/>
    </xf>
    <xf numFmtId="0" fontId="30" fillId="5" borderId="115" xfId="0" applyFont="1" applyFill="1" applyBorder="1" applyAlignment="1">
      <alignment horizontal="center" vertical="center" wrapText="1"/>
    </xf>
    <xf numFmtId="0" fontId="30" fillId="5" borderId="116" xfId="0" applyFont="1" applyFill="1" applyBorder="1" applyAlignment="1">
      <alignment horizontal="center" vertical="center" wrapText="1"/>
    </xf>
    <xf numFmtId="165" fontId="33" fillId="6" borderId="36" xfId="0" applyNumberFormat="1" applyFont="1" applyFill="1" applyBorder="1" applyAlignment="1">
      <alignment vertical="top"/>
    </xf>
    <xf numFmtId="166" fontId="33" fillId="6" borderId="21" xfId="0" applyNumberFormat="1" applyFont="1" applyFill="1" applyBorder="1" applyAlignment="1">
      <alignment vertical="center"/>
    </xf>
    <xf numFmtId="0" fontId="30" fillId="5" borderId="111" xfId="0" applyFont="1" applyFill="1" applyBorder="1" applyAlignment="1">
      <alignment horizontal="center" vertical="center"/>
    </xf>
    <xf numFmtId="0" fontId="29" fillId="0" borderId="0" xfId="0" applyFont="1" applyAlignment="1">
      <alignment vertical="top" wrapText="1"/>
    </xf>
    <xf numFmtId="2" fontId="33" fillId="6" borderId="21" xfId="0" applyNumberFormat="1" applyFont="1" applyFill="1" applyBorder="1" applyAlignment="1">
      <alignment vertical="top"/>
    </xf>
    <xf numFmtId="2" fontId="33" fillId="6" borderId="34" xfId="0" applyNumberFormat="1" applyFont="1" applyFill="1" applyBorder="1" applyAlignment="1">
      <alignment vertical="top"/>
    </xf>
    <xf numFmtId="2" fontId="33" fillId="7" borderId="21" xfId="0" applyNumberFormat="1" applyFont="1" applyFill="1" applyBorder="1" applyAlignment="1">
      <alignment vertical="top"/>
    </xf>
    <xf numFmtId="0" fontId="30" fillId="5" borderId="64" xfId="0" applyFont="1" applyFill="1" applyBorder="1" applyAlignment="1">
      <alignment horizontal="center" vertical="center"/>
    </xf>
    <xf numFmtId="0" fontId="30" fillId="5" borderId="65" xfId="0" applyFont="1" applyFill="1" applyBorder="1" applyAlignment="1">
      <alignment horizontal="center" vertical="center"/>
    </xf>
    <xf numFmtId="0" fontId="30" fillId="5" borderId="117" xfId="0" applyFont="1" applyFill="1" applyBorder="1" applyAlignment="1">
      <alignment horizontal="left" vertical="center"/>
    </xf>
    <xf numFmtId="0" fontId="37" fillId="12" borderId="118" xfId="0" applyNumberFormat="1" applyFont="1" applyFill="1" applyBorder="1" applyAlignment="1">
      <alignment horizontal="center" vertical="center"/>
    </xf>
    <xf numFmtId="0" fontId="37" fillId="12" borderId="103" xfId="0" applyNumberFormat="1" applyFont="1" applyFill="1" applyBorder="1" applyAlignment="1">
      <alignment horizontal="center" vertical="center"/>
    </xf>
    <xf numFmtId="0" fontId="37" fillId="12" borderId="104" xfId="0" applyNumberFormat="1" applyFont="1" applyFill="1" applyBorder="1" applyAlignment="1">
      <alignment horizontal="center" vertical="center"/>
    </xf>
    <xf numFmtId="166" fontId="33" fillId="9" borderId="67" xfId="0" applyNumberFormat="1" applyFont="1" applyFill="1" applyBorder="1" applyAlignment="1">
      <alignment vertical="center"/>
    </xf>
    <xf numFmtId="166" fontId="33" fillId="9" borderId="68" xfId="0" applyNumberFormat="1" applyFont="1" applyFill="1" applyBorder="1" applyAlignment="1">
      <alignment vertical="center"/>
    </xf>
    <xf numFmtId="166" fontId="33" fillId="10" borderId="109" xfId="0" applyNumberFormat="1" applyFont="1" applyFill="1" applyBorder="1" applyAlignment="1">
      <alignment vertical="center"/>
    </xf>
    <xf numFmtId="166" fontId="33" fillId="10" borderId="113" xfId="0" applyNumberFormat="1" applyFont="1" applyFill="1" applyBorder="1" applyAlignment="1">
      <alignment vertical="center"/>
    </xf>
    <xf numFmtId="166" fontId="33" fillId="10" borderId="16" xfId="0" applyNumberFormat="1" applyFont="1" applyFill="1" applyBorder="1" applyAlignment="1">
      <alignment vertical="center"/>
    </xf>
    <xf numFmtId="166" fontId="33" fillId="9" borderId="63" xfId="0" applyNumberFormat="1" applyFont="1" applyFill="1" applyBorder="1" applyAlignment="1">
      <alignment vertical="center"/>
    </xf>
    <xf numFmtId="166" fontId="33" fillId="10" borderId="66" xfId="0" applyNumberFormat="1" applyFont="1" applyFill="1" applyBorder="1" applyAlignment="1">
      <alignment vertical="center"/>
    </xf>
    <xf numFmtId="166" fontId="33" fillId="9" borderId="19" xfId="0" applyNumberFormat="1" applyFont="1" applyFill="1" applyBorder="1" applyAlignment="1">
      <alignment vertical="center"/>
    </xf>
    <xf numFmtId="166" fontId="33" fillId="10" borderId="119" xfId="0" applyNumberFormat="1" applyFont="1" applyFill="1" applyBorder="1" applyAlignment="1">
      <alignment vertical="center"/>
    </xf>
    <xf numFmtId="166" fontId="33" fillId="10" borderId="63" xfId="0" applyNumberFormat="1" applyFont="1" applyFill="1" applyBorder="1" applyAlignment="1">
      <alignment vertical="center"/>
    </xf>
    <xf numFmtId="0" fontId="38" fillId="0" borderId="0" xfId="0" applyFont="1" applyAlignment="1">
      <alignment horizontal="left"/>
    </xf>
    <xf numFmtId="37" fontId="33" fillId="6" borderId="42" xfId="0" applyNumberFormat="1" applyFont="1" applyFill="1" applyBorder="1" applyAlignment="1">
      <alignment vertical="top"/>
    </xf>
    <xf numFmtId="37" fontId="33" fillId="6" borderId="41" xfId="0" applyNumberFormat="1" applyFont="1" applyFill="1" applyBorder="1" applyAlignment="1">
      <alignment vertical="top"/>
    </xf>
    <xf numFmtId="168" fontId="33" fillId="7" borderId="21" xfId="0" applyNumberFormat="1" applyFont="1" applyFill="1" applyBorder="1" applyAlignment="1">
      <alignment vertical="top"/>
    </xf>
    <xf numFmtId="168" fontId="33" fillId="7" borderId="22" xfId="0" applyNumberFormat="1" applyFont="1" applyFill="1" applyBorder="1" applyAlignment="1">
      <alignment vertical="top"/>
    </xf>
    <xf numFmtId="171" fontId="33" fillId="7" borderId="21" xfId="3" applyNumberFormat="1" applyFont="1" applyFill="1" applyBorder="1" applyAlignment="1">
      <alignment vertical="top"/>
    </xf>
    <xf numFmtId="171" fontId="33" fillId="7" borderId="22" xfId="3" applyNumberFormat="1" applyFont="1" applyFill="1" applyBorder="1" applyAlignment="1">
      <alignment vertical="top"/>
    </xf>
    <xf numFmtId="171" fontId="33" fillId="6" borderId="21" xfId="3" applyNumberFormat="1" applyFont="1" applyFill="1" applyBorder="1" applyAlignment="1">
      <alignment vertical="top"/>
    </xf>
    <xf numFmtId="171" fontId="33" fillId="6" borderId="22" xfId="3" applyNumberFormat="1" applyFont="1" applyFill="1" applyBorder="1" applyAlignment="1">
      <alignment vertical="top"/>
    </xf>
    <xf numFmtId="0" fontId="32" fillId="7" borderId="35" xfId="0" applyFont="1" applyFill="1" applyBorder="1" applyAlignment="1">
      <alignment horizontal="center" vertical="top"/>
    </xf>
    <xf numFmtId="0" fontId="33" fillId="6" borderId="23" xfId="0" applyFont="1" applyFill="1" applyBorder="1" applyAlignment="1">
      <alignment horizontal="center" vertical="top"/>
    </xf>
    <xf numFmtId="0" fontId="33" fillId="7" borderId="23" xfId="0" applyFont="1" applyFill="1" applyBorder="1" applyAlignment="1">
      <alignment horizontal="center" vertical="top"/>
    </xf>
    <xf numFmtId="0" fontId="33" fillId="7" borderId="24" xfId="0" applyFont="1" applyFill="1" applyBorder="1" applyAlignment="1">
      <alignment horizontal="center" vertical="top"/>
    </xf>
    <xf numFmtId="0" fontId="38" fillId="0" borderId="0" xfId="0" applyFont="1"/>
    <xf numFmtId="0" fontId="23" fillId="0" borderId="0" xfId="0" applyFont="1" applyAlignment="1">
      <alignment horizontal="left"/>
    </xf>
    <xf numFmtId="3" fontId="32" fillId="7" borderId="46" xfId="0" applyNumberFormat="1" applyFont="1" applyFill="1" applyBorder="1" applyAlignment="1">
      <alignment vertical="top"/>
    </xf>
    <xf numFmtId="3" fontId="32" fillId="7" borderId="35" xfId="0" applyNumberFormat="1" applyFont="1" applyFill="1" applyBorder="1" applyAlignment="1">
      <alignment vertical="top"/>
    </xf>
    <xf numFmtId="164" fontId="32" fillId="7" borderId="46" xfId="0" applyNumberFormat="1" applyFont="1" applyFill="1" applyBorder="1" applyAlignment="1">
      <alignment vertical="top"/>
    </xf>
    <xf numFmtId="164" fontId="32" fillId="7" borderId="35" xfId="0" applyNumberFormat="1" applyFont="1" applyFill="1" applyBorder="1" applyAlignment="1">
      <alignment vertical="top"/>
    </xf>
    <xf numFmtId="166" fontId="32" fillId="7" borderId="46" xfId="0" applyNumberFormat="1" applyFont="1" applyFill="1" applyBorder="1" applyAlignment="1">
      <alignment vertical="top"/>
    </xf>
    <xf numFmtId="166" fontId="32" fillId="7" borderId="43" xfId="0" applyNumberFormat="1" applyFont="1" applyFill="1" applyBorder="1" applyAlignment="1">
      <alignment vertical="top"/>
    </xf>
    <xf numFmtId="166" fontId="32" fillId="10" borderId="16" xfId="0" applyNumberFormat="1" applyFont="1" applyFill="1" applyBorder="1" applyAlignment="1">
      <alignment vertical="center"/>
    </xf>
    <xf numFmtId="166" fontId="32" fillId="10" borderId="43" xfId="0" applyNumberFormat="1" applyFont="1" applyFill="1" applyBorder="1" applyAlignment="1">
      <alignment vertical="center"/>
    </xf>
    <xf numFmtId="166" fontId="32" fillId="10" borderId="35" xfId="0" applyNumberFormat="1" applyFont="1" applyFill="1" applyBorder="1" applyAlignment="1">
      <alignment vertical="center"/>
    </xf>
    <xf numFmtId="37" fontId="33" fillId="29" borderId="105" xfId="0" applyNumberFormat="1" applyFont="1" applyFill="1" applyBorder="1" applyAlignment="1">
      <alignment vertical="center"/>
    </xf>
    <xf numFmtId="37" fontId="33" fillId="29" borderId="21" xfId="0" applyNumberFormat="1" applyFont="1" applyFill="1" applyBorder="1" applyAlignment="1">
      <alignment vertical="center"/>
    </xf>
    <xf numFmtId="37" fontId="33" fillId="29" borderId="23" xfId="0" applyNumberFormat="1" applyFont="1" applyFill="1" applyBorder="1" applyAlignment="1">
      <alignment vertical="center"/>
    </xf>
    <xf numFmtId="169" fontId="33" fillId="29" borderId="105" xfId="0" applyNumberFormat="1" applyFont="1" applyFill="1" applyBorder="1" applyAlignment="1">
      <alignment vertical="center"/>
    </xf>
    <xf numFmtId="169" fontId="33" fillId="29" borderId="21" xfId="0" applyNumberFormat="1" applyFont="1" applyFill="1" applyBorder="1" applyAlignment="1">
      <alignment vertical="center"/>
    </xf>
    <xf numFmtId="169" fontId="33" fillId="29" borderId="23" xfId="0" applyNumberFormat="1" applyFont="1" applyFill="1" applyBorder="1" applyAlignment="1">
      <alignment vertical="center"/>
    </xf>
    <xf numFmtId="0" fontId="35" fillId="7" borderId="164" xfId="0" applyFont="1" applyFill="1" applyBorder="1" applyAlignment="1">
      <alignment vertical="top"/>
    </xf>
    <xf numFmtId="0" fontId="35" fillId="7" borderId="63" xfId="0" applyFont="1" applyFill="1" applyBorder="1" applyAlignment="1">
      <alignment vertical="top"/>
    </xf>
    <xf numFmtId="0" fontId="35" fillId="7" borderId="53" xfId="0" applyFont="1" applyFill="1" applyBorder="1" applyAlignment="1">
      <alignment vertical="top"/>
    </xf>
    <xf numFmtId="37" fontId="33" fillId="7" borderId="67" xfId="0" applyNumberFormat="1" applyFont="1" applyFill="1" applyBorder="1" applyAlignment="1">
      <alignment vertical="top"/>
    </xf>
    <xf numFmtId="37" fontId="33" fillId="7" borderId="15" xfId="0" applyNumberFormat="1" applyFont="1" applyFill="1" applyBorder="1" applyAlignment="1">
      <alignment vertical="top"/>
    </xf>
    <xf numFmtId="0" fontId="35" fillId="7" borderId="170" xfId="0" applyFont="1" applyFill="1" applyBorder="1" applyAlignment="1">
      <alignment vertical="top"/>
    </xf>
    <xf numFmtId="37" fontId="33" fillId="30" borderId="120" xfId="0" applyNumberFormat="1" applyFont="1" applyFill="1" applyBorder="1" applyAlignment="1">
      <alignment vertical="center"/>
    </xf>
    <xf numFmtId="37" fontId="33" fillId="30" borderId="42" xfId="0" applyNumberFormat="1" applyFont="1" applyFill="1" applyBorder="1" applyAlignment="1">
      <alignment vertical="center"/>
    </xf>
    <xf numFmtId="37" fontId="33" fillId="30" borderId="36" xfId="0" applyNumberFormat="1" applyFont="1" applyFill="1" applyBorder="1" applyAlignment="1">
      <alignment vertical="center"/>
    </xf>
    <xf numFmtId="43" fontId="33" fillId="6" borderId="21" xfId="3" applyFont="1" applyFill="1" applyBorder="1" applyAlignment="1">
      <alignment vertical="top"/>
    </xf>
    <xf numFmtId="43" fontId="33" fillId="6" borderId="22" xfId="3" applyFont="1" applyFill="1" applyBorder="1" applyAlignment="1">
      <alignment vertical="top"/>
    </xf>
    <xf numFmtId="43" fontId="33" fillId="30" borderId="120" xfId="3" applyFont="1" applyFill="1" applyBorder="1" applyAlignment="1">
      <alignment vertical="center"/>
    </xf>
    <xf numFmtId="43" fontId="33" fillId="30" borderId="42" xfId="3" applyFont="1" applyFill="1" applyBorder="1" applyAlignment="1">
      <alignment vertical="center"/>
    </xf>
    <xf numFmtId="43" fontId="33" fillId="30" borderId="36" xfId="3" applyFont="1" applyFill="1" applyBorder="1" applyAlignment="1">
      <alignment vertical="center"/>
    </xf>
    <xf numFmtId="0" fontId="35" fillId="29" borderId="164" xfId="0" applyFont="1" applyFill="1" applyBorder="1" applyAlignment="1">
      <alignment vertical="center"/>
    </xf>
    <xf numFmtId="0" fontId="35" fillId="29" borderId="171" xfId="0" applyFont="1" applyFill="1" applyBorder="1" applyAlignment="1">
      <alignment vertical="center"/>
    </xf>
    <xf numFmtId="0" fontId="33" fillId="29" borderId="164" xfId="0" applyFont="1" applyFill="1" applyBorder="1" applyAlignment="1">
      <alignment vertical="center"/>
    </xf>
    <xf numFmtId="0" fontId="33" fillId="29" borderId="171" xfId="0" applyFont="1" applyFill="1" applyBorder="1" applyAlignment="1">
      <alignment vertical="center"/>
    </xf>
    <xf numFmtId="0" fontId="35" fillId="29" borderId="165" xfId="0" applyFont="1" applyFill="1" applyBorder="1" applyAlignment="1">
      <alignment vertical="center"/>
    </xf>
    <xf numFmtId="0" fontId="35" fillId="29" borderId="166" xfId="0" applyFont="1" applyFill="1" applyBorder="1" applyAlignment="1">
      <alignment vertical="center"/>
    </xf>
    <xf numFmtId="0" fontId="35" fillId="29" borderId="172" xfId="0" applyFont="1" applyFill="1" applyBorder="1" applyAlignment="1">
      <alignment vertical="center"/>
    </xf>
    <xf numFmtId="0" fontId="35" fillId="29" borderId="173" xfId="0" applyFont="1" applyFill="1" applyBorder="1" applyAlignment="1">
      <alignment vertical="center"/>
    </xf>
    <xf numFmtId="0" fontId="35" fillId="7" borderId="125" xfId="0" applyFont="1" applyFill="1" applyBorder="1" applyAlignment="1">
      <alignment vertical="top"/>
    </xf>
    <xf numFmtId="169" fontId="33" fillId="7" borderId="31" xfId="0" applyNumberFormat="1" applyFont="1" applyFill="1" applyBorder="1" applyAlignment="1">
      <alignment vertical="top"/>
    </xf>
    <xf numFmtId="169" fontId="33" fillId="7" borderId="25" xfId="0" applyNumberFormat="1" applyFont="1" applyFill="1" applyBorder="1" applyAlignment="1">
      <alignment vertical="top"/>
    </xf>
    <xf numFmtId="166" fontId="33" fillId="10" borderId="31" xfId="0" applyNumberFormat="1" applyFont="1" applyFill="1" applyBorder="1" applyAlignment="1">
      <alignment vertical="top"/>
    </xf>
    <xf numFmtId="166" fontId="33" fillId="10" borderId="26" xfId="0" applyNumberFormat="1" applyFont="1" applyFill="1" applyBorder="1" applyAlignment="1">
      <alignment vertical="top"/>
    </xf>
    <xf numFmtId="37" fontId="33" fillId="7" borderId="31" xfId="0" applyNumberFormat="1" applyFont="1" applyFill="1" applyBorder="1" applyAlignment="1">
      <alignment vertical="top"/>
    </xf>
    <xf numFmtId="37" fontId="33" fillId="7" borderId="25" xfId="0" applyNumberFormat="1" applyFont="1" applyFill="1" applyBorder="1" applyAlignment="1">
      <alignment vertical="top"/>
    </xf>
    <xf numFmtId="37" fontId="33" fillId="10" borderId="31" xfId="0" applyNumberFormat="1" applyFont="1" applyFill="1" applyBorder="1" applyAlignment="1">
      <alignment vertical="center"/>
    </xf>
    <xf numFmtId="37" fontId="33" fillId="10" borderId="26" xfId="0" applyNumberFormat="1" applyFont="1" applyFill="1" applyBorder="1" applyAlignment="1">
      <alignment vertical="center"/>
    </xf>
    <xf numFmtId="43" fontId="33" fillId="7" borderId="31" xfId="3" applyFont="1" applyFill="1" applyBorder="1" applyAlignment="1">
      <alignment vertical="top"/>
    </xf>
    <xf numFmtId="43" fontId="33" fillId="7" borderId="25" xfId="3" applyFont="1" applyFill="1" applyBorder="1" applyAlignment="1">
      <alignment vertical="top"/>
    </xf>
    <xf numFmtId="43" fontId="33" fillId="10" borderId="31" xfId="3" applyFont="1" applyFill="1" applyBorder="1" applyAlignment="1">
      <alignment vertical="center"/>
    </xf>
    <xf numFmtId="43" fontId="33" fillId="10" borderId="26" xfId="3" applyFont="1" applyFill="1" applyBorder="1" applyAlignment="1">
      <alignment vertical="center"/>
    </xf>
    <xf numFmtId="14" fontId="22" fillId="0" borderId="0" xfId="0" applyNumberFormat="1" applyFont="1" applyFill="1" applyBorder="1" applyAlignment="1">
      <alignment horizontal="center" wrapText="1"/>
    </xf>
    <xf numFmtId="2" fontId="17" fillId="0" borderId="0" xfId="0" applyNumberFormat="1" applyFont="1" applyFill="1" applyBorder="1"/>
    <xf numFmtId="14" fontId="37" fillId="0" borderId="0" xfId="0" applyNumberFormat="1" applyFont="1" applyFill="1" applyBorder="1" applyAlignment="1">
      <alignment horizontal="right" wrapText="1"/>
    </xf>
    <xf numFmtId="0" fontId="33" fillId="7" borderId="63" xfId="0" applyFont="1" applyFill="1" applyBorder="1" applyAlignment="1">
      <alignment vertical="top"/>
    </xf>
    <xf numFmtId="0" fontId="33" fillId="6" borderId="63" xfId="0" applyFont="1" applyFill="1" applyBorder="1" applyAlignment="1">
      <alignment vertical="top"/>
    </xf>
    <xf numFmtId="0" fontId="33" fillId="7" borderId="66" xfId="0" applyFont="1" applyFill="1" applyBorder="1" applyAlignment="1">
      <alignment vertical="top"/>
    </xf>
    <xf numFmtId="0" fontId="32" fillId="7" borderId="16" xfId="0" applyFont="1" applyFill="1" applyBorder="1" applyAlignment="1">
      <alignment vertical="top"/>
    </xf>
    <xf numFmtId="0" fontId="33" fillId="7" borderId="19" xfId="0" applyFont="1" applyFill="1" applyBorder="1" applyAlignment="1">
      <alignment vertical="top"/>
    </xf>
    <xf numFmtId="0" fontId="33" fillId="7" borderId="68" xfId="0" applyFont="1" applyFill="1" applyBorder="1" applyAlignment="1">
      <alignment horizontal="center" vertical="top"/>
    </xf>
    <xf numFmtId="0" fontId="1" fillId="0" borderId="20" xfId="0" applyFont="1" applyFill="1" applyBorder="1"/>
    <xf numFmtId="3" fontId="33" fillId="7" borderId="174" xfId="0" applyNumberFormat="1" applyFont="1" applyFill="1" applyBorder="1" applyAlignment="1">
      <alignment vertical="top"/>
    </xf>
    <xf numFmtId="3" fontId="33" fillId="7" borderId="68" xfId="0" applyNumberFormat="1" applyFont="1" applyFill="1" applyBorder="1" applyAlignment="1">
      <alignment vertical="top"/>
    </xf>
    <xf numFmtId="164" fontId="33" fillId="7" borderId="174" xfId="0" applyNumberFormat="1" applyFont="1" applyFill="1" applyBorder="1" applyAlignment="1">
      <alignment vertical="top"/>
    </xf>
    <xf numFmtId="164" fontId="33" fillId="7" borderId="68" xfId="0" applyNumberFormat="1" applyFont="1" applyFill="1" applyBorder="1" applyAlignment="1">
      <alignment vertical="top"/>
    </xf>
    <xf numFmtId="0" fontId="1" fillId="0" borderId="0" xfId="0" applyFont="1" applyBorder="1"/>
    <xf numFmtId="166" fontId="33" fillId="7" borderId="174" xfId="0" applyNumberFormat="1" applyFont="1" applyFill="1" applyBorder="1" applyAlignment="1">
      <alignment vertical="top"/>
    </xf>
    <xf numFmtId="166" fontId="33" fillId="7" borderId="67" xfId="0" applyNumberFormat="1" applyFont="1" applyFill="1" applyBorder="1" applyAlignment="1">
      <alignment vertical="top"/>
    </xf>
    <xf numFmtId="166" fontId="33" fillId="10" borderId="19" xfId="0" applyNumberFormat="1" applyFont="1" applyFill="1" applyBorder="1" applyAlignment="1">
      <alignment vertical="center"/>
    </xf>
    <xf numFmtId="166" fontId="33" fillId="10" borderId="67" xfId="0" applyNumberFormat="1" applyFont="1" applyFill="1" applyBorder="1" applyAlignment="1">
      <alignment vertical="center"/>
    </xf>
    <xf numFmtId="166" fontId="33" fillId="10" borderId="68" xfId="0" applyNumberFormat="1" applyFont="1" applyFill="1" applyBorder="1" applyAlignment="1">
      <alignment vertical="center"/>
    </xf>
    <xf numFmtId="164" fontId="33" fillId="6" borderId="37" xfId="0" quotePrefix="1" applyNumberFormat="1" applyFont="1" applyFill="1" applyBorder="1" applyAlignment="1">
      <alignment vertical="top"/>
    </xf>
    <xf numFmtId="164" fontId="33" fillId="6" borderId="23" xfId="0" quotePrefix="1" applyNumberFormat="1" applyFont="1" applyFill="1" applyBorder="1" applyAlignment="1">
      <alignment vertical="top"/>
    </xf>
    <xf numFmtId="166" fontId="33" fillId="6" borderId="37" xfId="0" quotePrefix="1" applyNumberFormat="1" applyFont="1" applyFill="1" applyBorder="1" applyAlignment="1">
      <alignment vertical="top"/>
    </xf>
    <xf numFmtId="166" fontId="33" fillId="6" borderId="21" xfId="0" quotePrefix="1" applyNumberFormat="1" applyFont="1" applyFill="1" applyBorder="1" applyAlignment="1">
      <alignment vertical="top"/>
    </xf>
    <xf numFmtId="0" fontId="32" fillId="7" borderId="175" xfId="0" applyFont="1" applyFill="1" applyBorder="1" applyAlignment="1">
      <alignment vertical="top"/>
    </xf>
    <xf numFmtId="0" fontId="33" fillId="6" borderId="176" xfId="0" applyFont="1" applyFill="1" applyBorder="1" applyAlignment="1">
      <alignment vertical="top"/>
    </xf>
    <xf numFmtId="0" fontId="33" fillId="7" borderId="176" xfId="0" applyFont="1" applyFill="1" applyBorder="1" applyAlignment="1">
      <alignment vertical="top"/>
    </xf>
    <xf numFmtId="0" fontId="33" fillId="7" borderId="177" xfId="0" applyFont="1" applyFill="1" applyBorder="1" applyAlignment="1">
      <alignment vertical="top"/>
    </xf>
    <xf numFmtId="0" fontId="33" fillId="6" borderId="178" xfId="0" applyFont="1" applyFill="1" applyBorder="1" applyAlignment="1">
      <alignment vertical="top"/>
    </xf>
    <xf numFmtId="167" fontId="2" fillId="0" borderId="0" xfId="0" applyNumberFormat="1" applyFont="1" applyFill="1" applyAlignment="1">
      <alignment horizontal="right"/>
    </xf>
    <xf numFmtId="0" fontId="0" fillId="0" borderId="0" xfId="0" applyFont="1" applyFill="1" applyAlignment="1"/>
    <xf numFmtId="0" fontId="32" fillId="7" borderId="69" xfId="0" applyFont="1" applyFill="1" applyBorder="1" applyAlignment="1">
      <alignment horizontal="left" vertical="top" indent="1"/>
    </xf>
    <xf numFmtId="0" fontId="32" fillId="7" borderId="70" xfId="0" applyFont="1" applyFill="1" applyBorder="1" applyAlignment="1">
      <alignment horizontal="left" vertical="top" indent="1"/>
    </xf>
    <xf numFmtId="0" fontId="32" fillId="7" borderId="66" xfId="0" applyFont="1" applyFill="1" applyBorder="1" applyAlignment="1">
      <alignment horizontal="left" vertical="top" indent="1"/>
    </xf>
    <xf numFmtId="0" fontId="32" fillId="13" borderId="0" xfId="0" applyFont="1" applyFill="1" applyBorder="1" applyAlignment="1">
      <alignment horizontal="center" vertical="top"/>
    </xf>
    <xf numFmtId="0" fontId="3" fillId="14" borderId="12" xfId="0" applyFont="1" applyFill="1" applyBorder="1" applyAlignment="1">
      <alignment horizontal="center" vertical="center"/>
    </xf>
    <xf numFmtId="0" fontId="3" fillId="14" borderId="11" xfId="0" applyFont="1" applyFill="1" applyBorder="1" applyAlignment="1">
      <alignment horizontal="center" vertical="center"/>
    </xf>
    <xf numFmtId="166" fontId="33" fillId="7" borderId="21" xfId="0" applyNumberFormat="1" applyFont="1" applyFill="1" applyBorder="1" applyAlignment="1">
      <alignment vertical="center"/>
    </xf>
    <xf numFmtId="166" fontId="33" fillId="7" borderId="22" xfId="0" applyNumberFormat="1" applyFont="1" applyFill="1" applyBorder="1" applyAlignment="1">
      <alignment vertical="center"/>
    </xf>
    <xf numFmtId="166" fontId="33" fillId="6" borderId="31" xfId="0" applyNumberFormat="1" applyFont="1" applyFill="1" applyBorder="1" applyAlignment="1">
      <alignment vertical="center"/>
    </xf>
    <xf numFmtId="166" fontId="33" fillId="6" borderId="25" xfId="0" applyNumberFormat="1" applyFont="1" applyFill="1" applyBorder="1" applyAlignment="1">
      <alignment vertical="center"/>
    </xf>
    <xf numFmtId="0" fontId="32" fillId="7" borderId="71" xfId="0" applyFont="1" applyFill="1" applyBorder="1" applyAlignment="1">
      <alignment horizontal="left" vertical="top" indent="1"/>
    </xf>
    <xf numFmtId="0" fontId="32" fillId="7" borderId="53" xfId="0" applyFont="1" applyFill="1" applyBorder="1" applyAlignment="1">
      <alignment horizontal="left" vertical="top" indent="1"/>
    </xf>
    <xf numFmtId="0" fontId="32" fillId="7" borderId="63" xfId="0" applyFont="1" applyFill="1" applyBorder="1" applyAlignment="1">
      <alignment horizontal="left" vertical="top" indent="1"/>
    </xf>
    <xf numFmtId="0" fontId="30" fillId="5" borderId="72" xfId="0" applyFont="1" applyFill="1" applyBorder="1" applyAlignment="1">
      <alignment horizontal="left" vertical="center" indent="1"/>
    </xf>
    <xf numFmtId="0" fontId="30" fillId="5" borderId="121" xfId="0" applyFont="1" applyFill="1" applyBorder="1" applyAlignment="1">
      <alignment horizontal="left" vertical="center" indent="1"/>
    </xf>
    <xf numFmtId="0" fontId="33" fillId="6" borderId="73" xfId="0" applyFont="1" applyFill="1" applyBorder="1" applyAlignment="1">
      <alignment horizontal="left" vertical="top" indent="1"/>
    </xf>
    <xf numFmtId="0" fontId="33" fillId="6" borderId="74" xfId="0" applyFont="1" applyFill="1" applyBorder="1" applyAlignment="1">
      <alignment horizontal="left" vertical="top" indent="1"/>
    </xf>
    <xf numFmtId="0" fontId="33" fillId="6" borderId="75" xfId="0" applyFont="1" applyFill="1" applyBorder="1" applyAlignment="1">
      <alignment horizontal="left" vertical="top" indent="1"/>
    </xf>
    <xf numFmtId="0" fontId="33" fillId="7" borderId="71" xfId="0" applyFont="1" applyFill="1" applyBorder="1" applyAlignment="1">
      <alignment horizontal="left" vertical="top" indent="1"/>
    </xf>
    <xf numFmtId="0" fontId="33" fillId="7" borderId="53" xfId="0" applyFont="1" applyFill="1" applyBorder="1" applyAlignment="1">
      <alignment horizontal="left" vertical="top" indent="1"/>
    </xf>
    <xf numFmtId="0" fontId="33" fillId="7" borderId="63" xfId="0" applyFont="1" applyFill="1" applyBorder="1" applyAlignment="1">
      <alignment horizontal="left" vertical="top" indent="1"/>
    </xf>
    <xf numFmtId="0" fontId="33" fillId="6" borderId="71" xfId="0" applyFont="1" applyFill="1" applyBorder="1" applyAlignment="1">
      <alignment horizontal="left" vertical="top" indent="1"/>
    </xf>
    <xf numFmtId="0" fontId="33" fillId="6" borderId="53" xfId="0" applyFont="1" applyFill="1" applyBorder="1" applyAlignment="1">
      <alignment horizontal="left" vertical="top" indent="1"/>
    </xf>
    <xf numFmtId="0" fontId="33" fillId="6" borderId="63" xfId="0" applyFont="1" applyFill="1" applyBorder="1" applyAlignment="1">
      <alignment horizontal="left" vertical="top" indent="1"/>
    </xf>
    <xf numFmtId="0" fontId="31" fillId="0" borderId="16" xfId="0" applyFont="1" applyFill="1" applyBorder="1" applyAlignment="1">
      <alignment vertical="top"/>
    </xf>
    <xf numFmtId="0" fontId="31" fillId="0" borderId="43" xfId="0" applyFont="1" applyFill="1" applyBorder="1" applyAlignment="1">
      <alignment vertical="top"/>
    </xf>
    <xf numFmtId="0" fontId="31" fillId="0" borderId="14" xfId="0" applyFont="1" applyFill="1" applyBorder="1" applyAlignment="1">
      <alignment vertical="top"/>
    </xf>
    <xf numFmtId="0" fontId="30" fillId="5" borderId="77" xfId="0" applyFont="1" applyFill="1" applyBorder="1" applyAlignment="1">
      <alignment horizontal="left" vertical="center"/>
    </xf>
    <xf numFmtId="0" fontId="30" fillId="5" borderId="18" xfId="0" applyFont="1" applyFill="1" applyBorder="1" applyAlignment="1">
      <alignment horizontal="left" vertical="center"/>
    </xf>
    <xf numFmtId="0" fontId="30" fillId="5" borderId="78" xfId="0" applyFont="1" applyFill="1" applyBorder="1" applyAlignment="1">
      <alignment horizontal="left" vertical="center"/>
    </xf>
    <xf numFmtId="0" fontId="33" fillId="6" borderId="57" xfId="0" applyFont="1" applyFill="1" applyBorder="1" applyAlignment="1">
      <alignment horizontal="left" vertical="top" indent="1"/>
    </xf>
    <xf numFmtId="0" fontId="33" fillId="6" borderId="17" xfId="0" applyFont="1" applyFill="1" applyBorder="1" applyAlignment="1">
      <alignment horizontal="left" vertical="top" indent="1"/>
    </xf>
    <xf numFmtId="0" fontId="33" fillId="6" borderId="16" xfId="0" applyFont="1" applyFill="1" applyBorder="1" applyAlignment="1">
      <alignment horizontal="left" vertical="top" indent="1"/>
    </xf>
    <xf numFmtId="0" fontId="30" fillId="5" borderId="57" xfId="0" applyFont="1" applyFill="1" applyBorder="1" applyAlignment="1">
      <alignment horizontal="left" vertical="center"/>
    </xf>
    <xf numFmtId="0" fontId="30" fillId="5" borderId="17" xfId="0" applyFont="1" applyFill="1" applyBorder="1" applyAlignment="1">
      <alignment horizontal="left" vertical="center"/>
    </xf>
    <xf numFmtId="0" fontId="30" fillId="5" borderId="16" xfId="0" applyFont="1" applyFill="1" applyBorder="1" applyAlignment="1">
      <alignment horizontal="left" vertical="center"/>
    </xf>
    <xf numFmtId="3" fontId="33" fillId="6" borderId="42" xfId="0" applyNumberFormat="1" applyFont="1" applyFill="1" applyBorder="1" applyAlignment="1">
      <alignment vertical="center"/>
    </xf>
    <xf numFmtId="3" fontId="33" fillId="6" borderId="36" xfId="0" applyNumberFormat="1" applyFont="1" applyFill="1" applyBorder="1" applyAlignment="1">
      <alignment vertical="center"/>
    </xf>
    <xf numFmtId="3" fontId="33" fillId="7" borderId="43" xfId="0" applyNumberFormat="1" applyFont="1" applyFill="1" applyBorder="1" applyAlignment="1">
      <alignment vertical="center"/>
    </xf>
    <xf numFmtId="3" fontId="33" fillId="7" borderId="35" xfId="0" applyNumberFormat="1" applyFont="1" applyFill="1" applyBorder="1" applyAlignment="1">
      <alignment vertical="center"/>
    </xf>
    <xf numFmtId="0" fontId="32" fillId="6" borderId="63" xfId="0" applyFont="1" applyFill="1" applyBorder="1" applyAlignment="1">
      <alignment horizontal="left" vertical="top" indent="1"/>
    </xf>
    <xf numFmtId="0" fontId="32" fillId="6" borderId="21" xfId="0" applyFont="1" applyFill="1" applyBorder="1" applyAlignment="1">
      <alignment horizontal="left" vertical="top" indent="1"/>
    </xf>
    <xf numFmtId="0" fontId="32" fillId="6" borderId="22" xfId="0" applyFont="1" applyFill="1" applyBorder="1" applyAlignment="1">
      <alignment horizontal="left" vertical="top" indent="1"/>
    </xf>
    <xf numFmtId="0" fontId="32" fillId="15" borderId="122" xfId="0" applyFont="1" applyFill="1" applyBorder="1" applyAlignment="1">
      <alignment horizontal="center" vertical="center"/>
    </xf>
    <xf numFmtId="0" fontId="32" fillId="15" borderId="123" xfId="0" applyFont="1" applyFill="1" applyBorder="1" applyAlignment="1">
      <alignment horizontal="center" vertical="center"/>
    </xf>
    <xf numFmtId="166" fontId="33" fillId="6" borderId="21" xfId="0" applyNumberFormat="1" applyFont="1" applyFill="1" applyBorder="1" applyAlignment="1">
      <alignment vertical="center"/>
    </xf>
    <xf numFmtId="166" fontId="33" fillId="6" borderId="22" xfId="0" applyNumberFormat="1" applyFont="1" applyFill="1" applyBorder="1" applyAlignment="1">
      <alignment vertical="center"/>
    </xf>
    <xf numFmtId="0" fontId="31" fillId="0" borderId="19" xfId="0" applyFont="1" applyFill="1" applyBorder="1" applyAlignment="1">
      <alignment vertical="top"/>
    </xf>
    <xf numFmtId="0" fontId="31" fillId="0" borderId="67" xfId="0" applyFont="1" applyFill="1" applyBorder="1" applyAlignment="1">
      <alignment vertical="top"/>
    </xf>
    <xf numFmtId="0" fontId="31" fillId="0" borderId="15" xfId="0" applyFont="1" applyFill="1" applyBorder="1" applyAlignment="1">
      <alignment vertical="top"/>
    </xf>
    <xf numFmtId="0" fontId="32" fillId="7" borderId="21" xfId="0" applyFont="1" applyFill="1" applyBorder="1" applyAlignment="1">
      <alignment horizontal="left" vertical="top" indent="1"/>
    </xf>
    <xf numFmtId="0" fontId="32" fillId="7" borderId="22" xfId="0" applyFont="1" applyFill="1" applyBorder="1" applyAlignment="1">
      <alignment horizontal="left" vertical="top" indent="1"/>
    </xf>
    <xf numFmtId="0" fontId="30" fillId="5" borderId="46" xfId="0" applyFont="1" applyFill="1" applyBorder="1" applyAlignment="1">
      <alignment horizontal="left" vertical="center" indent="1"/>
    </xf>
    <xf numFmtId="0" fontId="30" fillId="5" borderId="43" xfId="0" applyFont="1" applyFill="1" applyBorder="1" applyAlignment="1">
      <alignment horizontal="left" vertical="center" indent="1"/>
    </xf>
    <xf numFmtId="0" fontId="30" fillId="5" borderId="124" xfId="0" applyFont="1" applyFill="1" applyBorder="1" applyAlignment="1">
      <alignment horizontal="left" vertical="center" indent="1"/>
    </xf>
    <xf numFmtId="0" fontId="30" fillId="5" borderId="40" xfId="0" applyFont="1" applyFill="1" applyBorder="1" applyAlignment="1">
      <alignment horizontal="left" vertical="center" indent="1"/>
    </xf>
    <xf numFmtId="0" fontId="30" fillId="5" borderId="34" xfId="0" applyFont="1" applyFill="1" applyBorder="1" applyAlignment="1">
      <alignment horizontal="left" vertical="center" indent="1"/>
    </xf>
    <xf numFmtId="0" fontId="30" fillId="5" borderId="59" xfId="0" applyFont="1" applyFill="1" applyBorder="1" applyAlignment="1">
      <alignment horizontal="left" vertical="center" indent="1"/>
    </xf>
    <xf numFmtId="0" fontId="30" fillId="5" borderId="37" xfId="0" applyFont="1" applyFill="1" applyBorder="1" applyAlignment="1">
      <alignment horizontal="left" vertical="center" indent="1"/>
    </xf>
    <xf numFmtId="0" fontId="30" fillId="5" borderId="21" xfId="0" applyFont="1" applyFill="1" applyBorder="1" applyAlignment="1">
      <alignment horizontal="left" vertical="center" indent="1"/>
    </xf>
    <xf numFmtId="0" fontId="30" fillId="5" borderId="125" xfId="0" applyFont="1" applyFill="1" applyBorder="1" applyAlignment="1">
      <alignment horizontal="left" vertical="center" indent="1"/>
    </xf>
    <xf numFmtId="0" fontId="32" fillId="7" borderId="46" xfId="0" applyFont="1" applyFill="1" applyBorder="1" applyAlignment="1">
      <alignment horizontal="left" vertical="center" indent="1"/>
    </xf>
    <xf numFmtId="0" fontId="32" fillId="7" borderId="43" xfId="0" applyFont="1" applyFill="1" applyBorder="1" applyAlignment="1">
      <alignment horizontal="left" vertical="center" indent="1"/>
    </xf>
    <xf numFmtId="0" fontId="32" fillId="7" borderId="14" xfId="0" applyFont="1" applyFill="1" applyBorder="1" applyAlignment="1">
      <alignment horizontal="left" vertical="center" indent="1"/>
    </xf>
    <xf numFmtId="0" fontId="32" fillId="6" borderId="37" xfId="0" applyFont="1" applyFill="1" applyBorder="1" applyAlignment="1">
      <alignment horizontal="left" vertical="center" indent="1"/>
    </xf>
    <xf numFmtId="0" fontId="32" fillId="6" borderId="21" xfId="0" applyFont="1" applyFill="1" applyBorder="1" applyAlignment="1">
      <alignment horizontal="left" vertical="center" indent="1"/>
    </xf>
    <xf numFmtId="0" fontId="32" fillId="6" borderId="22" xfId="0" applyFont="1" applyFill="1" applyBorder="1" applyAlignment="1">
      <alignment horizontal="left" vertical="center" indent="1"/>
    </xf>
    <xf numFmtId="0" fontId="32" fillId="7" borderId="96" xfId="0" applyFont="1" applyFill="1" applyBorder="1" applyAlignment="1">
      <alignment horizontal="left" vertical="center" indent="1"/>
    </xf>
    <xf numFmtId="0" fontId="32" fillId="7" borderId="97" xfId="0" applyFont="1" applyFill="1" applyBorder="1" applyAlignment="1">
      <alignment horizontal="left" vertical="center" indent="1"/>
    </xf>
    <xf numFmtId="0" fontId="32" fillId="7" borderId="126" xfId="0" applyFont="1" applyFill="1" applyBorder="1" applyAlignment="1">
      <alignment horizontal="left" vertical="center" indent="1"/>
    </xf>
    <xf numFmtId="0" fontId="32" fillId="7" borderId="75" xfId="0" applyFont="1" applyFill="1" applyBorder="1" applyAlignment="1">
      <alignment horizontal="left" vertical="top" indent="1"/>
    </xf>
    <xf numFmtId="0" fontId="32" fillId="7" borderId="42" xfId="0" applyFont="1" applyFill="1" applyBorder="1" applyAlignment="1">
      <alignment horizontal="left" vertical="top" indent="1"/>
    </xf>
    <xf numFmtId="0" fontId="32" fillId="7" borderId="41" xfId="0" applyFont="1" applyFill="1" applyBorder="1" applyAlignment="1">
      <alignment horizontal="left" vertical="top" indent="1"/>
    </xf>
    <xf numFmtId="2" fontId="33" fillId="6" borderId="63" xfId="0" applyNumberFormat="1" applyFont="1" applyFill="1" applyBorder="1" applyAlignment="1">
      <alignment vertical="top"/>
    </xf>
    <xf numFmtId="2" fontId="33" fillId="6" borderId="21" xfId="0" applyNumberFormat="1" applyFont="1" applyFill="1" applyBorder="1" applyAlignment="1">
      <alignment vertical="top"/>
    </xf>
    <xf numFmtId="0" fontId="32" fillId="6" borderId="71" xfId="0" applyFont="1" applyFill="1" applyBorder="1" applyAlignment="1">
      <alignment horizontal="left" vertical="top" indent="1"/>
    </xf>
    <xf numFmtId="0" fontId="22" fillId="16" borderId="131" xfId="0" applyFont="1" applyFill="1" applyBorder="1" applyAlignment="1">
      <alignment horizontal="center" vertical="center"/>
    </xf>
    <xf numFmtId="0" fontId="22" fillId="16" borderId="132" xfId="0" applyFont="1" applyFill="1" applyBorder="1" applyAlignment="1">
      <alignment horizontal="center" vertical="center"/>
    </xf>
    <xf numFmtId="0" fontId="32" fillId="7" borderId="37" xfId="0" applyFont="1" applyFill="1" applyBorder="1" applyAlignment="1">
      <alignment horizontal="left" vertical="center" indent="1"/>
    </xf>
    <xf numFmtId="0" fontId="32" fillId="7" borderId="21" xfId="0" applyFont="1" applyFill="1" applyBorder="1" applyAlignment="1">
      <alignment horizontal="left" vertical="center" indent="1"/>
    </xf>
    <xf numFmtId="0" fontId="32" fillId="7" borderId="22" xfId="0" applyFont="1" applyFill="1" applyBorder="1" applyAlignment="1">
      <alignment horizontal="left" vertical="center" indent="1"/>
    </xf>
    <xf numFmtId="0" fontId="32" fillId="6" borderId="79" xfId="0" applyFont="1" applyFill="1" applyBorder="1" applyAlignment="1">
      <alignment horizontal="left" vertical="center" indent="1"/>
    </xf>
    <xf numFmtId="0" fontId="32" fillId="6" borderId="31" xfId="0" applyFont="1" applyFill="1" applyBorder="1" applyAlignment="1">
      <alignment horizontal="left" vertical="center" indent="1"/>
    </xf>
    <xf numFmtId="0" fontId="32" fillId="6" borderId="25" xfId="0" applyFont="1" applyFill="1" applyBorder="1" applyAlignment="1">
      <alignment horizontal="left" vertical="center" indent="1"/>
    </xf>
    <xf numFmtId="0" fontId="32" fillId="7" borderId="54" xfId="0" applyFont="1" applyFill="1" applyBorder="1" applyAlignment="1">
      <alignment horizontal="left" vertical="top" indent="1"/>
    </xf>
    <xf numFmtId="0" fontId="32" fillId="6" borderId="25" xfId="0" applyFont="1" applyFill="1" applyBorder="1" applyAlignment="1">
      <alignment horizontal="center" vertical="top"/>
    </xf>
    <xf numFmtId="0" fontId="32" fillId="6" borderId="76" xfId="0" applyFont="1" applyFill="1" applyBorder="1" applyAlignment="1">
      <alignment horizontal="center" vertical="top"/>
    </xf>
    <xf numFmtId="0" fontId="29" fillId="0" borderId="0" xfId="0" applyFont="1" applyAlignment="1">
      <alignment horizontal="left" vertical="center" wrapText="1"/>
    </xf>
    <xf numFmtId="0" fontId="44" fillId="0" borderId="33" xfId="0" applyFont="1" applyFill="1" applyBorder="1" applyAlignment="1">
      <alignment horizontal="left"/>
    </xf>
    <xf numFmtId="0" fontId="32" fillId="6" borderId="22" xfId="0" applyFont="1" applyFill="1" applyBorder="1" applyAlignment="1">
      <alignment horizontal="center" vertical="top"/>
    </xf>
    <xf numFmtId="0" fontId="32" fillId="6" borderId="63" xfId="0" applyFont="1" applyFill="1" applyBorder="1" applyAlignment="1">
      <alignment horizontal="center" vertical="top"/>
    </xf>
    <xf numFmtId="0" fontId="32" fillId="7" borderId="22" xfId="0" applyFont="1" applyFill="1" applyBorder="1" applyAlignment="1">
      <alignment horizontal="center" vertical="top"/>
    </xf>
    <xf numFmtId="0" fontId="32" fillId="7" borderId="63" xfId="0" applyFont="1" applyFill="1" applyBorder="1" applyAlignment="1">
      <alignment horizontal="center" vertical="top"/>
    </xf>
    <xf numFmtId="0" fontId="32" fillId="15" borderId="128" xfId="0" applyFont="1" applyFill="1" applyBorder="1" applyAlignment="1">
      <alignment horizontal="center" vertical="center"/>
    </xf>
    <xf numFmtId="0" fontId="32" fillId="15" borderId="108" xfId="0" applyFont="1" applyFill="1" applyBorder="1" applyAlignment="1">
      <alignment horizontal="center" vertical="center"/>
    </xf>
    <xf numFmtId="0" fontId="3" fillId="14" borderId="129" xfId="0" applyFont="1" applyFill="1" applyBorder="1" applyAlignment="1">
      <alignment horizontal="center" vertical="center"/>
    </xf>
    <xf numFmtId="0" fontId="3" fillId="14" borderId="130" xfId="0" applyFont="1" applyFill="1" applyBorder="1" applyAlignment="1">
      <alignment horizontal="center" vertical="center"/>
    </xf>
    <xf numFmtId="0" fontId="33" fillId="6" borderId="67" xfId="0" applyFont="1" applyFill="1" applyBorder="1" applyAlignment="1">
      <alignment vertical="center"/>
    </xf>
    <xf numFmtId="0" fontId="33" fillId="6" borderId="15" xfId="0" applyFont="1" applyFill="1" applyBorder="1" applyAlignment="1">
      <alignment vertical="center"/>
    </xf>
    <xf numFmtId="0" fontId="33" fillId="7" borderId="97" xfId="0" applyFont="1" applyFill="1" applyBorder="1" applyAlignment="1">
      <alignment vertical="center"/>
    </xf>
    <xf numFmtId="0" fontId="33" fillId="7" borderId="98" xfId="0" applyFont="1" applyFill="1" applyBorder="1" applyAlignment="1">
      <alignment vertical="center"/>
    </xf>
    <xf numFmtId="0" fontId="32" fillId="6" borderId="37" xfId="0" applyFont="1" applyFill="1" applyBorder="1" applyAlignment="1">
      <alignment horizontal="left" vertical="top" indent="1"/>
    </xf>
    <xf numFmtId="0" fontId="30" fillId="5" borderId="117" xfId="0" applyFont="1" applyFill="1" applyBorder="1" applyAlignment="1">
      <alignment vertical="center"/>
    </xf>
    <xf numFmtId="0" fontId="30" fillId="5" borderId="111" xfId="0" applyFont="1" applyFill="1" applyBorder="1" applyAlignment="1">
      <alignment vertical="center"/>
    </xf>
    <xf numFmtId="0" fontId="30" fillId="5" borderId="127" xfId="0" applyFont="1" applyFill="1" applyBorder="1" applyAlignment="1">
      <alignment vertical="center"/>
    </xf>
    <xf numFmtId="0" fontId="33" fillId="7" borderId="43" xfId="0" applyFont="1" applyFill="1" applyBorder="1" applyAlignment="1">
      <alignment vertical="center"/>
    </xf>
    <xf numFmtId="0" fontId="33" fillId="7" borderId="14" xfId="0" applyFont="1" applyFill="1" applyBorder="1" applyAlignment="1">
      <alignment vertical="center"/>
    </xf>
    <xf numFmtId="0" fontId="30" fillId="5" borderId="114" xfId="0" applyFont="1" applyFill="1" applyBorder="1" applyAlignment="1">
      <alignment vertical="center"/>
    </xf>
    <xf numFmtId="0" fontId="30" fillId="5" borderId="115" xfId="0" applyFont="1" applyFill="1" applyBorder="1" applyAlignment="1">
      <alignment vertical="center"/>
    </xf>
    <xf numFmtId="0" fontId="30" fillId="5" borderId="116" xfId="0" applyFont="1" applyFill="1" applyBorder="1" applyAlignment="1">
      <alignment vertical="center"/>
    </xf>
    <xf numFmtId="0" fontId="32" fillId="7" borderId="54" xfId="0" applyFont="1" applyFill="1" applyBorder="1" applyAlignment="1">
      <alignment vertical="center"/>
    </xf>
    <xf numFmtId="0" fontId="32" fillId="7" borderId="42" xfId="0" applyFont="1" applyFill="1" applyBorder="1" applyAlignment="1">
      <alignment vertical="center"/>
    </xf>
    <xf numFmtId="0" fontId="32" fillId="7" borderId="41" xfId="0" applyFont="1" applyFill="1" applyBorder="1" applyAlignment="1">
      <alignment vertical="center"/>
    </xf>
    <xf numFmtId="2" fontId="33" fillId="7" borderId="63" xfId="0" applyNumberFormat="1" applyFont="1" applyFill="1" applyBorder="1" applyAlignment="1">
      <alignment vertical="top"/>
    </xf>
    <xf numFmtId="2" fontId="33" fillId="7" borderId="21" xfId="0" applyNumberFormat="1" applyFont="1" applyFill="1" applyBorder="1" applyAlignment="1">
      <alignment vertical="top"/>
    </xf>
    <xf numFmtId="164" fontId="32" fillId="7" borderId="56" xfId="0" applyNumberFormat="1" applyFont="1" applyFill="1" applyBorder="1" applyAlignment="1">
      <alignment horizontal="left" vertical="center" indent="1"/>
    </xf>
    <xf numFmtId="164" fontId="32" fillId="7" borderId="58" xfId="0" applyNumberFormat="1" applyFont="1" applyFill="1" applyBorder="1" applyAlignment="1">
      <alignment horizontal="left" vertical="center" indent="1"/>
    </xf>
    <xf numFmtId="0" fontId="32" fillId="6" borderId="66" xfId="0" applyFont="1" applyFill="1" applyBorder="1" applyAlignment="1">
      <alignment horizontal="left" vertical="top" indent="1"/>
    </xf>
    <xf numFmtId="0" fontId="32" fillId="6" borderId="34" xfId="0" applyFont="1" applyFill="1" applyBorder="1" applyAlignment="1">
      <alignment horizontal="left" vertical="top" indent="1"/>
    </xf>
    <xf numFmtId="0" fontId="32" fillId="6" borderId="59" xfId="0" applyFont="1" applyFill="1" applyBorder="1" applyAlignment="1">
      <alignment horizontal="left" vertical="top" indent="1"/>
    </xf>
    <xf numFmtId="2" fontId="33" fillId="7" borderId="75" xfId="0" applyNumberFormat="1" applyFont="1" applyFill="1" applyBorder="1" applyAlignment="1">
      <alignment vertical="top"/>
    </xf>
    <xf numFmtId="2" fontId="33" fillId="7" borderId="42" xfId="0" applyNumberFormat="1" applyFont="1" applyFill="1" applyBorder="1" applyAlignment="1">
      <alignment vertical="top"/>
    </xf>
    <xf numFmtId="0" fontId="33" fillId="7" borderId="42" xfId="0" applyFont="1" applyFill="1" applyBorder="1" applyAlignment="1">
      <alignment vertical="center"/>
    </xf>
    <xf numFmtId="0" fontId="33" fillId="7" borderId="41" xfId="0" applyFont="1" applyFill="1" applyBorder="1" applyAlignment="1">
      <alignment vertical="center"/>
    </xf>
    <xf numFmtId="167" fontId="33" fillId="7" borderId="59" xfId="0" applyNumberFormat="1" applyFont="1" applyFill="1" applyBorder="1" applyAlignment="1">
      <alignment horizontal="right" vertical="top"/>
    </xf>
    <xf numFmtId="167" fontId="33" fillId="7" borderId="70" xfId="0" applyNumberFormat="1" applyFont="1" applyFill="1" applyBorder="1" applyAlignment="1">
      <alignment horizontal="right" vertical="top"/>
    </xf>
    <xf numFmtId="167" fontId="33" fillId="7" borderId="81" xfId="0" applyNumberFormat="1" applyFont="1" applyFill="1" applyBorder="1" applyAlignment="1">
      <alignment horizontal="right" vertical="top"/>
    </xf>
    <xf numFmtId="0" fontId="30" fillId="5" borderId="107" xfId="0" applyFont="1" applyFill="1" applyBorder="1" applyAlignment="1">
      <alignment horizontal="left" vertical="center"/>
    </xf>
    <xf numFmtId="0" fontId="30" fillId="5" borderId="99" xfId="0" applyFont="1" applyFill="1" applyBorder="1" applyAlignment="1">
      <alignment horizontal="left" vertical="center"/>
    </xf>
    <xf numFmtId="0" fontId="30" fillId="5" borderId="108" xfId="0" applyFont="1" applyFill="1" applyBorder="1" applyAlignment="1">
      <alignment horizontal="left" vertical="center"/>
    </xf>
    <xf numFmtId="0" fontId="32" fillId="7" borderId="73" xfId="0" applyFont="1" applyFill="1" applyBorder="1" applyAlignment="1">
      <alignment horizontal="left" vertical="top" indent="1"/>
    </xf>
    <xf numFmtId="0" fontId="32" fillId="7" borderId="74" xfId="0" applyFont="1" applyFill="1" applyBorder="1" applyAlignment="1">
      <alignment horizontal="left" vertical="top" indent="1"/>
    </xf>
    <xf numFmtId="0" fontId="32" fillId="6" borderId="53" xfId="0" applyFont="1" applyFill="1" applyBorder="1" applyAlignment="1">
      <alignment horizontal="left" vertical="top" indent="1"/>
    </xf>
    <xf numFmtId="167" fontId="33" fillId="7" borderId="41" xfId="0" applyNumberFormat="1" applyFont="1" applyFill="1" applyBorder="1" applyAlignment="1">
      <alignment horizontal="right" vertical="top"/>
    </xf>
    <xf numFmtId="167" fontId="33" fillId="7" borderId="74" xfId="0" applyNumberFormat="1" applyFont="1" applyFill="1" applyBorder="1" applyAlignment="1">
      <alignment horizontal="right" vertical="top"/>
    </xf>
    <xf numFmtId="167" fontId="33" fillId="7" borderId="82" xfId="0" applyNumberFormat="1" applyFont="1" applyFill="1" applyBorder="1" applyAlignment="1">
      <alignment horizontal="right" vertical="top"/>
    </xf>
    <xf numFmtId="167" fontId="33" fillId="6" borderId="22" xfId="0" applyNumberFormat="1" applyFont="1" applyFill="1" applyBorder="1" applyAlignment="1">
      <alignment horizontal="right" vertical="top"/>
    </xf>
    <xf numFmtId="167" fontId="33" fillId="6" borderId="53" xfId="0" applyNumberFormat="1" applyFont="1" applyFill="1" applyBorder="1" applyAlignment="1">
      <alignment horizontal="right" vertical="top"/>
    </xf>
    <xf numFmtId="167" fontId="33" fillId="6" borderId="39" xfId="0" applyNumberFormat="1" applyFont="1" applyFill="1" applyBorder="1" applyAlignment="1">
      <alignment horizontal="right" vertical="top"/>
    </xf>
    <xf numFmtId="167" fontId="33" fillId="7" borderId="22" xfId="0" applyNumberFormat="1" applyFont="1" applyFill="1" applyBorder="1" applyAlignment="1">
      <alignment horizontal="right" vertical="top"/>
    </xf>
    <xf numFmtId="167" fontId="33" fillId="7" borderId="53" xfId="0" applyNumberFormat="1" applyFont="1" applyFill="1" applyBorder="1" applyAlignment="1">
      <alignment horizontal="right" vertical="top"/>
    </xf>
    <xf numFmtId="167" fontId="33" fillId="7" borderId="39" xfId="0" applyNumberFormat="1" applyFont="1" applyFill="1" applyBorder="1" applyAlignment="1">
      <alignment horizontal="right" vertical="top"/>
    </xf>
    <xf numFmtId="0" fontId="33" fillId="7" borderId="73" xfId="0" applyFont="1" applyFill="1" applyBorder="1" applyAlignment="1">
      <alignment horizontal="center" vertical="top"/>
    </xf>
    <xf numFmtId="0" fontId="33" fillId="7" borderId="75" xfId="0" applyFont="1" applyFill="1" applyBorder="1" applyAlignment="1">
      <alignment horizontal="center" vertical="top"/>
    </xf>
    <xf numFmtId="0" fontId="33" fillId="6" borderId="69" xfId="0" applyFont="1" applyFill="1" applyBorder="1" applyAlignment="1">
      <alignment horizontal="left" vertical="top" indent="1"/>
    </xf>
    <xf numFmtId="0" fontId="33" fillId="6" borderId="70" xfId="0" applyFont="1" applyFill="1" applyBorder="1" applyAlignment="1">
      <alignment horizontal="left" vertical="top" indent="1"/>
    </xf>
    <xf numFmtId="0" fontId="33" fillId="6" borderId="66" xfId="0" applyFont="1" applyFill="1" applyBorder="1" applyAlignment="1">
      <alignment horizontal="left" vertical="top" indent="1"/>
    </xf>
    <xf numFmtId="0" fontId="33" fillId="7" borderId="133" xfId="0" applyFont="1" applyFill="1" applyBorder="1" applyAlignment="1">
      <alignment horizontal="center" vertical="top"/>
    </xf>
    <xf numFmtId="0" fontId="33" fillId="7" borderId="134" xfId="0" applyFont="1" applyFill="1" applyBorder="1" applyAlignment="1">
      <alignment horizontal="center" vertical="top"/>
    </xf>
    <xf numFmtId="0" fontId="33" fillId="7" borderId="119" xfId="0" applyFont="1" applyFill="1" applyBorder="1" applyAlignment="1">
      <alignment horizontal="center" vertical="top"/>
    </xf>
    <xf numFmtId="0" fontId="32" fillId="7" borderId="37" xfId="0" applyFont="1" applyFill="1" applyBorder="1" applyAlignment="1">
      <alignment horizontal="left" vertical="top" indent="1"/>
    </xf>
    <xf numFmtId="0" fontId="32" fillId="7" borderId="80" xfId="0" applyFont="1" applyFill="1" applyBorder="1" applyAlignment="1">
      <alignment horizontal="left" vertical="top" indent="1"/>
    </xf>
    <xf numFmtId="0" fontId="32" fillId="7" borderId="76" xfId="0" applyFont="1" applyFill="1" applyBorder="1" applyAlignment="1">
      <alignment horizontal="left" vertical="top" indent="1"/>
    </xf>
    <xf numFmtId="2" fontId="33" fillId="6" borderId="66" xfId="0" applyNumberFormat="1" applyFont="1" applyFill="1" applyBorder="1" applyAlignment="1">
      <alignment vertical="top"/>
    </xf>
    <xf numFmtId="2" fontId="33" fillId="6" borderId="34" xfId="0" applyNumberFormat="1" applyFont="1" applyFill="1" applyBorder="1" applyAlignment="1">
      <alignment vertical="top"/>
    </xf>
    <xf numFmtId="0" fontId="32" fillId="6" borderId="40" xfId="0" applyFont="1" applyFill="1" applyBorder="1" applyAlignment="1">
      <alignment horizontal="left" vertical="top" indent="1"/>
    </xf>
    <xf numFmtId="0" fontId="30" fillId="5" borderId="83" xfId="0" applyFont="1" applyFill="1" applyBorder="1" applyAlignment="1">
      <alignment horizontal="left" vertical="center"/>
    </xf>
    <xf numFmtId="0" fontId="30" fillId="5" borderId="32" xfId="0" applyFont="1" applyFill="1" applyBorder="1" applyAlignment="1">
      <alignment horizontal="left" vertical="center"/>
    </xf>
    <xf numFmtId="0" fontId="30" fillId="5" borderId="84" xfId="0" applyFont="1" applyFill="1" applyBorder="1" applyAlignment="1">
      <alignment horizontal="left" vertical="center"/>
    </xf>
    <xf numFmtId="0" fontId="30" fillId="5" borderId="85" xfId="0" applyFont="1" applyFill="1" applyBorder="1" applyAlignment="1">
      <alignment horizontal="left" vertical="center"/>
    </xf>
    <xf numFmtId="0" fontId="30" fillId="5" borderId="58" xfId="0" applyFont="1" applyFill="1" applyBorder="1" applyAlignment="1">
      <alignment horizontal="left" vertical="center"/>
    </xf>
    <xf numFmtId="0" fontId="30" fillId="5" borderId="29" xfId="0" applyFont="1" applyFill="1" applyBorder="1" applyAlignment="1">
      <alignment horizontal="left" vertical="center"/>
    </xf>
    <xf numFmtId="0" fontId="30" fillId="5" borderId="0" xfId="0" applyFont="1" applyFill="1" applyBorder="1" applyAlignment="1">
      <alignment horizontal="left" vertical="center"/>
    </xf>
    <xf numFmtId="0" fontId="30" fillId="5" borderId="86" xfId="0" applyFont="1" applyFill="1" applyBorder="1" applyAlignment="1">
      <alignment horizontal="left" vertical="center"/>
    </xf>
    <xf numFmtId="0" fontId="30" fillId="5" borderId="1" xfId="0" applyFont="1" applyFill="1" applyBorder="1" applyAlignment="1">
      <alignment horizontal="left" vertical="center"/>
    </xf>
    <xf numFmtId="0" fontId="32" fillId="7" borderId="14" xfId="0" applyFont="1" applyFill="1" applyBorder="1" applyAlignment="1">
      <alignment vertical="top"/>
    </xf>
    <xf numFmtId="0" fontId="32" fillId="7" borderId="17" xfId="0" applyFont="1" applyFill="1" applyBorder="1" applyAlignment="1">
      <alignment vertical="top"/>
    </xf>
    <xf numFmtId="0" fontId="32" fillId="7" borderId="16" xfId="0" applyFont="1" applyFill="1" applyBorder="1" applyAlignment="1">
      <alignment vertical="top"/>
    </xf>
    <xf numFmtId="0" fontId="33" fillId="6" borderId="22" xfId="0" applyFont="1" applyFill="1" applyBorder="1" applyAlignment="1">
      <alignment vertical="top"/>
    </xf>
    <xf numFmtId="0" fontId="33" fillId="6" borderId="53" xfId="0" applyFont="1" applyFill="1" applyBorder="1" applyAlignment="1">
      <alignment vertical="top"/>
    </xf>
    <xf numFmtId="0" fontId="33" fillId="6" borderId="63" xfId="0" applyFont="1" applyFill="1" applyBorder="1" applyAlignment="1">
      <alignment vertical="top"/>
    </xf>
    <xf numFmtId="0" fontId="33" fillId="7" borderId="22" xfId="0" applyFont="1" applyFill="1" applyBorder="1" applyAlignment="1">
      <alignment vertical="top"/>
    </xf>
    <xf numFmtId="0" fontId="33" fillId="7" borderId="53" xfId="0" applyFont="1" applyFill="1" applyBorder="1" applyAlignment="1">
      <alignment vertical="top"/>
    </xf>
    <xf numFmtId="0" fontId="33" fillId="7" borderId="63" xfId="0" applyFont="1" applyFill="1" applyBorder="1" applyAlignment="1">
      <alignment vertical="top"/>
    </xf>
    <xf numFmtId="0" fontId="22" fillId="17" borderId="135" xfId="0" applyFont="1" applyFill="1" applyBorder="1" applyAlignment="1">
      <alignment horizontal="left" vertical="center" indent="1"/>
    </xf>
    <xf numFmtId="0" fontId="22" fillId="17" borderId="108" xfId="0" applyFont="1" applyFill="1" applyBorder="1" applyAlignment="1">
      <alignment horizontal="left" vertical="center" indent="1"/>
    </xf>
    <xf numFmtId="0" fontId="30" fillId="5" borderId="136" xfId="0" applyFont="1" applyFill="1" applyBorder="1" applyAlignment="1">
      <alignment horizontal="center" vertical="center"/>
    </xf>
    <xf numFmtId="0" fontId="30" fillId="5" borderId="137" xfId="0" applyFont="1" applyFill="1" applyBorder="1" applyAlignment="1">
      <alignment horizontal="center" vertical="center"/>
    </xf>
    <xf numFmtId="0" fontId="30" fillId="5" borderId="138" xfId="0" applyFont="1" applyFill="1" applyBorder="1" applyAlignment="1">
      <alignment horizontal="center" vertical="center"/>
    </xf>
    <xf numFmtId="0" fontId="30" fillId="5" borderId="139" xfId="0" applyFont="1" applyFill="1" applyBorder="1" applyAlignment="1">
      <alignment horizontal="center" vertical="center"/>
    </xf>
    <xf numFmtId="0" fontId="30" fillId="5" borderId="46" xfId="0" applyFont="1" applyFill="1" applyBorder="1" applyAlignment="1">
      <alignment horizontal="center" vertical="center"/>
    </xf>
    <xf numFmtId="0" fontId="30" fillId="5" borderId="35" xfId="0" applyFont="1" applyFill="1" applyBorder="1" applyAlignment="1">
      <alignment horizontal="center" vertical="center"/>
    </xf>
    <xf numFmtId="0" fontId="30" fillId="5" borderId="13" xfId="0" applyFont="1" applyFill="1" applyBorder="1" applyAlignment="1">
      <alignment horizontal="left" vertical="center" wrapText="1"/>
    </xf>
    <xf numFmtId="0" fontId="30" fillId="5" borderId="65" xfId="0" applyFont="1" applyFill="1" applyBorder="1" applyAlignment="1">
      <alignment horizontal="left" vertical="center" wrapText="1"/>
    </xf>
    <xf numFmtId="0" fontId="30" fillId="5" borderId="88" xfId="0" applyFont="1" applyFill="1" applyBorder="1" applyAlignment="1">
      <alignment horizontal="left" vertical="center" wrapText="1"/>
    </xf>
    <xf numFmtId="0" fontId="33" fillId="7" borderId="15" xfId="0" applyFont="1" applyFill="1" applyBorder="1" applyAlignment="1">
      <alignment vertical="top"/>
    </xf>
    <xf numFmtId="0" fontId="33" fillId="7" borderId="20" xfId="0" applyFont="1" applyFill="1" applyBorder="1" applyAlignment="1">
      <alignment vertical="top"/>
    </xf>
    <xf numFmtId="0" fontId="33" fillId="7" borderId="19" xfId="0" applyFont="1" applyFill="1" applyBorder="1" applyAlignment="1">
      <alignment vertical="top"/>
    </xf>
    <xf numFmtId="0" fontId="38" fillId="0" borderId="0" xfId="0" applyFont="1" applyAlignment="1">
      <alignment horizontal="left" vertical="center"/>
    </xf>
    <xf numFmtId="0" fontId="36" fillId="0" borderId="0" xfId="0" applyFont="1" applyFill="1" applyBorder="1" applyAlignment="1">
      <alignment horizontal="left" vertical="center" wrapText="1" indent="1"/>
    </xf>
    <xf numFmtId="0" fontId="39" fillId="0" borderId="0" xfId="0" applyFont="1" applyBorder="1" applyAlignment="1">
      <alignment horizontal="left" vertical="center" wrapText="1" indent="1"/>
    </xf>
    <xf numFmtId="0" fontId="33" fillId="7" borderId="59" xfId="0" applyFont="1" applyFill="1" applyBorder="1" applyAlignment="1">
      <alignment vertical="top"/>
    </xf>
    <xf numFmtId="0" fontId="33" fillId="7" borderId="70" xfId="0" applyFont="1" applyFill="1" applyBorder="1" applyAlignment="1">
      <alignment vertical="top"/>
    </xf>
    <xf numFmtId="0" fontId="33" fillId="7" borderId="66" xfId="0" applyFont="1" applyFill="1" applyBorder="1" applyAlignment="1">
      <alignment vertical="top"/>
    </xf>
    <xf numFmtId="0" fontId="37" fillId="18" borderId="140" xfId="0" applyFont="1" applyFill="1" applyBorder="1" applyAlignment="1">
      <alignment horizontal="center" vertical="top" wrapText="1"/>
    </xf>
    <xf numFmtId="0" fontId="37" fillId="18" borderId="141" xfId="0" applyFont="1" applyFill="1" applyBorder="1" applyAlignment="1">
      <alignment horizontal="center" vertical="top" wrapText="1"/>
    </xf>
    <xf numFmtId="3" fontId="33" fillId="6" borderId="22" xfId="0" applyNumberFormat="1" applyFont="1" applyFill="1" applyBorder="1" applyAlignment="1">
      <alignment vertical="top"/>
    </xf>
    <xf numFmtId="3" fontId="33" fillId="6" borderId="63" xfId="0" applyNumberFormat="1" applyFont="1" applyFill="1" applyBorder="1" applyAlignment="1">
      <alignment vertical="top"/>
    </xf>
    <xf numFmtId="0" fontId="37" fillId="18" borderId="142" xfId="0" applyFont="1" applyFill="1" applyBorder="1" applyAlignment="1">
      <alignment horizontal="left" vertical="top" wrapText="1"/>
    </xf>
    <xf numFmtId="3" fontId="33" fillId="7" borderId="22" xfId="0" applyNumberFormat="1" applyFont="1" applyFill="1" applyBorder="1" applyAlignment="1">
      <alignment vertical="top"/>
    </xf>
    <xf numFmtId="3" fontId="33" fillId="7" borderId="63" xfId="0" applyNumberFormat="1" applyFont="1" applyFill="1" applyBorder="1" applyAlignment="1">
      <alignment vertical="top"/>
    </xf>
    <xf numFmtId="1" fontId="30" fillId="5" borderId="126" xfId="0" applyNumberFormat="1" applyFont="1" applyFill="1" applyBorder="1" applyAlignment="1">
      <alignment horizontal="center" vertical="center" wrapText="1"/>
    </xf>
    <xf numFmtId="1" fontId="30" fillId="5" borderId="143" xfId="0" applyNumberFormat="1" applyFont="1" applyFill="1" applyBorder="1" applyAlignment="1">
      <alignment horizontal="center" vertical="center" wrapText="1"/>
    </xf>
    <xf numFmtId="3" fontId="33" fillId="6" borderId="41" xfId="0" applyNumberFormat="1" applyFont="1" applyFill="1" applyBorder="1" applyAlignment="1">
      <alignment vertical="top"/>
    </xf>
    <xf numFmtId="3" fontId="33" fillId="6" borderId="75" xfId="0" applyNumberFormat="1" applyFont="1" applyFill="1" applyBorder="1" applyAlignment="1">
      <alignment vertical="top"/>
    </xf>
    <xf numFmtId="0" fontId="30" fillId="5" borderId="43" xfId="0" applyFont="1" applyFill="1" applyBorder="1" applyAlignment="1">
      <alignment horizontal="center" vertical="center"/>
    </xf>
    <xf numFmtId="0" fontId="33" fillId="6" borderId="22" xfId="0" applyNumberFormat="1" applyFont="1" applyFill="1" applyBorder="1" applyAlignment="1">
      <alignment vertical="top"/>
    </xf>
    <xf numFmtId="0" fontId="33" fillId="6" borderId="53" xfId="0" applyNumberFormat="1" applyFont="1" applyFill="1" applyBorder="1" applyAlignment="1">
      <alignment vertical="top"/>
    </xf>
    <xf numFmtId="0" fontId="33" fillId="6" borderId="39" xfId="0" applyNumberFormat="1" applyFont="1" applyFill="1" applyBorder="1" applyAlignment="1">
      <alignment vertical="top"/>
    </xf>
    <xf numFmtId="0" fontId="33" fillId="7" borderId="22" xfId="0" applyNumberFormat="1" applyFont="1" applyFill="1" applyBorder="1" applyAlignment="1">
      <alignment vertical="top"/>
    </xf>
    <xf numFmtId="0" fontId="33" fillId="7" borderId="53" xfId="0" applyNumberFormat="1" applyFont="1" applyFill="1" applyBorder="1" applyAlignment="1">
      <alignment vertical="top"/>
    </xf>
    <xf numFmtId="0" fontId="33" fillId="7" borderId="39" xfId="0" applyNumberFormat="1" applyFont="1" applyFill="1" applyBorder="1" applyAlignment="1">
      <alignment vertical="top"/>
    </xf>
    <xf numFmtId="0" fontId="33" fillId="7" borderId="71" xfId="0" applyNumberFormat="1" applyFont="1" applyFill="1" applyBorder="1" applyAlignment="1">
      <alignment horizontal="left" vertical="top" indent="1"/>
    </xf>
    <xf numFmtId="0" fontId="33" fillId="7" borderId="63" xfId="0" applyNumberFormat="1" applyFont="1" applyFill="1" applyBorder="1" applyAlignment="1">
      <alignment horizontal="left" vertical="top" indent="1"/>
    </xf>
    <xf numFmtId="0" fontId="33" fillId="6" borderId="71" xfId="0" applyNumberFormat="1" applyFont="1" applyFill="1" applyBorder="1" applyAlignment="1">
      <alignment horizontal="left" vertical="top" indent="1"/>
    </xf>
    <xf numFmtId="0" fontId="33" fillId="6" borderId="63" xfId="0" applyNumberFormat="1" applyFont="1" applyFill="1" applyBorder="1" applyAlignment="1">
      <alignment horizontal="left" vertical="top" indent="1"/>
    </xf>
    <xf numFmtId="0" fontId="33" fillId="7" borderId="69" xfId="0" applyNumberFormat="1" applyFont="1" applyFill="1" applyBorder="1" applyAlignment="1">
      <alignment horizontal="left" vertical="top" indent="1"/>
    </xf>
    <xf numFmtId="0" fontId="33" fillId="7" borderId="66" xfId="0" applyNumberFormat="1" applyFont="1" applyFill="1" applyBorder="1" applyAlignment="1">
      <alignment horizontal="left" vertical="top" indent="1"/>
    </xf>
    <xf numFmtId="0" fontId="33" fillId="7" borderId="59" xfId="0" applyNumberFormat="1" applyFont="1" applyFill="1" applyBorder="1" applyAlignment="1">
      <alignment vertical="top"/>
    </xf>
    <xf numFmtId="0" fontId="33" fillId="7" borderId="70" xfId="0" applyNumberFormat="1" applyFont="1" applyFill="1" applyBorder="1" applyAlignment="1">
      <alignment vertical="top"/>
    </xf>
    <xf numFmtId="0" fontId="33" fillId="7" borderId="81" xfId="0" applyNumberFormat="1" applyFont="1" applyFill="1" applyBorder="1" applyAlignment="1">
      <alignment vertical="top"/>
    </xf>
    <xf numFmtId="0" fontId="29" fillId="0" borderId="0" xfId="0" applyFont="1" applyAlignment="1">
      <alignment horizontal="left" vertical="top" wrapText="1"/>
    </xf>
    <xf numFmtId="0" fontId="30" fillId="5" borderId="117" xfId="0" applyFont="1" applyFill="1" applyBorder="1" applyAlignment="1">
      <alignment horizontal="center" vertical="center"/>
    </xf>
    <xf numFmtId="0" fontId="30" fillId="5" borderId="111" xfId="0" applyFont="1" applyFill="1" applyBorder="1" applyAlignment="1">
      <alignment horizontal="center" vertical="center"/>
    </xf>
    <xf numFmtId="0" fontId="30" fillId="5" borderId="127" xfId="0" applyFont="1" applyFill="1" applyBorder="1" applyAlignment="1">
      <alignment horizontal="center" vertical="center"/>
    </xf>
    <xf numFmtId="0" fontId="30" fillId="5" borderId="137" xfId="0" applyFont="1" applyFill="1" applyBorder="1" applyAlignment="1">
      <alignment horizontal="left" vertical="center"/>
    </xf>
    <xf numFmtId="0" fontId="30" fillId="5" borderId="144" xfId="0" applyFont="1" applyFill="1" applyBorder="1" applyAlignment="1">
      <alignment horizontal="left" vertical="center"/>
    </xf>
    <xf numFmtId="0" fontId="30" fillId="5" borderId="145" xfId="0" applyFont="1" applyFill="1" applyBorder="1" applyAlignment="1">
      <alignment horizontal="left" vertical="center"/>
    </xf>
    <xf numFmtId="0" fontId="30" fillId="5" borderId="146" xfId="0" applyFont="1" applyFill="1" applyBorder="1" applyAlignment="1">
      <alignment horizontal="left" vertical="center"/>
    </xf>
    <xf numFmtId="0" fontId="30" fillId="5" borderId="142" xfId="0" applyFont="1" applyFill="1" applyBorder="1" applyAlignment="1">
      <alignment horizontal="left" vertical="center"/>
    </xf>
    <xf numFmtId="1" fontId="3" fillId="19" borderId="138" xfId="0" applyNumberFormat="1" applyFont="1" applyFill="1" applyBorder="1" applyAlignment="1">
      <alignment horizontal="center" vertical="center" wrapText="1"/>
    </xf>
    <xf numFmtId="1" fontId="3" fillId="19" borderId="139" xfId="0" applyNumberFormat="1" applyFont="1" applyFill="1" applyBorder="1" applyAlignment="1">
      <alignment horizontal="center" vertical="center" wrapText="1"/>
    </xf>
    <xf numFmtId="1" fontId="3" fillId="16" borderId="145" xfId="0" applyNumberFormat="1" applyFont="1" applyFill="1" applyBorder="1" applyAlignment="1">
      <alignment horizontal="center" vertical="center"/>
    </xf>
    <xf numFmtId="1" fontId="3" fillId="16" borderId="130" xfId="0" applyNumberFormat="1" applyFont="1" applyFill="1" applyBorder="1" applyAlignment="1">
      <alignment horizontal="center" vertical="center"/>
    </xf>
    <xf numFmtId="0" fontId="33" fillId="6" borderId="73" xfId="0" applyNumberFormat="1" applyFont="1" applyFill="1" applyBorder="1" applyAlignment="1">
      <alignment horizontal="left" vertical="top" indent="1"/>
    </xf>
    <xf numFmtId="0" fontId="33" fillId="6" borderId="75" xfId="0" applyNumberFormat="1" applyFont="1" applyFill="1" applyBorder="1" applyAlignment="1">
      <alignment horizontal="left" vertical="top" indent="1"/>
    </xf>
    <xf numFmtId="14" fontId="30" fillId="5" borderId="147" xfId="0" applyNumberFormat="1" applyFont="1" applyFill="1" applyBorder="1" applyAlignment="1">
      <alignment horizontal="center" vertical="center"/>
    </xf>
    <xf numFmtId="14" fontId="30" fillId="5" borderId="138" xfId="0" applyNumberFormat="1" applyFont="1" applyFill="1" applyBorder="1" applyAlignment="1">
      <alignment horizontal="center" vertical="center"/>
    </xf>
    <xf numFmtId="14" fontId="30" fillId="5" borderId="139" xfId="0" applyNumberFormat="1" applyFont="1" applyFill="1" applyBorder="1" applyAlignment="1">
      <alignment horizontal="center" vertical="center"/>
    </xf>
    <xf numFmtId="1" fontId="3" fillId="16" borderId="1" xfId="0" applyNumberFormat="1" applyFont="1" applyFill="1" applyBorder="1" applyAlignment="1">
      <alignment horizontal="center" vertical="center"/>
    </xf>
    <xf numFmtId="1" fontId="3" fillId="16" borderId="8" xfId="0" applyNumberFormat="1" applyFont="1" applyFill="1" applyBorder="1" applyAlignment="1">
      <alignment horizontal="center" vertical="center"/>
    </xf>
    <xf numFmtId="0" fontId="33" fillId="6" borderId="41" xfId="0" applyNumberFormat="1" applyFont="1" applyFill="1" applyBorder="1" applyAlignment="1">
      <alignment vertical="top"/>
    </xf>
    <xf numFmtId="0" fontId="33" fillId="6" borderId="74" xfId="0" applyNumberFormat="1" applyFont="1" applyFill="1" applyBorder="1" applyAlignment="1">
      <alignment vertical="top"/>
    </xf>
    <xf numFmtId="0" fontId="33" fillId="6" borderId="82" xfId="0" applyNumberFormat="1" applyFont="1" applyFill="1" applyBorder="1" applyAlignment="1">
      <alignment vertical="top"/>
    </xf>
    <xf numFmtId="3" fontId="33" fillId="6" borderId="59" xfId="0" applyNumberFormat="1" applyFont="1" applyFill="1" applyBorder="1" applyAlignment="1">
      <alignment vertical="top"/>
    </xf>
    <xf numFmtId="3" fontId="33" fillId="6" borderId="66" xfId="0" applyNumberFormat="1" applyFont="1" applyFill="1" applyBorder="1" applyAlignment="1">
      <alignment vertical="top"/>
    </xf>
    <xf numFmtId="0" fontId="33" fillId="7" borderId="71" xfId="0" applyFont="1" applyFill="1" applyBorder="1" applyAlignment="1">
      <alignment horizontal="left" vertical="top"/>
    </xf>
    <xf numFmtId="0" fontId="33" fillId="7" borderId="53" xfId="0" applyFont="1" applyFill="1" applyBorder="1" applyAlignment="1">
      <alignment horizontal="left" vertical="top"/>
    </xf>
    <xf numFmtId="0" fontId="33" fillId="7" borderId="63" xfId="0" applyFont="1" applyFill="1" applyBorder="1" applyAlignment="1">
      <alignment horizontal="left" vertical="top"/>
    </xf>
    <xf numFmtId="0" fontId="3" fillId="0" borderId="0" xfId="0" applyFont="1" applyFill="1" applyBorder="1" applyAlignment="1">
      <alignment horizontal="center"/>
    </xf>
    <xf numFmtId="0" fontId="30" fillId="11" borderId="117" xfId="0" applyFont="1" applyFill="1" applyBorder="1" applyAlignment="1">
      <alignment horizontal="center" vertical="center"/>
    </xf>
    <xf numFmtId="0" fontId="30" fillId="11" borderId="111" xfId="0" applyFont="1" applyFill="1" applyBorder="1" applyAlignment="1">
      <alignment horizontal="center" vertical="center"/>
    </xf>
    <xf numFmtId="0" fontId="30" fillId="11" borderId="127" xfId="0" applyFont="1" applyFill="1" applyBorder="1" applyAlignment="1">
      <alignment horizontal="center" vertical="center"/>
    </xf>
    <xf numFmtId="0" fontId="30" fillId="5" borderId="89" xfId="0" applyFont="1" applyFill="1" applyBorder="1" applyAlignment="1">
      <alignment horizontal="left" vertical="center"/>
    </xf>
    <xf numFmtId="0" fontId="30" fillId="5" borderId="60" xfId="0" applyFont="1" applyFill="1" applyBorder="1" applyAlignment="1">
      <alignment horizontal="left" vertical="center"/>
    </xf>
    <xf numFmtId="0" fontId="30" fillId="5" borderId="90" xfId="0" applyFont="1" applyFill="1" applyBorder="1" applyAlignment="1">
      <alignment horizontal="left" vertical="center"/>
    </xf>
    <xf numFmtId="0" fontId="3" fillId="16" borderId="10" xfId="0" applyFont="1" applyFill="1" applyBorder="1" applyAlignment="1">
      <alignment horizontal="center" vertical="center"/>
    </xf>
    <xf numFmtId="0" fontId="3" fillId="16" borderId="11" xfId="0" applyFont="1" applyFill="1" applyBorder="1" applyAlignment="1">
      <alignment horizontal="center" vertical="center"/>
    </xf>
    <xf numFmtId="0" fontId="32" fillId="6" borderId="73" xfId="0" applyFont="1" applyFill="1" applyBorder="1" applyAlignment="1">
      <alignment horizontal="left" vertical="top"/>
    </xf>
    <xf numFmtId="0" fontId="32" fillId="6" borderId="74" xfId="0" applyFont="1" applyFill="1" applyBorder="1" applyAlignment="1">
      <alignment horizontal="left" vertical="top"/>
    </xf>
    <xf numFmtId="0" fontId="32" fillId="6" borderId="75" xfId="0" applyFont="1" applyFill="1" applyBorder="1" applyAlignment="1">
      <alignment horizontal="left" vertical="top"/>
    </xf>
    <xf numFmtId="0" fontId="42" fillId="5" borderId="57" xfId="0" applyFont="1" applyFill="1" applyBorder="1" applyAlignment="1">
      <alignment horizontal="left" vertical="center" indent="1"/>
    </xf>
    <xf numFmtId="0" fontId="42" fillId="5" borderId="17" xfId="0" applyFont="1" applyFill="1" applyBorder="1" applyAlignment="1">
      <alignment horizontal="left" vertical="center" indent="1"/>
    </xf>
    <xf numFmtId="0" fontId="42" fillId="5" borderId="38" xfId="0" applyFont="1" applyFill="1" applyBorder="1" applyAlignment="1">
      <alignment horizontal="left" vertical="center" indent="1"/>
    </xf>
    <xf numFmtId="0" fontId="32" fillId="6" borderId="71" xfId="0" applyFont="1" applyFill="1" applyBorder="1" applyAlignment="1">
      <alignment horizontal="left" vertical="top"/>
    </xf>
    <xf numFmtId="0" fontId="32" fillId="6" borderId="53" xfId="0" applyFont="1" applyFill="1" applyBorder="1" applyAlignment="1">
      <alignment horizontal="left" vertical="top"/>
    </xf>
    <xf numFmtId="0" fontId="32" fillId="6" borderId="63" xfId="0" applyFont="1" applyFill="1" applyBorder="1" applyAlignment="1">
      <alignment horizontal="left" vertical="top"/>
    </xf>
    <xf numFmtId="0" fontId="33" fillId="7" borderId="71" xfId="0" applyFont="1" applyFill="1" applyBorder="1" applyAlignment="1">
      <alignment vertical="top"/>
    </xf>
    <xf numFmtId="0" fontId="33" fillId="7" borderId="71" xfId="0" applyFont="1" applyFill="1" applyBorder="1" applyAlignment="1">
      <alignment horizontal="center" vertical="top"/>
    </xf>
    <xf numFmtId="0" fontId="33" fillId="7" borderId="53" xfId="0" applyFont="1" applyFill="1" applyBorder="1" applyAlignment="1">
      <alignment horizontal="center" vertical="top"/>
    </xf>
    <xf numFmtId="0" fontId="33" fillId="7" borderId="63" xfId="0" applyFont="1" applyFill="1" applyBorder="1" applyAlignment="1">
      <alignment horizontal="center" vertical="top"/>
    </xf>
    <xf numFmtId="0" fontId="35" fillId="7" borderId="71" xfId="0" applyFont="1" applyFill="1" applyBorder="1" applyAlignment="1">
      <alignment horizontal="center" vertical="top"/>
    </xf>
    <xf numFmtId="0" fontId="35" fillId="7" borderId="53" xfId="0" applyFont="1" applyFill="1" applyBorder="1" applyAlignment="1">
      <alignment horizontal="center" vertical="top"/>
    </xf>
    <xf numFmtId="0" fontId="35" fillId="7" borderId="163" xfId="0" applyFont="1" applyFill="1" applyBorder="1" applyAlignment="1">
      <alignment horizontal="center" vertical="top"/>
    </xf>
    <xf numFmtId="0" fontId="35" fillId="7" borderId="168" xfId="0" applyFont="1" applyFill="1" applyBorder="1" applyAlignment="1">
      <alignment horizontal="center" vertical="top"/>
    </xf>
    <xf numFmtId="0" fontId="35" fillId="7" borderId="148" xfId="0" applyFont="1" applyFill="1" applyBorder="1" applyAlignment="1">
      <alignment horizontal="center" vertical="top"/>
    </xf>
    <xf numFmtId="0" fontId="35" fillId="7" borderId="169" xfId="0" applyFont="1" applyFill="1" applyBorder="1" applyAlignment="1">
      <alignment horizontal="center" vertical="top"/>
    </xf>
    <xf numFmtId="0" fontId="41" fillId="5" borderId="57" xfId="0" applyFont="1" applyFill="1" applyBorder="1" applyAlignment="1">
      <alignment horizontal="left" vertical="center" indent="1"/>
    </xf>
    <xf numFmtId="0" fontId="41" fillId="5" borderId="17" xfId="0" applyFont="1" applyFill="1" applyBorder="1" applyAlignment="1">
      <alignment horizontal="left" vertical="center" indent="1"/>
    </xf>
    <xf numFmtId="0" fontId="41" fillId="5" borderId="38" xfId="0" applyFont="1" applyFill="1" applyBorder="1" applyAlignment="1">
      <alignment horizontal="left" vertical="center" indent="1"/>
    </xf>
    <xf numFmtId="0" fontId="40" fillId="7" borderId="69" xfId="0" applyFont="1" applyFill="1" applyBorder="1" applyAlignment="1">
      <alignment horizontal="left" vertical="top" indent="2"/>
    </xf>
    <xf numFmtId="0" fontId="40" fillId="7" borderId="70" xfId="0" applyFont="1" applyFill="1" applyBorder="1" applyAlignment="1">
      <alignment horizontal="left" vertical="top" indent="2"/>
    </xf>
    <xf numFmtId="0" fontId="32" fillId="6" borderId="71" xfId="0" applyFont="1" applyFill="1" applyBorder="1" applyAlignment="1">
      <alignment vertical="top"/>
    </xf>
    <xf numFmtId="0" fontId="32" fillId="6" borderId="53" xfId="0" applyFont="1" applyFill="1" applyBorder="1" applyAlignment="1">
      <alignment vertical="top"/>
    </xf>
    <xf numFmtId="0" fontId="32" fillId="6" borderId="63" xfId="0" applyFont="1" applyFill="1" applyBorder="1" applyAlignment="1">
      <alignment vertical="top"/>
    </xf>
    <xf numFmtId="0" fontId="33" fillId="7" borderId="80" xfId="0" applyFont="1" applyFill="1" applyBorder="1" applyAlignment="1">
      <alignment vertical="top"/>
    </xf>
    <xf numFmtId="0" fontId="33" fillId="7" borderId="91" xfId="0" applyFont="1" applyFill="1" applyBorder="1" applyAlignment="1">
      <alignment vertical="top"/>
    </xf>
    <xf numFmtId="0" fontId="33" fillId="7" borderId="76" xfId="0" applyFont="1" applyFill="1" applyBorder="1" applyAlignment="1">
      <alignment vertical="top"/>
    </xf>
    <xf numFmtId="4" fontId="33" fillId="9" borderId="41" xfId="0" applyNumberFormat="1" applyFont="1" applyFill="1" applyBorder="1" applyAlignment="1">
      <alignment horizontal="center" vertical="top"/>
    </xf>
    <xf numFmtId="4" fontId="33" fillId="9" borderId="74" xfId="0" applyNumberFormat="1" applyFont="1" applyFill="1" applyBorder="1" applyAlignment="1">
      <alignment horizontal="center" vertical="top"/>
    </xf>
    <xf numFmtId="4" fontId="33" fillId="9" borderId="82" xfId="0" applyNumberFormat="1" applyFont="1" applyFill="1" applyBorder="1" applyAlignment="1">
      <alignment horizontal="center" vertical="top"/>
    </xf>
    <xf numFmtId="0" fontId="35" fillId="6" borderId="87" xfId="0" applyFont="1" applyFill="1" applyBorder="1" applyAlignment="1">
      <alignment horizontal="center" vertical="top"/>
    </xf>
    <xf numFmtId="0" fontId="35" fillId="6" borderId="74" xfId="0" applyFont="1" applyFill="1" applyBorder="1" applyAlignment="1">
      <alignment horizontal="center" vertical="top"/>
    </xf>
    <xf numFmtId="0" fontId="35" fillId="6" borderId="75" xfId="0" applyFont="1" applyFill="1" applyBorder="1" applyAlignment="1">
      <alignment horizontal="center" vertical="top"/>
    </xf>
    <xf numFmtId="0" fontId="33" fillId="7" borderId="80" xfId="0" applyFont="1" applyFill="1" applyBorder="1" applyAlignment="1">
      <alignment horizontal="left" vertical="top"/>
    </xf>
    <xf numFmtId="0" fontId="33" fillId="7" borderId="91" xfId="0" applyFont="1" applyFill="1" applyBorder="1" applyAlignment="1">
      <alignment horizontal="left" vertical="top"/>
    </xf>
    <xf numFmtId="0" fontId="33" fillId="7" borderId="76" xfId="0" applyFont="1" applyFill="1" applyBorder="1" applyAlignment="1">
      <alignment horizontal="left" vertical="top"/>
    </xf>
    <xf numFmtId="0" fontId="27" fillId="0" borderId="0" xfId="0" applyFont="1" applyFill="1" applyBorder="1" applyAlignment="1">
      <alignment horizontal="left"/>
    </xf>
    <xf numFmtId="0" fontId="38" fillId="0" borderId="0" xfId="0" applyFont="1" applyAlignment="1">
      <alignment horizontal="left"/>
    </xf>
    <xf numFmtId="14" fontId="33" fillId="7" borderId="71" xfId="0" applyNumberFormat="1" applyFont="1" applyFill="1" applyBorder="1" applyAlignment="1">
      <alignment horizontal="right" vertical="top" indent="1"/>
    </xf>
    <xf numFmtId="14" fontId="33" fillId="7" borderId="63" xfId="0" applyNumberFormat="1" applyFont="1" applyFill="1" applyBorder="1" applyAlignment="1">
      <alignment horizontal="right" vertical="top" indent="1"/>
    </xf>
    <xf numFmtId="14" fontId="33" fillId="6" borderId="71" xfId="0" applyNumberFormat="1" applyFont="1" applyFill="1" applyBorder="1" applyAlignment="1">
      <alignment horizontal="right" vertical="top" indent="1"/>
    </xf>
    <xf numFmtId="14" fontId="33" fillId="6" borderId="63" xfId="0" applyNumberFormat="1" applyFont="1" applyFill="1" applyBorder="1" applyAlignment="1">
      <alignment horizontal="right" vertical="top" indent="1"/>
    </xf>
    <xf numFmtId="0" fontId="35" fillId="7" borderId="71" xfId="0" applyFont="1" applyFill="1" applyBorder="1" applyAlignment="1">
      <alignment horizontal="right" vertical="top" indent="1"/>
    </xf>
    <xf numFmtId="0" fontId="35" fillId="7" borderId="63" xfId="0" applyFont="1" applyFill="1" applyBorder="1" applyAlignment="1">
      <alignment horizontal="right" vertical="top" indent="1"/>
    </xf>
    <xf numFmtId="0" fontId="35" fillId="6" borderId="71" xfId="0" applyFont="1" applyFill="1" applyBorder="1" applyAlignment="1">
      <alignment horizontal="right" vertical="top" indent="1"/>
    </xf>
    <xf numFmtId="0" fontId="35" fillId="6" borderId="63" xfId="0" applyFont="1" applyFill="1" applyBorder="1" applyAlignment="1">
      <alignment horizontal="right" vertical="top" indent="1"/>
    </xf>
    <xf numFmtId="0" fontId="35" fillId="7" borderId="69" xfId="0" applyFont="1" applyFill="1" applyBorder="1" applyAlignment="1">
      <alignment horizontal="right" vertical="top" indent="1"/>
    </xf>
    <xf numFmtId="0" fontId="35" fillId="7" borderId="66" xfId="0" applyFont="1" applyFill="1" applyBorder="1" applyAlignment="1">
      <alignment horizontal="right" vertical="top" indent="1"/>
    </xf>
    <xf numFmtId="14" fontId="35" fillId="6" borderId="71" xfId="0" applyNumberFormat="1" applyFont="1" applyFill="1" applyBorder="1" applyAlignment="1">
      <alignment horizontal="right" vertical="top" indent="1"/>
    </xf>
    <xf numFmtId="14" fontId="35" fillId="6" borderId="63" xfId="0" applyNumberFormat="1" applyFont="1" applyFill="1" applyBorder="1" applyAlignment="1">
      <alignment horizontal="right" vertical="top" indent="1"/>
    </xf>
    <xf numFmtId="14" fontId="35" fillId="7" borderId="71" xfId="0" applyNumberFormat="1" applyFont="1" applyFill="1" applyBorder="1" applyAlignment="1">
      <alignment horizontal="right" vertical="top" indent="1"/>
    </xf>
    <xf numFmtId="14" fontId="35" fillId="7" borderId="63" xfId="0" applyNumberFormat="1" applyFont="1" applyFill="1" applyBorder="1" applyAlignment="1">
      <alignment horizontal="right" vertical="top" indent="1"/>
    </xf>
    <xf numFmtId="0" fontId="35" fillId="6" borderId="69" xfId="0" applyFont="1" applyFill="1" applyBorder="1" applyAlignment="1">
      <alignment horizontal="right" vertical="top" indent="1"/>
    </xf>
    <xf numFmtId="0" fontId="35" fillId="6" borderId="66" xfId="0" applyFont="1" applyFill="1" applyBorder="1" applyAlignment="1">
      <alignment horizontal="right" vertical="top" indent="1"/>
    </xf>
    <xf numFmtId="0" fontId="33" fillId="6" borderId="71" xfId="0" applyFont="1" applyFill="1" applyBorder="1" applyAlignment="1">
      <alignment vertical="top"/>
    </xf>
    <xf numFmtId="0" fontId="30" fillId="5" borderId="14" xfId="0" applyFont="1" applyFill="1" applyBorder="1" applyAlignment="1">
      <alignment horizontal="left" vertical="center"/>
    </xf>
    <xf numFmtId="9" fontId="33" fillId="7" borderId="22" xfId="0" applyNumberFormat="1" applyFont="1" applyFill="1" applyBorder="1" applyAlignment="1">
      <alignment vertical="top"/>
    </xf>
    <xf numFmtId="9" fontId="33" fillId="7" borderId="63" xfId="0" applyNumberFormat="1" applyFont="1" applyFill="1" applyBorder="1" applyAlignment="1">
      <alignment vertical="top"/>
    </xf>
    <xf numFmtId="0" fontId="33" fillId="7" borderId="22" xfId="0" applyFont="1" applyFill="1" applyBorder="1" applyAlignment="1">
      <alignment horizontal="center" vertical="top"/>
    </xf>
    <xf numFmtId="0" fontId="35" fillId="6" borderId="71" xfId="0" applyFont="1" applyFill="1" applyBorder="1" applyAlignment="1">
      <alignment vertical="top"/>
    </xf>
    <xf numFmtId="0" fontId="35" fillId="6" borderId="53" xfId="0" applyFont="1" applyFill="1" applyBorder="1" applyAlignment="1">
      <alignment vertical="top"/>
    </xf>
    <xf numFmtId="0" fontId="35" fillId="6" borderId="63" xfId="0" applyFont="1" applyFill="1" applyBorder="1" applyAlignment="1">
      <alignment vertical="top"/>
    </xf>
    <xf numFmtId="0" fontId="35" fillId="6" borderId="69" xfId="0" applyFont="1" applyFill="1" applyBorder="1" applyAlignment="1">
      <alignment vertical="top"/>
    </xf>
    <xf numFmtId="0" fontId="35" fillId="6" borderId="70" xfId="0" applyFont="1" applyFill="1" applyBorder="1" applyAlignment="1">
      <alignment vertical="top"/>
    </xf>
    <xf numFmtId="0" fontId="35" fillId="6" borderId="66" xfId="0" applyFont="1" applyFill="1" applyBorder="1" applyAlignment="1">
      <alignment vertical="top"/>
    </xf>
    <xf numFmtId="0" fontId="35" fillId="7" borderId="71" xfId="0" applyFont="1" applyFill="1" applyBorder="1" applyAlignment="1">
      <alignment vertical="top"/>
    </xf>
    <xf numFmtId="0" fontId="35" fillId="7" borderId="53" xfId="0" applyFont="1" applyFill="1" applyBorder="1" applyAlignment="1">
      <alignment vertical="top"/>
    </xf>
    <xf numFmtId="0" fontId="35" fillId="7" borderId="63" xfId="0" applyFont="1" applyFill="1" applyBorder="1" applyAlignment="1">
      <alignment vertical="top"/>
    </xf>
    <xf numFmtId="9" fontId="33" fillId="7" borderId="22" xfId="0" applyNumberFormat="1" applyFont="1" applyFill="1" applyBorder="1" applyAlignment="1">
      <alignment horizontal="center" vertical="top"/>
    </xf>
    <xf numFmtId="9" fontId="33" fillId="7" borderId="63" xfId="0" applyNumberFormat="1" applyFont="1" applyFill="1" applyBorder="1" applyAlignment="1">
      <alignment horizontal="center" vertical="top"/>
    </xf>
    <xf numFmtId="0" fontId="33" fillId="6" borderId="22" xfId="0" applyFont="1" applyFill="1" applyBorder="1" applyAlignment="1">
      <alignment horizontal="center" vertical="top"/>
    </xf>
    <xf numFmtId="0" fontId="33" fillId="6" borderId="63" xfId="0" applyFont="1" applyFill="1" applyBorder="1" applyAlignment="1">
      <alignment horizontal="center" vertical="top"/>
    </xf>
    <xf numFmtId="0" fontId="35" fillId="7" borderId="22" xfId="0" applyFont="1" applyFill="1" applyBorder="1" applyAlignment="1">
      <alignment vertical="top"/>
    </xf>
    <xf numFmtId="0" fontId="35" fillId="6" borderId="22" xfId="0" applyFont="1" applyFill="1" applyBorder="1" applyAlignment="1">
      <alignment vertical="top"/>
    </xf>
    <xf numFmtId="0" fontId="35" fillId="6" borderId="59" xfId="0" applyFont="1" applyFill="1" applyBorder="1" applyAlignment="1">
      <alignment vertical="top"/>
    </xf>
    <xf numFmtId="0" fontId="35" fillId="6" borderId="22" xfId="0" applyFont="1" applyFill="1" applyBorder="1" applyAlignment="1">
      <alignment horizontal="center" vertical="top"/>
    </xf>
    <xf numFmtId="0" fontId="35" fillId="6" borderId="63" xfId="0" applyFont="1" applyFill="1" applyBorder="1" applyAlignment="1">
      <alignment horizontal="center" vertical="top"/>
    </xf>
    <xf numFmtId="0" fontId="35" fillId="7" borderId="22" xfId="0" applyFont="1" applyFill="1" applyBorder="1" applyAlignment="1">
      <alignment horizontal="center" vertical="top"/>
    </xf>
    <xf numFmtId="0" fontId="35" fillId="7" borderId="63" xfId="0" applyFont="1" applyFill="1" applyBorder="1" applyAlignment="1">
      <alignment horizontal="center" vertical="top"/>
    </xf>
    <xf numFmtId="0" fontId="35" fillId="6" borderId="59" xfId="0" applyFont="1" applyFill="1" applyBorder="1" applyAlignment="1">
      <alignment horizontal="center" vertical="top"/>
    </xf>
    <xf numFmtId="0" fontId="35" fillId="6" borderId="66" xfId="0" applyFont="1" applyFill="1" applyBorder="1" applyAlignment="1">
      <alignment horizontal="center" vertical="top"/>
    </xf>
    <xf numFmtId="0" fontId="33" fillId="7" borderId="69" xfId="0" applyFont="1" applyFill="1" applyBorder="1" applyAlignment="1">
      <alignment vertical="top"/>
    </xf>
    <xf numFmtId="0" fontId="30" fillId="5" borderId="57" xfId="0" applyFont="1" applyFill="1" applyBorder="1" applyAlignment="1">
      <alignment horizontal="center" vertical="center"/>
    </xf>
    <xf numFmtId="0" fontId="30" fillId="5" borderId="149" xfId="0" applyFont="1" applyFill="1" applyBorder="1" applyAlignment="1">
      <alignment horizontal="center" vertical="center"/>
    </xf>
    <xf numFmtId="0" fontId="30" fillId="5" borderId="150" xfId="0" applyFont="1" applyFill="1" applyBorder="1" applyAlignment="1">
      <alignment horizontal="center" vertical="center"/>
    </xf>
    <xf numFmtId="0" fontId="30" fillId="5" borderId="38" xfId="0" applyFont="1" applyFill="1" applyBorder="1" applyAlignment="1">
      <alignment horizontal="center" vertical="center"/>
    </xf>
    <xf numFmtId="0" fontId="33" fillId="6" borderId="73" xfId="0" applyFont="1" applyFill="1" applyBorder="1" applyAlignment="1">
      <alignment vertical="top"/>
    </xf>
    <xf numFmtId="0" fontId="33" fillId="6" borderId="75" xfId="0" applyFont="1" applyFill="1" applyBorder="1" applyAlignment="1">
      <alignment vertical="top"/>
    </xf>
    <xf numFmtId="0" fontId="30" fillId="5" borderId="14"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12" xfId="0" applyFont="1" applyFill="1" applyBorder="1" applyAlignment="1">
      <alignment horizontal="center" vertical="center"/>
    </xf>
    <xf numFmtId="0" fontId="30" fillId="5" borderId="167" xfId="0" applyFont="1" applyFill="1" applyBorder="1" applyAlignment="1">
      <alignment horizontal="center" vertical="center"/>
    </xf>
    <xf numFmtId="0" fontId="25" fillId="16" borderId="151" xfId="0" applyFont="1" applyFill="1" applyBorder="1" applyAlignment="1">
      <alignment horizontal="center"/>
    </xf>
    <xf numFmtId="0" fontId="25" fillId="16" borderId="152" xfId="0" applyFont="1" applyFill="1" applyBorder="1" applyAlignment="1">
      <alignment horizontal="center"/>
    </xf>
    <xf numFmtId="0" fontId="30" fillId="5" borderId="153" xfId="0" applyFont="1" applyFill="1" applyBorder="1" applyAlignment="1">
      <alignment horizontal="center" vertical="center"/>
    </xf>
    <xf numFmtId="0" fontId="30" fillId="5" borderId="151" xfId="0" applyFont="1" applyFill="1" applyBorder="1" applyAlignment="1">
      <alignment horizontal="center" vertical="center"/>
    </xf>
    <xf numFmtId="0" fontId="30" fillId="5" borderId="77" xfId="0" applyFont="1" applyFill="1" applyBorder="1" applyAlignment="1">
      <alignment horizontal="left"/>
    </xf>
    <xf numFmtId="0" fontId="30" fillId="5" borderId="78" xfId="0" applyFont="1" applyFill="1" applyBorder="1" applyAlignment="1">
      <alignment horizontal="left"/>
    </xf>
    <xf numFmtId="0" fontId="30" fillId="5" borderId="154" xfId="0" applyFont="1" applyFill="1" applyBorder="1" applyAlignment="1">
      <alignment horizontal="left"/>
    </xf>
    <xf numFmtId="0" fontId="30" fillId="5" borderId="155" xfId="0" applyFont="1" applyFill="1" applyBorder="1" applyAlignment="1">
      <alignment horizontal="left"/>
    </xf>
    <xf numFmtId="0" fontId="22" fillId="16" borderId="12" xfId="0" applyFont="1" applyFill="1" applyBorder="1" applyAlignment="1">
      <alignment horizontal="center" vertical="center"/>
    </xf>
    <xf numFmtId="0" fontId="22" fillId="16" borderId="11" xfId="0" applyFont="1" applyFill="1" applyBorder="1" applyAlignment="1">
      <alignment horizontal="center" vertical="center"/>
    </xf>
    <xf numFmtId="0" fontId="30" fillId="5" borderId="16" xfId="0" applyFont="1" applyFill="1" applyBorder="1" applyAlignment="1">
      <alignment horizontal="center" vertical="center"/>
    </xf>
    <xf numFmtId="0" fontId="30" fillId="5" borderId="107" xfId="0" applyFont="1" applyFill="1" applyBorder="1" applyAlignment="1">
      <alignment horizontal="center" vertical="center"/>
    </xf>
    <xf numFmtId="0" fontId="30" fillId="5" borderId="99" xfId="0" applyFont="1" applyFill="1" applyBorder="1" applyAlignment="1">
      <alignment horizontal="center" vertical="center"/>
    </xf>
    <xf numFmtId="0" fontId="30" fillId="5" borderId="108" xfId="0" applyFont="1" applyFill="1" applyBorder="1" applyAlignment="1">
      <alignment horizontal="center" vertical="center"/>
    </xf>
    <xf numFmtId="0" fontId="30" fillId="5" borderId="156" xfId="0" applyFont="1" applyFill="1" applyBorder="1" applyAlignment="1">
      <alignment horizontal="center" vertical="center"/>
    </xf>
    <xf numFmtId="0" fontId="30" fillId="5" borderId="157" xfId="0" applyFont="1" applyFill="1" applyBorder="1" applyAlignment="1">
      <alignment horizontal="center" vertical="center"/>
    </xf>
    <xf numFmtId="0" fontId="30" fillId="5" borderId="147" xfId="0" applyFont="1" applyFill="1" applyBorder="1" applyAlignment="1">
      <alignment horizontal="left" vertical="center"/>
    </xf>
    <xf numFmtId="0" fontId="30" fillId="5" borderId="138" xfId="0" applyFont="1" applyFill="1" applyBorder="1" applyAlignment="1">
      <alignment horizontal="left" vertical="center"/>
    </xf>
    <xf numFmtId="0" fontId="30" fillId="5" borderId="139" xfId="0" applyFont="1" applyFill="1" applyBorder="1" applyAlignment="1">
      <alignment horizontal="left" vertical="center"/>
    </xf>
    <xf numFmtId="0" fontId="25" fillId="16" borderId="7" xfId="0" applyFont="1" applyFill="1" applyBorder="1" applyAlignment="1">
      <alignment horizontal="left" indent="1"/>
    </xf>
    <xf numFmtId="0" fontId="25" fillId="16" borderId="1" xfId="0" applyFont="1" applyFill="1" applyBorder="1" applyAlignment="1">
      <alignment horizontal="left" indent="1"/>
    </xf>
    <xf numFmtId="0" fontId="25" fillId="16" borderId="8" xfId="0" applyFont="1" applyFill="1" applyBorder="1" applyAlignment="1">
      <alignment horizontal="left" indent="1"/>
    </xf>
    <xf numFmtId="0" fontId="30" fillId="5" borderId="11" xfId="0" applyFont="1" applyFill="1" applyBorder="1" applyAlignment="1">
      <alignment horizontal="center" vertical="center"/>
    </xf>
    <xf numFmtId="0" fontId="30" fillId="5" borderId="64" xfId="0" applyFont="1" applyFill="1" applyBorder="1" applyAlignment="1">
      <alignment horizontal="center"/>
    </xf>
    <xf numFmtId="0" fontId="30" fillId="5" borderId="114" xfId="0" applyFont="1" applyFill="1" applyBorder="1" applyAlignment="1">
      <alignment horizontal="center"/>
    </xf>
    <xf numFmtId="0" fontId="30" fillId="5" borderId="28" xfId="0" applyFont="1" applyFill="1" applyBorder="1" applyAlignment="1">
      <alignment horizontal="center" wrapText="1"/>
    </xf>
    <xf numFmtId="0" fontId="30" fillId="5" borderId="115" xfId="0" applyFont="1" applyFill="1" applyBorder="1" applyAlignment="1">
      <alignment horizontal="center" wrapText="1"/>
    </xf>
    <xf numFmtId="0" fontId="30" fillId="5" borderId="65" xfId="0" applyFont="1" applyFill="1" applyBorder="1" applyAlignment="1">
      <alignment horizontal="center" wrapText="1"/>
    </xf>
    <xf numFmtId="0" fontId="30" fillId="5" borderId="116" xfId="0" applyFont="1" applyFill="1" applyBorder="1" applyAlignment="1">
      <alignment horizontal="center" wrapText="1"/>
    </xf>
    <xf numFmtId="0" fontId="30" fillId="5" borderId="64" xfId="0" applyFont="1" applyFill="1" applyBorder="1" applyAlignment="1">
      <alignment horizontal="center" wrapText="1"/>
    </xf>
    <xf numFmtId="0" fontId="30" fillId="5" borderId="114" xfId="0" applyFont="1" applyFill="1" applyBorder="1" applyAlignment="1">
      <alignment horizontal="center" wrapText="1"/>
    </xf>
    <xf numFmtId="0" fontId="30" fillId="5" borderId="46" xfId="0" applyFont="1" applyFill="1" applyBorder="1" applyAlignment="1">
      <alignment horizontal="left" vertical="center" indent="10"/>
    </xf>
    <xf numFmtId="0" fontId="30" fillId="5" borderId="43" xfId="0" applyFont="1" applyFill="1" applyBorder="1" applyAlignment="1">
      <alignment horizontal="left" vertical="center" indent="10"/>
    </xf>
    <xf numFmtId="0" fontId="30" fillId="5" borderId="35" xfId="0" applyFont="1" applyFill="1" applyBorder="1" applyAlignment="1">
      <alignment horizontal="left" vertical="center" indent="10"/>
    </xf>
    <xf numFmtId="0" fontId="25" fillId="16" borderId="10" xfId="0" applyFont="1" applyFill="1" applyBorder="1" applyAlignment="1">
      <alignment horizontal="center"/>
    </xf>
    <xf numFmtId="0" fontId="25" fillId="16" borderId="11" xfId="0" applyFont="1" applyFill="1" applyBorder="1" applyAlignment="1">
      <alignment horizontal="center"/>
    </xf>
    <xf numFmtId="0" fontId="33" fillId="7" borderId="73" xfId="0" applyFont="1" applyFill="1" applyBorder="1" applyAlignment="1">
      <alignment vertical="top"/>
    </xf>
    <xf numFmtId="0" fontId="33" fillId="7" borderId="75" xfId="0" applyFont="1" applyFill="1" applyBorder="1" applyAlignment="1">
      <alignment vertical="top"/>
    </xf>
    <xf numFmtId="0" fontId="37" fillId="18" borderId="107" xfId="0" applyFont="1" applyFill="1" applyBorder="1" applyAlignment="1">
      <alignment horizontal="center"/>
    </xf>
    <xf numFmtId="0" fontId="37" fillId="18" borderId="99" xfId="0" applyFont="1" applyFill="1" applyBorder="1" applyAlignment="1">
      <alignment horizontal="center"/>
    </xf>
    <xf numFmtId="0" fontId="37" fillId="18" borderId="108" xfId="0" applyFont="1" applyFill="1" applyBorder="1" applyAlignment="1">
      <alignment horizontal="center"/>
    </xf>
    <xf numFmtId="0" fontId="33" fillId="6" borderId="69" xfId="0" applyFont="1" applyFill="1" applyBorder="1" applyAlignment="1">
      <alignment vertical="top"/>
    </xf>
    <xf numFmtId="0" fontId="33" fillId="6" borderId="66" xfId="0" applyFont="1" applyFill="1" applyBorder="1" applyAlignment="1">
      <alignment vertical="top"/>
    </xf>
    <xf numFmtId="0" fontId="3" fillId="16" borderId="10" xfId="0" applyFont="1" applyFill="1" applyBorder="1" applyAlignment="1">
      <alignment horizontal="center"/>
    </xf>
    <xf numFmtId="0" fontId="3" fillId="16" borderId="11" xfId="0" applyFont="1" applyFill="1" applyBorder="1" applyAlignment="1">
      <alignment horizontal="center"/>
    </xf>
    <xf numFmtId="0" fontId="30" fillId="5" borderId="29" xfId="0" applyFont="1" applyFill="1" applyBorder="1" applyAlignment="1">
      <alignment horizontal="right" vertical="center" wrapText="1"/>
    </xf>
    <xf numFmtId="0" fontId="30" fillId="5" borderId="32" xfId="0" applyFont="1" applyFill="1" applyBorder="1" applyAlignment="1">
      <alignment horizontal="right" vertical="center" wrapText="1"/>
    </xf>
    <xf numFmtId="3" fontId="33" fillId="7" borderId="110" xfId="0" applyNumberFormat="1" applyFont="1" applyFill="1" applyBorder="1" applyAlignment="1">
      <alignment vertical="top"/>
    </xf>
    <xf numFmtId="3" fontId="33" fillId="7" borderId="119" xfId="0" applyNumberFormat="1" applyFont="1" applyFill="1" applyBorder="1" applyAlignment="1">
      <alignment vertical="top"/>
    </xf>
    <xf numFmtId="0" fontId="30" fillId="5" borderId="154" xfId="0" applyFont="1" applyFill="1" applyBorder="1" applyAlignment="1">
      <alignment horizontal="left" vertical="center" wrapText="1"/>
    </xf>
    <xf numFmtId="0" fontId="30" fillId="5" borderId="137" xfId="0" applyFont="1" applyFill="1" applyBorder="1" applyAlignment="1">
      <alignment horizontal="left" vertical="center" wrapText="1"/>
    </xf>
    <xf numFmtId="0" fontId="30" fillId="5" borderId="155" xfId="0" applyFont="1" applyFill="1" applyBorder="1" applyAlignment="1">
      <alignment horizontal="left" vertical="center" wrapText="1"/>
    </xf>
    <xf numFmtId="0" fontId="30" fillId="5" borderId="135" xfId="0" applyFont="1" applyFill="1" applyBorder="1" applyAlignment="1">
      <alignment horizontal="center" vertical="center" wrapText="1"/>
    </xf>
    <xf numFmtId="0" fontId="30" fillId="5" borderId="158" xfId="0" applyFont="1" applyFill="1" applyBorder="1" applyAlignment="1">
      <alignment horizontal="center" vertical="center" wrapText="1"/>
    </xf>
    <xf numFmtId="0" fontId="33" fillId="7" borderId="69" xfId="0" applyFont="1" applyFill="1" applyBorder="1" applyAlignment="1">
      <alignment horizontal="left" vertical="top" indent="1"/>
    </xf>
    <xf numFmtId="0" fontId="33" fillId="7" borderId="70" xfId="0" applyFont="1" applyFill="1" applyBorder="1" applyAlignment="1">
      <alignment horizontal="left" vertical="top" indent="1"/>
    </xf>
    <xf numFmtId="0" fontId="33" fillId="7" borderId="66" xfId="0" applyFont="1" applyFill="1" applyBorder="1" applyAlignment="1">
      <alignment horizontal="left" vertical="top" indent="1"/>
    </xf>
    <xf numFmtId="0" fontId="30" fillId="5" borderId="135" xfId="0" applyFont="1" applyFill="1" applyBorder="1" applyAlignment="1">
      <alignment horizontal="center" vertical="center"/>
    </xf>
    <xf numFmtId="0" fontId="30" fillId="5" borderId="83" xfId="0" applyFont="1" applyFill="1" applyBorder="1" applyAlignment="1">
      <alignment horizontal="left" vertical="center" wrapText="1"/>
    </xf>
    <xf numFmtId="0" fontId="30" fillId="5" borderId="0" xfId="0" applyFont="1" applyFill="1" applyBorder="1" applyAlignment="1">
      <alignment horizontal="left" vertical="center" wrapText="1"/>
    </xf>
    <xf numFmtId="0" fontId="30" fillId="5" borderId="32" xfId="0" applyFont="1" applyFill="1" applyBorder="1" applyAlignment="1">
      <alignment horizontal="left" vertical="center" wrapText="1"/>
    </xf>
    <xf numFmtId="0" fontId="33" fillId="7" borderId="133" xfId="0" applyFont="1" applyFill="1" applyBorder="1" applyAlignment="1">
      <alignment horizontal="left" vertical="top" indent="1"/>
    </xf>
    <xf numFmtId="0" fontId="33" fillId="7" borderId="134" xfId="0" applyFont="1" applyFill="1" applyBorder="1" applyAlignment="1">
      <alignment horizontal="left" vertical="top" indent="1"/>
    </xf>
    <xf numFmtId="0" fontId="33" fillId="7" borderId="119" xfId="0" applyFont="1" applyFill="1" applyBorder="1" applyAlignment="1">
      <alignment horizontal="left" vertical="top" indent="1"/>
    </xf>
    <xf numFmtId="0" fontId="30" fillId="5" borderId="78" xfId="0" applyFont="1" applyFill="1" applyBorder="1" applyAlignment="1">
      <alignment horizontal="right" vertical="center" wrapText="1"/>
    </xf>
    <xf numFmtId="0" fontId="3" fillId="16" borderId="12" xfId="0" applyFont="1" applyFill="1" applyBorder="1" applyAlignment="1">
      <alignment horizontal="center"/>
    </xf>
    <xf numFmtId="0" fontId="30" fillId="5" borderId="58" xfId="0" applyFont="1" applyFill="1" applyBorder="1" applyAlignment="1">
      <alignment horizontal="center" vertical="center" wrapText="1"/>
    </xf>
    <xf numFmtId="0" fontId="30" fillId="5" borderId="92" xfId="0" applyFont="1" applyFill="1" applyBorder="1" applyAlignment="1">
      <alignment horizontal="center" vertical="center" wrapText="1"/>
    </xf>
    <xf numFmtId="0" fontId="33" fillId="6" borderId="39" xfId="0" applyFont="1" applyFill="1" applyBorder="1" applyAlignment="1">
      <alignment vertical="top"/>
    </xf>
    <xf numFmtId="0" fontId="30" fillId="5" borderId="58" xfId="0" applyFont="1" applyFill="1" applyBorder="1" applyAlignment="1">
      <alignment horizontal="right" vertical="center" wrapText="1"/>
    </xf>
    <xf numFmtId="0" fontId="30" fillId="5" borderId="147" xfId="0" applyFont="1" applyFill="1" applyBorder="1" applyAlignment="1">
      <alignment horizontal="center" vertical="center"/>
    </xf>
    <xf numFmtId="0" fontId="33" fillId="7" borderId="39" xfId="0" applyFont="1" applyFill="1" applyBorder="1" applyAlignment="1">
      <alignment vertical="top"/>
    </xf>
    <xf numFmtId="0" fontId="33" fillId="7" borderId="110" xfId="0" applyFont="1" applyFill="1" applyBorder="1" applyAlignment="1">
      <alignment vertical="top"/>
    </xf>
    <xf numFmtId="0" fontId="33" fillId="7" borderId="159" xfId="0" applyFont="1" applyFill="1" applyBorder="1" applyAlignment="1">
      <alignment vertical="top"/>
    </xf>
    <xf numFmtId="0" fontId="33" fillId="6" borderId="59" xfId="0" applyFont="1" applyFill="1" applyBorder="1" applyAlignment="1">
      <alignment vertical="top"/>
    </xf>
    <xf numFmtId="0" fontId="33" fillId="6" borderId="81" xfId="0" applyFont="1" applyFill="1" applyBorder="1" applyAlignment="1">
      <alignment vertical="top"/>
    </xf>
    <xf numFmtId="0" fontId="0" fillId="21" borderId="0" xfId="0" applyFill="1" applyAlignment="1"/>
    <xf numFmtId="0" fontId="0" fillId="0" borderId="0" xfId="0" applyAlignment="1"/>
    <xf numFmtId="0" fontId="0" fillId="22" borderId="0" xfId="0" applyFill="1" applyAlignment="1"/>
    <xf numFmtId="0" fontId="0" fillId="23" borderId="0" xfId="0" applyFill="1" applyAlignment="1"/>
    <xf numFmtId="0" fontId="3" fillId="22" borderId="0" xfId="0" applyFont="1" applyFill="1" applyAlignment="1"/>
    <xf numFmtId="0" fontId="0" fillId="24" borderId="0" xfId="0" applyFill="1" applyAlignment="1"/>
    <xf numFmtId="0" fontId="30" fillId="5" borderId="160" xfId="0" applyFont="1" applyFill="1" applyBorder="1" applyAlignment="1">
      <alignment vertical="center"/>
    </xf>
    <xf numFmtId="0" fontId="30" fillId="5" borderId="161" xfId="0" applyFont="1" applyFill="1" applyBorder="1" applyAlignment="1">
      <alignment vertical="center"/>
    </xf>
    <xf numFmtId="0" fontId="30" fillId="5" borderId="162" xfId="0" applyFont="1" applyFill="1" applyBorder="1" applyAlignment="1">
      <alignment vertical="center"/>
    </xf>
    <xf numFmtId="0" fontId="0" fillId="25" borderId="0" xfId="0" applyFill="1" applyAlignment="1"/>
    <xf numFmtId="0" fontId="30" fillId="5" borderId="10" xfId="0" applyFont="1" applyFill="1" applyBorder="1" applyAlignment="1">
      <alignment horizontal="left" vertical="center"/>
    </xf>
    <xf numFmtId="0" fontId="30" fillId="5" borderId="12" xfId="0" applyFont="1" applyFill="1" applyBorder="1" applyAlignment="1">
      <alignment horizontal="left" vertical="center"/>
    </xf>
    <xf numFmtId="0" fontId="30" fillId="5" borderId="11" xfId="0" applyFont="1" applyFill="1" applyBorder="1" applyAlignment="1">
      <alignment horizontal="left" vertical="center"/>
    </xf>
    <xf numFmtId="0" fontId="0" fillId="27" borderId="0" xfId="0" applyFill="1" applyAlignment="1"/>
    <xf numFmtId="0" fontId="0" fillId="20" borderId="0" xfId="0" applyFill="1" applyAlignment="1"/>
    <xf numFmtId="0" fontId="3" fillId="28" borderId="0" xfId="0" applyFont="1" applyFill="1" applyAlignment="1"/>
    <xf numFmtId="0" fontId="0" fillId="26" borderId="0" xfId="0" applyFill="1" applyAlignment="1"/>
    <xf numFmtId="0" fontId="28" fillId="0" borderId="0" xfId="0" applyFont="1" applyAlignment="1">
      <alignment horizontal="left" vertical="top" wrapText="1"/>
    </xf>
    <xf numFmtId="0" fontId="28" fillId="0" borderId="0" xfId="0" applyFont="1" applyAlignment="1">
      <alignment horizontal="left" vertical="center" wrapText="1"/>
    </xf>
  </cellXfs>
  <cellStyles count="27">
    <cellStyle name="******************************************" xfId="1"/>
    <cellStyle name="Body_InputCellText" xfId="2"/>
    <cellStyle name="Comma" xfId="3" builtinId="3"/>
    <cellStyle name="Comma 0" xfId="4"/>
    <cellStyle name="Comma 0*" xfId="5"/>
    <cellStyle name="Comma 2" xfId="6"/>
    <cellStyle name="Comma 2*" xfId="7"/>
    <cellStyle name="Comma 3*" xfId="8"/>
    <cellStyle name="Comma*" xfId="9"/>
    <cellStyle name="Currency 2" xfId="10"/>
    <cellStyle name="Currency 2*" xfId="11"/>
    <cellStyle name="Currency 3*" xfId="12"/>
    <cellStyle name="Currency*" xfId="13"/>
    <cellStyle name="Date Aligned*" xfId="14"/>
    <cellStyle name="Footnote" xfId="15"/>
    <cellStyle name="Hard Percent" xfId="16"/>
    <cellStyle name="Header" xfId="17"/>
    <cellStyle name="Hyperlink" xfId="18" builtinId="8"/>
    <cellStyle name="Multiple" xfId="19"/>
    <cellStyle name="MultipleBelow" xfId="20"/>
    <cellStyle name="Normal" xfId="0" builtinId="0"/>
    <cellStyle name="Page Number" xfId="21"/>
    <cellStyle name="Percent*" xfId="22"/>
    <cellStyle name="Table Head" xfId="23"/>
    <cellStyle name="Table Head Aligned" xfId="24"/>
    <cellStyle name="Table Title" xfId="25"/>
    <cellStyle name="Table Units" xfId="26"/>
  </cellStyles>
  <dxfs count="11">
    <dxf>
      <font>
        <b/>
        <i val="0"/>
        <color auto="1"/>
      </font>
      <fill>
        <patternFill>
          <bgColor theme="9" tint="0.39994506668294322"/>
        </patternFill>
      </fill>
      <border>
        <left style="thin">
          <color auto="1"/>
        </left>
        <right style="thin">
          <color auto="1"/>
        </right>
        <top style="thin">
          <color auto="1"/>
        </top>
        <bottom style="thin">
          <color auto="1"/>
        </bottom>
        <vertical/>
        <horizontal/>
      </border>
    </dxf>
    <dxf>
      <font>
        <b/>
        <i val="0"/>
        <color auto="1"/>
      </font>
      <fill>
        <patternFill>
          <bgColor theme="9" tint="0.39994506668294322"/>
        </patternFill>
      </fill>
      <border>
        <left style="thin">
          <color auto="1"/>
        </left>
        <right style="thin">
          <color auto="1"/>
        </right>
        <top style="thin">
          <color auto="1"/>
        </top>
        <bottom style="thin">
          <color auto="1"/>
        </bottom>
        <vertical/>
        <horizontal/>
      </border>
    </dxf>
    <dxf>
      <font>
        <condense val="0"/>
        <extend val="0"/>
        <color indexed="22"/>
      </font>
    </dxf>
    <dxf>
      <font>
        <b val="0"/>
        <i val="0"/>
        <condense val="0"/>
        <extend val="0"/>
        <color indexed="9"/>
      </font>
    </dxf>
    <dxf>
      <fill>
        <gradientFill>
          <stop position="0">
            <color theme="0" tint="-0.1490218817712943"/>
          </stop>
          <stop position="0.5">
            <color theme="0" tint="-5.0965910824915313E-2"/>
          </stop>
          <stop position="1">
            <color theme="0" tint="-0.1490218817712943"/>
          </stop>
        </gradientFill>
      </fill>
    </dxf>
    <dxf>
      <fill>
        <gradientFill>
          <stop position="0">
            <color theme="0" tint="-0.1490218817712943"/>
          </stop>
          <stop position="0.5">
            <color theme="0" tint="-5.0965910824915313E-2"/>
          </stop>
          <stop position="1">
            <color theme="0" tint="-0.1490218817712943"/>
          </stop>
        </gradientFill>
      </fill>
    </dxf>
    <dxf>
      <fill>
        <gradientFill>
          <stop position="0">
            <color theme="0" tint="-0.1490218817712943"/>
          </stop>
          <stop position="0.5">
            <color theme="0" tint="-5.0965910824915313E-2"/>
          </stop>
          <stop position="1">
            <color theme="0" tint="-0.1490218817712943"/>
          </stop>
        </gradientFill>
      </fill>
    </dxf>
    <dxf>
      <fill>
        <gradientFill>
          <stop position="0">
            <color theme="0" tint="-0.1490218817712943"/>
          </stop>
          <stop position="0.5">
            <color theme="0" tint="-5.0965910824915313E-2"/>
          </stop>
          <stop position="1">
            <color theme="0" tint="-0.1490218817712943"/>
          </stop>
        </gradientFill>
      </fill>
    </dxf>
    <dxf>
      <fill>
        <gradientFill>
          <stop position="0">
            <color theme="0" tint="-0.1490218817712943"/>
          </stop>
          <stop position="0.5">
            <color theme="0" tint="-5.0965910824915313E-2"/>
          </stop>
          <stop position="1">
            <color theme="0" tint="-0.1490218817712943"/>
          </stop>
        </gradientFill>
      </fill>
    </dxf>
    <dxf>
      <font>
        <condense val="0"/>
        <extend val="0"/>
        <color indexed="9"/>
      </font>
    </dxf>
    <dxf>
      <font>
        <condense val="0"/>
        <extend val="0"/>
        <color indexed="2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F4B720"/>
      <rgbColor rgb="0027915F"/>
      <rgbColor rgb="00FCD5B4"/>
      <rgbColor rgb="00F2673C"/>
      <rgbColor rgb="0072E873"/>
      <rgbColor rgb="00FF81B1"/>
      <rgbColor rgb="00A4374A"/>
      <rgbColor rgb="00969696"/>
      <rgbColor rgb="0000F6F6"/>
      <rgbColor rgb="00FF93FF"/>
      <rgbColor rgb="0000FF00"/>
      <rgbColor rgb="00FFBA75"/>
      <rgbColor rgb="00005A9C"/>
      <rgbColor rgb="00800000"/>
      <rgbColor rgb="00008080"/>
      <rgbColor rgb="000000FF"/>
      <rgbColor rgb="00B8CCE4"/>
      <rgbColor rgb="00CCFFFF"/>
      <rgbColor rgb="00D4E1D1"/>
      <rgbColor rgb="00FF6600"/>
      <rgbColor rgb="00DBE5F1"/>
      <rgbColor rgb="00FF99CC"/>
      <rgbColor rgb="00FFDAFF"/>
      <rgbColor rgb="00FAB882"/>
      <rgbColor rgb="00477AB7"/>
      <rgbColor rgb="0000AEEF"/>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1.8694267515923566</v>
        <stp/>
        <stp>##V3_BDPV12</stp>
        <stp>AAPL US EQUITY</stp>
        <stp>QUICK_RATIO</stp>
        <stp>[XIDA.xlsm]Financials!R135C10</stp>
        <stp>EQY_FUND_RELATIVE_PERIOD</stp>
        <stp>-7FY</stp>
        <stp>EQY_FUND_CRNCY</stp>
        <stp>USD</stp>
        <stp>EQY_CONSOLIDATED</stp>
        <stp>Y</stp>
        <stp>Fill=B</stp>
        <tr r="J135" s="8"/>
      </tp>
      <tp>
        <v>2.1594049819558139</v>
        <stp/>
        <stp>##V3_BDPV12</stp>
        <stp>AAPL US EQUITY</stp>
        <stp>QUICK_RATIO</stp>
        <stp>[XIDA.xlsm]Financials!R135C11</stp>
        <stp>EQY_FUND_RELATIVE_PERIOD</stp>
        <stp>-6FY</stp>
        <stp>EQY_FUND_CRNCY</stp>
        <stp>USD</stp>
        <stp>EQY_CONSOLIDATED</stp>
        <stp>Y</stp>
        <stp>Fill=B</stp>
        <tr r="K135" s="8"/>
      </tp>
      <tp>
        <v>2.3313923170519728</v>
        <stp/>
        <stp>##V3_BDPV12</stp>
        <stp>AAPL US EQUITY</stp>
        <stp>QUICK_RATIO</stp>
        <stp>[XIDA.xlsm]Financials!R135C12</stp>
        <stp>EQY_FUND_RELATIVE_PERIOD</stp>
        <stp>-5FY</stp>
        <stp>EQY_FUND_CRNCY</stp>
        <stp>USD</stp>
        <stp>EQY_CONSOLIDATED</stp>
        <stp>Y</stp>
        <stp>Fill=B</stp>
        <tr r="L135" s="8"/>
      </tp>
      <tp>
        <v>1.5022681208377571</v>
        <stp/>
        <stp>##V3_BDPV12</stp>
        <stp>AAPL US EQUITY</stp>
        <stp>QUICK_RATIO</stp>
        <stp>[XIDA.xlsm]Financials!R135C13</stp>
        <stp>EQY_FUND_RELATIVE_PERIOD</stp>
        <stp>-4FY</stp>
        <stp>EQY_FUND_CRNCY</stp>
        <stp>USD</stp>
        <stp>EQY_CONSOLIDATED</stp>
        <stp>Y</stp>
        <stp>Fill=B</stp>
        <tr r="M135" s="8"/>
      </tp>
      <tp>
        <v>1.1198069360028602</v>
        <stp/>
        <stp>##V3_BDPV12</stp>
        <stp>AAPL US EQUITY</stp>
        <stp>QUICK_RATIO</stp>
        <stp>[XIDA.xlsm]Financials!R135C14</stp>
        <stp>EQY_FUND_RELATIVE_PERIOD</stp>
        <stp>-3FY</stp>
        <stp>EQY_FUND_CRNCY</stp>
        <stp>USD</stp>
        <stp>EQY_CONSOLIDATED</stp>
        <stp>Y</stp>
        <stp>Fill=B</stp>
        <tr r="N135" s="8"/>
      </tp>
      <tp>
        <v>1.0393596595921333</v>
        <stp/>
        <stp>##V3_BDPV12</stp>
        <stp>AAPL US EQUITY</stp>
        <stp>QUICK_RATIO</stp>
        <stp>[XIDA.xlsm]Financials!R135C15</stp>
        <stp>EQY_FUND_RELATIVE_PERIOD</stp>
        <stp>-2FY</stp>
        <stp>EQY_FUND_CRNCY</stp>
        <stp>USD</stp>
        <stp>EQY_CONSOLIDATED</stp>
        <stp>Y</stp>
        <stp>Fill=B</stp>
        <tr r="O135" s="8"/>
      </tp>
      <tp>
        <v>1.2288240414127996</v>
        <stp/>
        <stp>##V3_BDPV12</stp>
        <stp>AAPL US EQUITY</stp>
        <stp>QUICK_RATIO</stp>
        <stp>[XIDA.xlsm]Financials!R135C16</stp>
        <stp>EQY_FUND_RELATIVE_PERIOD</stp>
        <stp>-1FY</stp>
        <stp>EQY_FUND_CRNCY</stp>
        <stp>USD</stp>
        <stp>EQY_CONSOLIDATED</stp>
        <stp>Y</stp>
        <stp>Fill=B</stp>
        <tr r="P135" s="8"/>
      </tp>
      <tp>
        <v>0.67042302357836336</v>
        <stp/>
        <stp>##V3_BDPV12</stp>
        <stp>AAPL US EQUITY</stp>
        <stp>QUICK_RATIO</stp>
        <stp>[XIDA.xlsm]Financials!R135C17</stp>
        <stp>EQY_FUND_RELATIVE_PERIOD</stp>
        <stp>-0FY</stp>
        <stp>EQY_FUND_CRNCY</stp>
        <stp>USD</stp>
        <stp>EQY_CONSOLIDATED</stp>
        <stp>Y</stp>
        <stp>Fill=B</stp>
        <tr r="Q135" s="8"/>
      </tp>
      <tp>
        <v>0.46871404332038274</v>
        <stp/>
        <stp>##V3_BDPV12</stp>
        <stp>6758 JP EQUITY</stp>
        <stp>BEST_PX_SALES_RATIO</stp>
        <stp>[XIDA.xlsm]DataH!R25C12</stp>
        <stp>BEST_FPERIOD_OVERRIDE</stp>
        <stp>15BC</stp>
        <stp>EQY_CONSOLIDATED</stp>
        <stp>Y</stp>
        <tr r="L25" s="16"/>
      </tp>
      <tp>
        <v>53.18956</v>
        <stp/>
        <stp>##V3_BDHV12</stp>
        <stp>066570 KS EQUITY</stp>
        <stp>PX_LAST</stp>
        <stp>1/1/2015</stp>
        <stp>4/13/2015</stp>
        <stp>[XIDA.xlsm]Indices!R10C35</stp>
        <stp>Dts=H</stp>
        <stp>FX=USD</stp>
        <stp>CDR=US</stp>
        <stp/>
        <stp>PER=CD</stp>
        <stp>cols=1;rows=69</stp>
        <tr r="AI10" s="5"/>
      </tp>
      <tp>
        <v>6034</v>
        <stp/>
        <stp>##V3_BDPV12</stp>
        <stp>AAPL US EQUITY</stp>
        <stp>BS_MKT_SEC_OTHER_ST_INVEST</stp>
        <stp>[XIDA.xlsm]Financials!R50C10</stp>
        <stp>EQY_FUND_RELATIVE_PERIOD</stp>
        <stp>-7FY</stp>
        <stp>EQY_FUND_CRNCY</stp>
        <stp>USD</stp>
        <stp>EQY_CONSOLIDATED</stp>
        <stp>Y</stp>
        <stp>Fill=B</stp>
        <tr r="J50" s="8"/>
      </tp>
      <tp>
        <v>10236</v>
        <stp/>
        <stp>##V3_BDPV12</stp>
        <stp>AAPL US EQUITY</stp>
        <stp>BS_MKT_SEC_OTHER_ST_INVEST</stp>
        <stp>[XIDA.xlsm]Financials!R50C11</stp>
        <stp>EQY_FUND_RELATIVE_PERIOD</stp>
        <stp>-6FY</stp>
        <stp>EQY_FUND_CRNCY</stp>
        <stp>USD</stp>
        <stp>EQY_CONSOLIDATED</stp>
        <stp>Y</stp>
        <stp>Fill=B</stp>
        <tr r="K50" s="8"/>
      </tp>
      <tp>
        <v>18201</v>
        <stp/>
        <stp>##V3_BDPV12</stp>
        <stp>AAPL US EQUITY</stp>
        <stp>BS_MKT_SEC_OTHER_ST_INVEST</stp>
        <stp>[XIDA.xlsm]Financials!R50C12</stp>
        <stp>EQY_FUND_RELATIVE_PERIOD</stp>
        <stp>-5FY</stp>
        <stp>EQY_FUND_CRNCY</stp>
        <stp>USD</stp>
        <stp>EQY_CONSOLIDATED</stp>
        <stp>Y</stp>
        <stp>Fill=B</stp>
        <tr r="L50" s="8"/>
      </tp>
      <tp>
        <v>14359</v>
        <stp/>
        <stp>##V3_BDPV12</stp>
        <stp>AAPL US EQUITY</stp>
        <stp>BS_MKT_SEC_OTHER_ST_INVEST</stp>
        <stp>[XIDA.xlsm]Financials!R50C13</stp>
        <stp>EQY_FUND_RELATIVE_PERIOD</stp>
        <stp>-4FY</stp>
        <stp>EQY_FUND_CRNCY</stp>
        <stp>USD</stp>
        <stp>EQY_CONSOLIDATED</stp>
        <stp>Y</stp>
        <stp>Fill=B</stp>
        <tr r="M50" s="8"/>
      </tp>
      <tp>
        <v>16137</v>
        <stp/>
        <stp>##V3_BDPV12</stp>
        <stp>AAPL US EQUITY</stp>
        <stp>BS_MKT_SEC_OTHER_ST_INVEST</stp>
        <stp>[XIDA.xlsm]Financials!R50C14</stp>
        <stp>EQY_FUND_RELATIVE_PERIOD</stp>
        <stp>-3FY</stp>
        <stp>EQY_FUND_CRNCY</stp>
        <stp>USD</stp>
        <stp>EQY_CONSOLIDATED</stp>
        <stp>Y</stp>
        <stp>Fill=B</stp>
        <tr r="N50" s="8"/>
      </tp>
      <tp>
        <v>18383</v>
        <stp/>
        <stp>##V3_BDPV12</stp>
        <stp>AAPL US EQUITY</stp>
        <stp>BS_MKT_SEC_OTHER_ST_INVEST</stp>
        <stp>[XIDA.xlsm]Financials!R50C15</stp>
        <stp>EQY_FUND_RELATIVE_PERIOD</stp>
        <stp>-2FY</stp>
        <stp>EQY_FUND_CRNCY</stp>
        <stp>USD</stp>
        <stp>EQY_CONSOLIDATED</stp>
        <stp>Y</stp>
        <stp>Fill=B</stp>
        <tr r="O50" s="8"/>
      </tp>
      <tp>
        <v>26287</v>
        <stp/>
        <stp>##V3_BDPV12</stp>
        <stp>AAPL US EQUITY</stp>
        <stp>BS_MKT_SEC_OTHER_ST_INVEST</stp>
        <stp>[XIDA.xlsm]Financials!R50C16</stp>
        <stp>EQY_FUND_RELATIVE_PERIOD</stp>
        <stp>-1FY</stp>
        <stp>EQY_FUND_CRNCY</stp>
        <stp>USD</stp>
        <stp>EQY_CONSOLIDATED</stp>
        <stp>Y</stp>
        <stp>Fill=B</stp>
        <tr r="P50" s="8"/>
      </tp>
      <tp>
        <v>11233</v>
        <stp/>
        <stp>##V3_BDPV12</stp>
        <stp>AAPL US EQUITY</stp>
        <stp>BS_MKT_SEC_OTHER_ST_INVEST</stp>
        <stp>[XIDA.xlsm]Financials!R50C17</stp>
        <stp>EQY_FUND_RELATIVE_PERIOD</stp>
        <stp>-0FY</stp>
        <stp>EQY_FUND_CRNCY</stp>
        <stp>USD</stp>
        <stp>EQY_CONSOLIDATED</stp>
        <stp>Y</stp>
        <stp>Fill=B</stp>
        <tr r="Q50" s="8"/>
      </tp>
      <tp t="s">
        <v>AAPL</v>
        <stp/>
        <stp>##V3_BDPV12</stp>
        <stp>AAPL US EQUITY</stp>
        <stp xml:space="preserve"> TICKER</stp>
        <stp>[XIDA.xlsm]Overview!R12C2</stp>
        <tr r="B12" s="3"/>
      </tp>
      <tp>
        <v>24.036038735511639</v>
        <stp/>
        <stp>##V3_BDPV12</stp>
        <stp>AAPL US EQUITY</stp>
        <stp>TOT_DEBT_TO_TOT_CAP</stp>
        <stp>[XIDA.xlsm]Overview!R54C8</stp>
        <stp>EQY_FUND_RELATIVE_PERIOD</stp>
        <stp>-0FY</stp>
        <stp>EQY_CONSOLIDATED</stp>
        <stp>Y</stp>
        <tr r="H54" s="3"/>
        <tr r="H54" s="3"/>
      </tp>
      <tp>
        <v>31.641370901951642</v>
        <stp/>
        <stp>##V3_BDPV12</stp>
        <stp>AAPL US EQUITY</stp>
        <stp>TOT_DEBT_TO_TOT_EQY</stp>
        <stp>[XIDA.xlsm]Overview!R55C8</stp>
        <stp>EQY_FUND_RELATIVE_PERIOD</stp>
        <stp>-0FY</stp>
        <stp>EQY_CONSOLIDATED</stp>
        <stp>Y</stp>
        <tr r="H55" s="3"/>
        <tr r="H55" s="3"/>
      </tp>
      <tp>
        <v>0</v>
        <stp/>
        <stp>##V3_BDPV12</stp>
        <stp>AAPL US EQUITY</stp>
        <stp>TOT_DEBT_TO_TOT_EQY</stp>
        <stp>[XIDA.xlsm]Overview!R55C6</stp>
        <stp>EQY_FUND_RELATIVE_PERIOD</stp>
        <stp>-2FY</stp>
        <stp>EQY_CONSOLIDATED</stp>
        <stp>Y</stp>
        <tr r="F55" s="3"/>
        <tr r="F55" s="3"/>
      </tp>
      <tp>
        <v>0</v>
        <stp/>
        <stp>##V3_BDPV12</stp>
        <stp>AAPL US EQUITY</stp>
        <stp>TOT_DEBT_TO_TOT_EQY</stp>
        <stp>[XIDA.xlsm]Overview!R55C5</stp>
        <stp>EQY_FUND_RELATIVE_PERIOD</stp>
        <stp>-3FY</stp>
        <stp>EQY_CONSOLIDATED</stp>
        <stp>Y</stp>
        <tr r="E55" s="3"/>
        <tr r="E55" s="3"/>
      </tp>
      <tp>
        <v>13.727347044492468</v>
        <stp/>
        <stp>##V3_BDPV12</stp>
        <stp>AAPL US EQUITY</stp>
        <stp>TOT_DEBT_TO_TOT_EQY</stp>
        <stp>[XIDA.xlsm]Overview!R55C7</stp>
        <stp>EQY_FUND_RELATIVE_PERIOD</stp>
        <stp>-1FY</stp>
        <stp>EQY_CONSOLIDATED</stp>
        <stp>Y</stp>
        <tr r="G55" s="3"/>
        <tr r="G55" s="3"/>
      </tp>
      <tp>
        <v>0</v>
        <stp/>
        <stp>##V3_BDPV12</stp>
        <stp>AAPL US EQUITY</stp>
        <stp>TOT_DEBT_TO_TOT_CAP</stp>
        <stp>[XIDA.xlsm]Overview!R54C5</stp>
        <stp>EQY_FUND_RELATIVE_PERIOD</stp>
        <stp>-3FY</stp>
        <stp>EQY_CONSOLIDATED</stp>
        <stp>Y</stp>
        <tr r="E54" s="3"/>
        <tr r="E54" s="3"/>
      </tp>
      <tp>
        <v>12.070401184265776</v>
        <stp/>
        <stp>##V3_BDPV12</stp>
        <stp>AAPL US EQUITY</stp>
        <stp>TOT_DEBT_TO_TOT_CAP</stp>
        <stp>[XIDA.xlsm]Overview!R54C7</stp>
        <stp>EQY_FUND_RELATIVE_PERIOD</stp>
        <stp>-1FY</stp>
        <stp>EQY_CONSOLIDATED</stp>
        <stp>Y</stp>
        <tr r="G54" s="3"/>
        <tr r="G54" s="3"/>
      </tp>
      <tp>
        <v>0</v>
        <stp/>
        <stp>##V3_BDPV12</stp>
        <stp>AAPL US EQUITY</stp>
        <stp>TOT_DEBT_TO_TOT_CAP</stp>
        <stp>[XIDA.xlsm]Overview!R54C6</stp>
        <stp>EQY_FUND_RELATIVE_PERIOD</stp>
        <stp>-2FY</stp>
        <stp>EQY_CONSOLIDATED</stp>
        <stp>Y</stp>
        <tr r="F54" s="3"/>
        <tr r="F54" s="3"/>
      </tp>
      <tp>
        <v>0.46865502853417285</v>
        <stp/>
        <stp>##V3_BDPV12</stp>
        <stp>6758 JP EQUITY</stp>
        <stp>BEST_PX_SALES_RATIO</stp>
        <stp>[XIDA.xlsm]DataH!R25C13</stp>
        <stp>BEST_FPERIOD_OVERRIDE</stp>
        <stp>16BC</stp>
        <stp>EQY_CONSOLIDATED</stp>
        <stp>Y</stp>
        <tr r="M25" s="16"/>
      </tp>
      <tp>
        <v>-300</v>
        <stp/>
        <stp>##V3_BDPV12</stp>
        <stp>AAPL US EQUITY</stp>
        <stp>CF_REIMB_LT_BORROW</stp>
        <stp>[XIDA.xlsm]Financials!R101C7</stp>
        <stp>EQY_FUND_RELATIVE_PERIOD</stp>
        <stp>-10FY</stp>
        <stp>EQY_FUND_CRNCY</stp>
        <stp>USD</stp>
        <stp>EQY_CONSOLIDATED</stp>
        <stp>Y</stp>
        <stp>Fill=B</stp>
        <tr r="G101" s="8"/>
      </tp>
      <tp>
        <v>5.0714285714285712E-2</v>
        <stp/>
        <stp>##V3_BDPV12</stp>
        <stp>AAPL US EQUITY</stp>
        <stp>IS_DIL_EPS_BEF_XO</stp>
        <stp>[XIDA.xlsm]Financials!R33C7</stp>
        <stp>EQY_FUND_RELATIVE_PERIOD</stp>
        <stp>-10FY</stp>
        <stp>EQY_FUND_CRNCY</stp>
        <stp>USD</stp>
        <stp>EQY_CONSOLIDATED</stp>
        <stp>Y</stp>
        <stp>Fill=B</stp>
        <tr r="G33" s="8"/>
      </tp>
      <tp>
        <v>48050.639691600001</v>
        <stp/>
        <stp>##V3_BDPV12</stp>
        <stp>HPQ US EQUITY</stp>
        <stp>CRNCY_ADJ_MKT_CAP</stp>
        <stp>[XIDA.xlsm]Peers!R22C14</stp>
        <stp>EQY_FUND_CRNCY</stp>
        <stp>USD</stp>
        <tr r="N22" s="4"/>
        <tr r="N22" s="4"/>
      </tp>
      <tp>
        <v>0.49599999528428312</v>
        <stp/>
        <stp>##V3_BDPV12</stp>
        <stp>6758 JP EQUITY</stp>
        <stp>BEST_PX_SALES_RATIO</stp>
        <stp>[XIDA.xlsm]DataH!R25C10</stp>
        <stp>BEST_FPERIOD_OVERRIDE</stp>
        <stp>13BC</stp>
        <stp>EQY_CONSOLIDATED</stp>
        <stp>Y</stp>
        <tr r="J25" s="16"/>
      </tp>
      <tp>
        <v>3496</v>
        <stp/>
        <stp>##V3_BDPV12</stp>
        <stp>AAPL US EQUITY</stp>
        <stp>IS_COMP_NET_INCOME_ADJUST</stp>
        <stp>[XIDA.xlsm]Financials!R35C10</stp>
        <stp>EQY_FUND_RELATIVE_PERIOD</stp>
        <stp>-7FY</stp>
        <stp>EQY_FUND_CRNCY</stp>
        <stp>USD</stp>
        <stp>EQY_CONSOLIDATED</stp>
        <stp>Y</stp>
        <stp>Fill=B</stp>
        <tr r="J35" s="8"/>
      </tp>
      <tp>
        <v>4834</v>
        <stp/>
        <stp>##V3_BDPV12</stp>
        <stp>AAPL US EQUITY</stp>
        <stp>IS_COMP_NET_INCOME_ADJUST</stp>
        <stp>[XIDA.xlsm]Financials!R35C11</stp>
        <stp>EQY_FUND_RELATIVE_PERIOD</stp>
        <stp>-6FY</stp>
        <stp>EQY_FUND_CRNCY</stp>
        <stp>USD</stp>
        <stp>EQY_CONSOLIDATED</stp>
        <stp>Y</stp>
        <stp>Fill=B</stp>
        <tr r="K35" s="8"/>
      </tp>
      <tp>
        <v>5704</v>
        <stp/>
        <stp>##V3_BDPV12</stp>
        <stp>AAPL US EQUITY</stp>
        <stp>IS_COMP_NET_INCOME_ADJUST</stp>
        <stp>[XIDA.xlsm]Financials!R35C12</stp>
        <stp>EQY_FUND_RELATIVE_PERIOD</stp>
        <stp>-5FY</stp>
        <stp>EQY_FUND_CRNCY</stp>
        <stp>USD</stp>
        <stp>EQY_CONSOLIDATED</stp>
        <stp>Y</stp>
        <stp>Fill=B</stp>
        <tr r="L35" s="8"/>
      </tp>
      <tp>
        <v>14013</v>
        <stp/>
        <stp>##V3_BDPV12</stp>
        <stp>AAPL US EQUITY</stp>
        <stp>IS_COMP_NET_INCOME_ADJUST</stp>
        <stp>[XIDA.xlsm]Financials!R35C13</stp>
        <stp>EQY_FUND_RELATIVE_PERIOD</stp>
        <stp>-4FY</stp>
        <stp>EQY_FUND_CRNCY</stp>
        <stp>USD</stp>
        <stp>EQY_CONSOLIDATED</stp>
        <stp>Y</stp>
        <stp>Fill=B</stp>
        <tr r="M35" s="8"/>
      </tp>
      <tp>
        <v>25922</v>
        <stp/>
        <stp>##V3_BDPV12</stp>
        <stp>AAPL US EQUITY</stp>
        <stp>IS_COMP_NET_INCOME_ADJUST</stp>
        <stp>[XIDA.xlsm]Financials!R35C14</stp>
        <stp>EQY_FUND_RELATIVE_PERIOD</stp>
        <stp>-3FY</stp>
        <stp>EQY_FUND_CRNCY</stp>
        <stp>USD</stp>
        <stp>EQY_CONSOLIDATED</stp>
        <stp>Y</stp>
        <stp>Fill=B</stp>
        <tr r="N35" s="8"/>
      </tp>
      <tp>
        <v>41733</v>
        <stp/>
        <stp>##V3_BDPV12</stp>
        <stp>AAPL US EQUITY</stp>
        <stp>IS_COMP_NET_INCOME_ADJUST</stp>
        <stp>[XIDA.xlsm]Financials!R35C15</stp>
        <stp>EQY_FUND_RELATIVE_PERIOD</stp>
        <stp>-2FY</stp>
        <stp>EQY_FUND_CRNCY</stp>
        <stp>USD</stp>
        <stp>EQY_CONSOLIDATED</stp>
        <stp>Y</stp>
        <stp>Fill=B</stp>
        <tr r="O35" s="8"/>
      </tp>
      <tp>
        <v>37037</v>
        <stp/>
        <stp>##V3_BDPV12</stp>
        <stp>AAPL US EQUITY</stp>
        <stp>IS_COMP_NET_INCOME_ADJUST</stp>
        <stp>[XIDA.xlsm]Financials!R35C16</stp>
        <stp>EQY_FUND_RELATIVE_PERIOD</stp>
        <stp>-1FY</stp>
        <stp>EQY_FUND_CRNCY</stp>
        <stp>USD</stp>
        <stp>EQY_CONSOLIDATED</stp>
        <stp>Y</stp>
        <stp>Fill=B</stp>
        <tr r="P35" s="8"/>
      </tp>
      <tp>
        <v>39510</v>
        <stp/>
        <stp>##V3_BDPV12</stp>
        <stp>AAPL US EQUITY</stp>
        <stp>IS_COMP_NET_INCOME_ADJUST</stp>
        <stp>[XIDA.xlsm]Financials!R35C17</stp>
        <stp>EQY_FUND_RELATIVE_PERIOD</stp>
        <stp>-0FY</stp>
        <stp>EQY_FUND_CRNCY</stp>
        <stp>USD</stp>
        <stp>EQY_CONSOLIDATED</stp>
        <stp>Y</stp>
        <stp>Fill=B</stp>
        <tr r="Q35" s="8"/>
      </tp>
      <tp>
        <v>-3.815626</v>
        <stp/>
        <stp>##V3_BDPV12</stp>
        <stp>066570 KS EQUITY</stp>
        <stp>CUST_TRR_RETURN_HOLDING_PER</stp>
        <stp>[XIDA.xlsm]DataH!R26C6</stp>
        <stp>CUST_TRR_START_DT</stp>
        <stp>20150724</stp>
        <stp>CUST_TRR_END_DT</stp>
        <stp>20150824</stp>
        <stp>CUST_TRR_CRNCY</stp>
        <stp>USD</stp>
        <tr r="F26" s="16"/>
      </tp>
      <tp t="s">
        <v>#N/A Requesting Data...</v>
        <stp/>
        <stp>##V3_BDSV12</stp>
        <stp>AAPL US EQUITY</stp>
        <stp>BEST_NET_INCOME_BRK_GRID</stp>
        <stp>[XIDA.xlsm]DataH!R8C84</stp>
        <stp>BEST_FPERIOD_OVERRIDE</stp>
        <stp>3FQ</stp>
        <stp>STARTCOL=1</stp>
        <stp>ENDCOL=1</stp>
        <stp>EQY_FUND_CRNCY</stp>
        <stp>USD</stp>
        <stp>BEST_CONSOLIDATED_OVERRIDE</stp>
        <stp>C</stp>
        <tr r="CF8" s="16"/>
      </tp>
      <tp>
        <v>6.1077452810519928</v>
        <stp/>
        <stp>##V3_BDPV12</stp>
        <stp>AAPL US EQUITY</stp>
        <stp>BEST_CURRENT_EV_BEST_EBIT</stp>
        <stp>[XIDA.xlsm]Overview!R34C10</stp>
        <stp>BEST_FPERIOD_OVERRIDE</stp>
        <stp>2FY</stp>
        <stp>BEST_CONSOLIDATED_OVERRIDE</stp>
        <stp>C</stp>
        <stp>Fill=-</stp>
        <tr r="J34" s="3"/>
      </tp>
      <tp>
        <v>5.8610491308600743</v>
        <stp/>
        <stp>##V3_BDPV12</stp>
        <stp>AAPL US EQUITY</stp>
        <stp>BEST_CURRENT_EV_BEST_EBIT</stp>
        <stp>[XIDA.xlsm]Overview!R34C11</stp>
        <stp>BEST_FPERIOD_OVERRIDE</stp>
        <stp>3FY</stp>
        <stp>BEST_CONSOLIDATED_OVERRIDE</stp>
        <stp>C</stp>
        <stp>Fill=-</stp>
        <tr r="K34" s="3"/>
      </tp>
      <tp>
        <v>39.657000000000004</v>
        <stp/>
        <stp>##V3_BDPV12</stp>
        <stp>AAPL US EQUITY</stp>
        <stp>BEST_GROSS_MARGIN</stp>
        <stp>[XIDA.xlsm]Overview!R42C10</stp>
        <stp>BEST_FPERIOD_OVERRIDE</stp>
        <stp>2FY</stp>
        <stp>BEST_CONSOLIDATED_OVERRIDE</stp>
        <stp>C</stp>
        <stp>Fill=-</stp>
        <tr r="J42" s="3"/>
      </tp>
      <tp>
        <v>39.795000000000002</v>
        <stp/>
        <stp>##V3_BDPV12</stp>
        <stp>AAPL US EQUITY</stp>
        <stp>BEST_GROSS_MARGIN</stp>
        <stp>[XIDA.xlsm]Overview!R42C11</stp>
        <stp>BEST_FPERIOD_OVERRIDE</stp>
        <stp>3FY</stp>
        <stp>BEST_CONSOLIDATED_OVERRIDE</stp>
        <stp>C</stp>
        <stp>Fill=-</stp>
        <tr r="K42" s="3"/>
      </tp>
      <tp>
        <v>40.24</v>
        <stp/>
        <stp>##V3_BDHV12</stp>
        <stp>HPQ US EQUITY</stp>
        <stp>PX_LAST</stp>
        <stp>1/1/2015</stp>
        <stp>4/13/2015</stp>
        <stp>[XIDA.xlsm]PricesH!R4C5</stp>
        <stp>Dts=H</stp>
        <stp>FX=USD</stp>
        <stp>CDR=US</stp>
        <stp/>
        <stp>PER=CD</stp>
        <stp>cols=1;rows=69</stp>
        <tr r="E4" s="6"/>
      </tp>
      <tp>
        <v>39.975999999999999</v>
        <stp/>
        <stp>##V3_BDPV12</stp>
        <stp>AAPL US EQUITY</stp>
        <stp>BEST_GROSS_MARGIN</stp>
        <stp>[XIDA.xlsm]Overview!R42C9</stp>
        <stp>BEST_FPERIOD_OVERRIDE</stp>
        <stp>1FY</stp>
        <stp>BEST_CONSOLIDATED_OVERRIDE</stp>
        <stp>C</stp>
        <stp>Fill=-</stp>
        <tr r="I42" s="3"/>
      </tp>
      <tp>
        <v>0.46491808805958734</v>
        <stp/>
        <stp>##V3_BDPV12</stp>
        <stp>6758 JP EQUITY</stp>
        <stp>BEST_PX_SALES_RATIO</stp>
        <stp>[XIDA.xlsm]DataH!R25C11</stp>
        <stp>BEST_FPERIOD_OVERRIDE</stp>
        <stp>14BC</stp>
        <stp>EQY_CONSOLIDATED</stp>
        <stp>Y</stp>
        <tr r="K25" s="16"/>
      </tp>
      <tp t="s">
        <v>#N/A Requesting Data...</v>
        <stp/>
        <stp>##V3_BDSV12</stp>
        <stp>AAPL US EQUITY</stp>
        <stp>BEST_NET_INCOME_BRK_GRID</stp>
        <stp>[XIDA.xlsm]DataH!R8C85</stp>
        <stp>BEST_FPERIOD_OVERRIDE</stp>
        <stp>3FQ</stp>
        <stp>STARTCOL=4</stp>
        <stp>ENDCOL=4</stp>
        <stp>EQY_FUND_CRNCY</stp>
        <stp>USD</stp>
        <stp>BEST_CONSOLIDATED_OVERRIDE</stp>
        <stp>C</stp>
        <tr r="CG8" s="16"/>
      </tp>
      <tp>
        <v>68</v>
        <stp/>
        <stp>##V3_BDPV12</stp>
        <stp>AAPL US EQUITY</stp>
        <stp>CF_CHNG_NON_CASH_WORK_CAP</stp>
        <stp>[XIDA.xlsm]Financials!R88C7</stp>
        <stp>EQY_FUND_RELATIVE_PERIOD</stp>
        <stp>-10FY</stp>
        <stp>EQY_FUND_CRNCY</stp>
        <stp>USD</stp>
        <stp>EQY_CONSOLIDATED</stp>
        <stp>Y</stp>
        <stp>Fill=B</stp>
        <tr r="G88" s="8"/>
      </tp>
      <tp>
        <v>934</v>
        <stp/>
        <stp>##V3_BDPV12</stp>
        <stp>AAPL US EQUITY</stp>
        <stp>CF_CASH_FROM_OPER</stp>
        <stp>[XIDA.xlsm]Financials!R89C7</stp>
        <stp>EQY_FUND_RELATIVE_PERIOD</stp>
        <stp>-10FY</stp>
        <stp>EQY_FUND_CRNCY</stp>
        <stp>USD</stp>
        <stp>EQY_CONSOLIDATED</stp>
        <stp>Y</stp>
        <stp>Fill=B</stp>
        <tr r="G89" s="8"/>
      </tp>
      <tp t="s">
        <v>#N/A N/A</v>
        <stp/>
        <stp>##V3_BDPV12</stp>
        <stp>AAPL US EQUITY</stp>
        <stp>RTG_FITCH_LT_ISSUER_DFLT_RTG_DT</stp>
        <stp>[XIDA.xlsm]Overview!R28C8</stp>
        <tr r="H28" s="3"/>
      </tp>
      <tp>
        <v>5845.1355480000002</v>
        <stp/>
        <stp>##V3_BDPV12</stp>
        <stp>AAPL US EQUITY</stp>
        <stp>BS_SH_OUT</stp>
        <stp>[XIDA.xlsm]Financials!R40C8</stp>
        <stp>EQY_FUND_RELATIVE_PERIOD</stp>
        <stp>-9FY</stp>
        <stp>EQY_FUND_CRNCY</stp>
        <stp>USD</stp>
        <stp>EQY_CONSOLIDATED</stp>
        <stp>Y</stp>
        <stp>Fill=B</stp>
        <tr r="H40" s="8"/>
      </tp>
      <tp>
        <v>5986.8379759999998</v>
        <stp/>
        <stp>##V3_BDPV12</stp>
        <stp>AAPL US EQUITY</stp>
        <stp>BS_SH_OUT</stp>
        <stp>[XIDA.xlsm]Financials!R40C9</stp>
        <stp>EQY_FUND_RELATIVE_PERIOD</stp>
        <stp>-8FY</stp>
        <stp>EQY_FUND_CRNCY</stp>
        <stp>USD</stp>
        <stp>EQY_CONSOLIDATED</stp>
        <stp>Y</stp>
        <stp>Fill=B</stp>
        <tr r="I40" s="8"/>
      </tp>
      <tp>
        <v>2.72224819439813</v>
        <stp/>
        <stp>##V3_BDPV12</stp>
        <stp>CSCO US EQUITY</stp>
        <stp>BEST_PX_SALES_RATIO</stp>
        <stp>[XIDA.xlsm]DataH!R28C9</stp>
        <stp>BEST_FPERIOD_OVERRIDE</stp>
        <stp>12BC</stp>
        <stp>EQY_CONSOLIDATED</stp>
        <stp>Y</stp>
        <tr r="I28" s="16"/>
      </tp>
      <tp t="s">
        <v>12/2014</v>
        <stp/>
        <stp>##V3_BDPV12</stp>
        <stp>005930 KS EQUITY</stp>
        <stp>EQY_FISCAL_YR_END</stp>
        <stp>[XIDA.xlsm]Peers!R18C29</stp>
        <tr r="AC18" s="4"/>
      </tp>
      <tp t="s">
        <v>#N/A Invalid Security</v>
        <stp/>
        <stp>##V3_BDHV12</stp>
        <stp xml:space="preserve"> EQUITY</stp>
        <stp>CUR_MKT_CAP</stp>
        <stp>1/1/2015</stp>
        <stp>4/13/2015</stp>
        <stp>[XIDA.xlsm]MarketCapH!R4C30</stp>
        <stp>Dts=H</stp>
        <stp>FX=USD</stp>
        <stp>CDR=US</stp>
        <stp/>
        <stp>PER=CD</stp>
        <tr r="AD4" s="7"/>
      </tp>
      <tp t="s">
        <v>#N/A Invalid Security</v>
        <stp/>
        <stp>##V3_BDHV12</stp>
        <stp xml:space="preserve"> EQUITY</stp>
        <stp>CUR_MKT_CAP</stp>
        <stp>1/1/2015</stp>
        <stp>4/13/2015</stp>
        <stp>[XIDA.xlsm]MarketCapH!R4C27</stp>
        <stp>Dts=H</stp>
        <stp>FX=USD</stp>
        <stp>CDR=US</stp>
        <stp/>
        <stp>PER=CD</stp>
        <tr r="AA4" s="7"/>
      </tp>
      <tp t="s">
        <v>#N/A Invalid Security</v>
        <stp/>
        <stp>##V3_BDHV12</stp>
        <stp xml:space="preserve"> EQUITY</stp>
        <stp>CUR_MKT_CAP</stp>
        <stp>1/1/2015</stp>
        <stp>4/13/2015</stp>
        <stp>[XIDA.xlsm]MarketCapH!R4C26</stp>
        <stp>Dts=H</stp>
        <stp>FX=USD</stp>
        <stp>CDR=US</stp>
        <stp/>
        <stp>PER=CD</stp>
        <tr r="Z4" s="7"/>
      </tp>
      <tp t="s">
        <v>#N/A Invalid Security</v>
        <stp/>
        <stp>##V3_BDHV12</stp>
        <stp xml:space="preserve"> EQUITY</stp>
        <stp>CUR_MKT_CAP</stp>
        <stp>1/1/2015</stp>
        <stp>4/13/2015</stp>
        <stp>[XIDA.xlsm]MarketCapH!R4C25</stp>
        <stp>Dts=H</stp>
        <stp>FX=USD</stp>
        <stp>CDR=US</stp>
        <stp/>
        <stp>PER=CD</stp>
        <tr r="Y4" s="7"/>
      </tp>
      <tp t="s">
        <v>#N/A Invalid Security</v>
        <stp/>
        <stp>##V3_BDHV12</stp>
        <stp xml:space="preserve"> EQUITY</stp>
        <stp>CUR_MKT_CAP</stp>
        <stp>1/1/2015</stp>
        <stp>4/13/2015</stp>
        <stp>[XIDA.xlsm]MarketCapH!R4C24</stp>
        <stp>Dts=H</stp>
        <stp>FX=USD</stp>
        <stp>CDR=US</stp>
        <stp/>
        <stp>PER=CD</stp>
        <tr r="X4" s="7"/>
      </tp>
      <tp t="s">
        <v>#N/A Invalid Security</v>
        <stp/>
        <stp>##V3_BDHV12</stp>
        <stp xml:space="preserve"> EQUITY</stp>
        <stp>CUR_MKT_CAP</stp>
        <stp>1/1/2015</stp>
        <stp>4/13/2015</stp>
        <stp>[XIDA.xlsm]MarketCapH!R4C23</stp>
        <stp>Dts=H</stp>
        <stp>FX=USD</stp>
        <stp>CDR=US</stp>
        <stp/>
        <stp>PER=CD</stp>
        <tr r="W4" s="7"/>
      </tp>
      <tp t="s">
        <v>#N/A Invalid Security</v>
        <stp/>
        <stp>##V3_BDHV12</stp>
        <stp xml:space="preserve"> EQUITY</stp>
        <stp>CUR_MKT_CAP</stp>
        <stp>1/1/2015</stp>
        <stp>4/13/2015</stp>
        <stp>[XIDA.xlsm]MarketCapH!R4C22</stp>
        <stp>Dts=H</stp>
        <stp>FX=USD</stp>
        <stp>CDR=US</stp>
        <stp/>
        <stp>PER=CD</stp>
        <tr r="V4" s="7"/>
      </tp>
      <tp t="s">
        <v>#N/A Invalid Security</v>
        <stp/>
        <stp>##V3_BDHV12</stp>
        <stp xml:space="preserve"> EQUITY</stp>
        <stp>CUR_MKT_CAP</stp>
        <stp>1/1/2015</stp>
        <stp>4/13/2015</stp>
        <stp>[XIDA.xlsm]MarketCapH!R4C21</stp>
        <stp>Dts=H</stp>
        <stp>FX=USD</stp>
        <stp>CDR=US</stp>
        <stp/>
        <stp>PER=CD</stp>
        <tr r="U4" s="7"/>
      </tp>
      <tp t="s">
        <v>#N/A Invalid Security</v>
        <stp/>
        <stp>##V3_BDHV12</stp>
        <stp xml:space="preserve"> EQUITY</stp>
        <stp>CUR_MKT_CAP</stp>
        <stp>1/1/2015</stp>
        <stp>4/13/2015</stp>
        <stp>[XIDA.xlsm]MarketCapH!R4C20</stp>
        <stp>Dts=H</stp>
        <stp>FX=USD</stp>
        <stp>CDR=US</stp>
        <stp/>
        <stp>PER=CD</stp>
        <tr r="T4" s="7"/>
      </tp>
      <tp t="s">
        <v>#N/A Invalid Security</v>
        <stp/>
        <stp>##V3_BDHV12</stp>
        <stp xml:space="preserve"> EQUITY</stp>
        <stp>CUR_MKT_CAP</stp>
        <stp>1/1/2015</stp>
        <stp>4/13/2015</stp>
        <stp>[XIDA.xlsm]MarketCapH!R4C29</stp>
        <stp>Dts=H</stp>
        <stp>FX=USD</stp>
        <stp>CDR=US</stp>
        <stp/>
        <stp>PER=CD</stp>
        <tr r="AC4" s="7"/>
      </tp>
      <tp t="s">
        <v>#N/A Invalid Security</v>
        <stp/>
        <stp>##V3_BDHV12</stp>
        <stp xml:space="preserve"> EQUITY</stp>
        <stp>CUR_MKT_CAP</stp>
        <stp>1/1/2015</stp>
        <stp>4/13/2015</stp>
        <stp>[XIDA.xlsm]MarketCapH!R4C28</stp>
        <stp>Dts=H</stp>
        <stp>FX=USD</stp>
        <stp>CDR=US</stp>
        <stp/>
        <stp>PER=CD</stp>
        <tr r="AB4" s="7"/>
      </tp>
      <tp t="s">
        <v>#N/A Invalid Security</v>
        <stp/>
        <stp>##V3_BDHV12</stp>
        <stp xml:space="preserve"> EQUITY</stp>
        <stp>CUR_MKT_CAP</stp>
        <stp>1/1/2015</stp>
        <stp>4/13/2015</stp>
        <stp>[XIDA.xlsm]MarketCapH!R4C17</stp>
        <stp>Dts=H</stp>
        <stp>FX=USD</stp>
        <stp>CDR=US</stp>
        <stp/>
        <stp>PER=CD</stp>
        <tr r="Q4" s="7"/>
      </tp>
      <tp t="s">
        <v>#N/A Invalid Security</v>
        <stp/>
        <stp>##V3_BDHV12</stp>
        <stp xml:space="preserve"> EQUITY</stp>
        <stp>CUR_MKT_CAP</stp>
        <stp>1/1/2015</stp>
        <stp>4/13/2015</stp>
        <stp>[XIDA.xlsm]MarketCapH!R4C16</stp>
        <stp>Dts=H</stp>
        <stp>FX=USD</stp>
        <stp>CDR=US</stp>
        <stp/>
        <stp>PER=CD</stp>
        <tr r="P4" s="7"/>
      </tp>
      <tp t="s">
        <v>#N/A Invalid Security</v>
        <stp/>
        <stp>##V3_BDHV12</stp>
        <stp xml:space="preserve"> EQUITY</stp>
        <stp>CUR_MKT_CAP</stp>
        <stp>1/1/2015</stp>
        <stp>4/13/2015</stp>
        <stp>[XIDA.xlsm]MarketCapH!R4C15</stp>
        <stp>Dts=H</stp>
        <stp>FX=USD</stp>
        <stp>CDR=US</stp>
        <stp/>
        <stp>PER=CD</stp>
        <tr r="O4" s="7"/>
      </tp>
      <tp t="s">
        <v>#N/A Invalid Security</v>
        <stp/>
        <stp>##V3_BDHV12</stp>
        <stp xml:space="preserve"> EQUITY</stp>
        <stp>CUR_MKT_CAP</stp>
        <stp>1/1/2015</stp>
        <stp>4/13/2015</stp>
        <stp>[XIDA.xlsm]MarketCapH!R4C14</stp>
        <stp>Dts=H</stp>
        <stp>FX=USD</stp>
        <stp>CDR=US</stp>
        <stp/>
        <stp>PER=CD</stp>
        <tr r="N4" s="7"/>
      </tp>
      <tp t="s">
        <v>#N/A Invalid Security</v>
        <stp/>
        <stp>##V3_BDHV12</stp>
        <stp xml:space="preserve"> EQUITY</stp>
        <stp>CUR_MKT_CAP</stp>
        <stp>1/1/2015</stp>
        <stp>4/13/2015</stp>
        <stp>[XIDA.xlsm]MarketCapH!R4C13</stp>
        <stp>Dts=H</stp>
        <stp>FX=USD</stp>
        <stp>CDR=US</stp>
        <stp/>
        <stp>PER=CD</stp>
        <tr r="M4" s="7"/>
      </tp>
      <tp t="s">
        <v>#N/A Invalid Security</v>
        <stp/>
        <stp>##V3_BDHV12</stp>
        <stp xml:space="preserve"> EQUITY</stp>
        <stp>CUR_MKT_CAP</stp>
        <stp>1/1/2015</stp>
        <stp>4/13/2015</stp>
        <stp>[XIDA.xlsm]MarketCapH!R4C12</stp>
        <stp>Dts=H</stp>
        <stp>FX=USD</stp>
        <stp>CDR=US</stp>
        <stp/>
        <stp>PER=CD</stp>
        <tr r="L4" s="7"/>
      </tp>
      <tp t="s">
        <v>#N/A Invalid Security</v>
        <stp/>
        <stp>##V3_BDHV12</stp>
        <stp xml:space="preserve"> EQUITY</stp>
        <stp>CUR_MKT_CAP</stp>
        <stp>1/1/2015</stp>
        <stp>4/13/2015</stp>
        <stp>[XIDA.xlsm]MarketCapH!R4C11</stp>
        <stp>Dts=H</stp>
        <stp>FX=USD</stp>
        <stp>CDR=US</stp>
        <stp/>
        <stp>PER=CD</stp>
        <tr r="K4" s="7"/>
      </tp>
      <tp t="s">
        <v>#N/A Invalid Security</v>
        <stp/>
        <stp>##V3_BDHV12</stp>
        <stp xml:space="preserve"> EQUITY</stp>
        <stp>CUR_MKT_CAP</stp>
        <stp>1/1/2015</stp>
        <stp>4/13/2015</stp>
        <stp>[XIDA.xlsm]MarketCapH!R4C10</stp>
        <stp>Dts=H</stp>
        <stp>FX=USD</stp>
        <stp>CDR=US</stp>
        <stp/>
        <stp>PER=CD</stp>
        <tr r="J4" s="7"/>
      </tp>
      <tp t="s">
        <v>#N/A Invalid Security</v>
        <stp/>
        <stp>##V3_BDHV12</stp>
        <stp xml:space="preserve"> EQUITY</stp>
        <stp>CUR_MKT_CAP</stp>
        <stp>1/1/2015</stp>
        <stp>4/13/2015</stp>
        <stp>[XIDA.xlsm]MarketCapH!R4C19</stp>
        <stp>Dts=H</stp>
        <stp>FX=USD</stp>
        <stp>CDR=US</stp>
        <stp/>
        <stp>PER=CD</stp>
        <tr r="S4" s="7"/>
      </tp>
      <tp t="s">
        <v>#N/A Invalid Security</v>
        <stp/>
        <stp>##V3_BDHV12</stp>
        <stp xml:space="preserve"> EQUITY</stp>
        <stp>CUR_MKT_CAP</stp>
        <stp>1/1/2015</stp>
        <stp>4/13/2015</stp>
        <stp>[XIDA.xlsm]MarketCapH!R4C18</stp>
        <stp>Dts=H</stp>
        <stp>FX=USD</stp>
        <stp>CDR=US</stp>
        <stp/>
        <stp>PER=CD</stp>
        <tr r="R4" s="7"/>
      </tp>
      <tp t="s">
        <v>#N/A N/A</v>
        <stp/>
        <stp>##V3_BDHV12</stp>
        <stp>6758 JP EQUITY</stp>
        <stp>CUR_MKT_CAP</stp>
        <stp>1/1/2015</stp>
        <stp>4/13/2015</stp>
        <stp>[XIDA.xlsm]MarketCapH!R4C3</stp>
        <stp>Dts=H</stp>
        <stp>FX=USD</stp>
        <stp>CDR=US</stp>
        <stp/>
        <stp>PER=CD</stp>
        <stp>cols=1;rows=69</stp>
        <tr r="C4" s="7"/>
      </tp>
      <tp>
        <v>0.22285714285714286</v>
        <stp/>
        <stp>##V3_BDPV12</stp>
        <stp>AAPL US EQUITY</stp>
        <stp>IS_DIL_EPS_BEF_XO</stp>
        <stp>[XIDA.xlsm]Financials!R33C8</stp>
        <stp>EQY_FUND_RELATIVE_PERIOD</stp>
        <stp>-9FY</stp>
        <stp>EQY_FUND_CRNCY</stp>
        <stp>USD</stp>
        <stp>EQY_CONSOLIDATED</stp>
        <stp>Y</stp>
        <stp>Fill=B</stp>
        <tr r="H33" s="8"/>
      </tp>
      <tp>
        <v>0.32428571428571429</v>
        <stp/>
        <stp>##V3_BDPV12</stp>
        <stp>AAPL US EQUITY</stp>
        <stp>IS_DIL_EPS_BEF_XO</stp>
        <stp>[XIDA.xlsm]Financials!R33C9</stp>
        <stp>EQY_FUND_RELATIVE_PERIOD</stp>
        <stp>-8FY</stp>
        <stp>EQY_FUND_CRNCY</stp>
        <stp>USD</stp>
        <stp>EQY_CONSOLIDATED</stp>
        <stp>Y</stp>
        <stp>Fill=B</stp>
        <tr r="I33" s="8"/>
      </tp>
      <tp>
        <v>2.8808548805662162</v>
        <stp/>
        <stp>##V3_BDPV12</stp>
        <stp>CSCO US EQUITY</stp>
        <stp>BEST_PX_SALES_RATIO</stp>
        <stp>[XIDA.xlsm]DataH!R28C8</stp>
        <stp>BEST_FPERIOD_OVERRIDE</stp>
        <stp>11BC</stp>
        <stp>EQY_CONSOLIDATED</stp>
        <stp>Y</stp>
        <tr r="H28" s="16"/>
      </tp>
      <tp>
        <v>6106.3028039999999</v>
        <stp/>
        <stp>##V3_BDPV12</stp>
        <stp>AAPL US EQUITY</stp>
        <stp>BS_SH_OUT</stp>
        <stp>[XIDA.xlsm]Financials!R40C10</stp>
        <stp>EQY_FUND_RELATIVE_PERIOD</stp>
        <stp>-7FY</stp>
        <stp>EQY_FUND_CRNCY</stp>
        <stp>USD</stp>
        <stp>EQY_CONSOLIDATED</stp>
        <stp>Y</stp>
        <stp>Fill=B</stp>
        <tr r="J40" s="8"/>
      </tp>
      <tp>
        <v>6218.2818109999998</v>
        <stp/>
        <stp>##V3_BDPV12</stp>
        <stp>AAPL US EQUITY</stp>
        <stp>BS_SH_OUT</stp>
        <stp>[XIDA.xlsm]Financials!R40C11</stp>
        <stp>EQY_FUND_RELATIVE_PERIOD</stp>
        <stp>-6FY</stp>
        <stp>EQY_FUND_CRNCY</stp>
        <stp>USD</stp>
        <stp>EQY_CONSOLIDATED</stp>
        <stp>Y</stp>
        <stp>Fill=B</stp>
        <tr r="K40" s="8"/>
      </tp>
      <tp>
        <v>6298.6385</v>
        <stp/>
        <stp>##V3_BDPV12</stp>
        <stp>AAPL US EQUITY</stp>
        <stp>BS_SH_OUT</stp>
        <stp>[XIDA.xlsm]Financials!R40C12</stp>
        <stp>EQY_FUND_RELATIVE_PERIOD</stp>
        <stp>-5FY</stp>
        <stp>EQY_FUND_CRNCY</stp>
        <stp>USD</stp>
        <stp>EQY_CONSOLIDATED</stp>
        <stp>Y</stp>
        <stp>Fill=B</stp>
        <tr r="L40" s="8"/>
      </tp>
      <tp>
        <v>6411.7903500000002</v>
        <stp/>
        <stp>##V3_BDPV12</stp>
        <stp>AAPL US EQUITY</stp>
        <stp>BS_SH_OUT</stp>
        <stp>[XIDA.xlsm]Financials!R40C13</stp>
        <stp>EQY_FUND_RELATIVE_PERIOD</stp>
        <stp>-4FY</stp>
        <stp>EQY_FUND_CRNCY</stp>
        <stp>USD</stp>
        <stp>EQY_CONSOLIDATED</stp>
        <stp>Y</stp>
        <stp>Fill=B</stp>
        <tr r="M40" s="8"/>
      </tp>
      <tp>
        <v>6504.9390000000003</v>
        <stp/>
        <stp>##V3_BDPV12</stp>
        <stp>AAPL US EQUITY</stp>
        <stp>BS_SH_OUT</stp>
        <stp>[XIDA.xlsm]Financials!R40C14</stp>
        <stp>EQY_FUND_RELATIVE_PERIOD</stp>
        <stp>-3FY</stp>
        <stp>EQY_FUND_CRNCY</stp>
        <stp>USD</stp>
        <stp>EQY_CONSOLIDATED</stp>
        <stp>Y</stp>
        <stp>Fill=B</stp>
        <tr r="N40" s="8"/>
      </tp>
      <tp>
        <v>6574.4560000000001</v>
        <stp/>
        <stp>##V3_BDPV12</stp>
        <stp>AAPL US EQUITY</stp>
        <stp>BS_SH_OUT</stp>
        <stp>[XIDA.xlsm]Financials!R40C15</stp>
        <stp>EQY_FUND_RELATIVE_PERIOD</stp>
        <stp>-2FY</stp>
        <stp>EQY_FUND_CRNCY</stp>
        <stp>USD</stp>
        <stp>EQY_CONSOLIDATED</stp>
        <stp>Y</stp>
        <stp>Fill=B</stp>
        <tr r="O40" s="8"/>
      </tp>
      <tp>
        <v>6294.491</v>
        <stp/>
        <stp>##V3_BDPV12</stp>
        <stp>AAPL US EQUITY</stp>
        <stp>BS_SH_OUT</stp>
        <stp>[XIDA.xlsm]Financials!R40C16</stp>
        <stp>EQY_FUND_RELATIVE_PERIOD</stp>
        <stp>-1FY</stp>
        <stp>EQY_FUND_CRNCY</stp>
        <stp>USD</stp>
        <stp>EQY_CONSOLIDATED</stp>
        <stp>Y</stp>
        <stp>Fill=B</stp>
        <tr r="P40" s="8"/>
      </tp>
      <tp>
        <v>5866.1610000000001</v>
        <stp/>
        <stp>##V3_BDPV12</stp>
        <stp>AAPL US EQUITY</stp>
        <stp>BS_SH_OUT</stp>
        <stp>[XIDA.xlsm]Financials!R40C17</stp>
        <stp>EQY_FUND_RELATIVE_PERIOD</stp>
        <stp>-0FY</stp>
        <stp>EQY_FUND_CRNCY</stp>
        <stp>USD</stp>
        <stp>EQY_CONSOLIDATED</stp>
        <stp>Y</stp>
        <stp>Fill=B</stp>
        <tr r="Q40" s="8"/>
      </tp>
      <tp t="e">
        <v>#N/A</v>
        <stp/>
        <stp>##V3_BDSV12</stp>
        <stp>AAPL US EQUITY</stp>
        <stp>BEST_EPS_GAAP_BRK_GRID</stp>
        <stp>[XIDA.xlsm]DataH!R84C10</stp>
        <stp>BEST_FPERIOD_OVERRIDE</stp>
        <stp>3FY</stp>
        <stp>EQY_CONSOLIDATED</stp>
        <stp>Y</stp>
        <stp>STARTCOL=3</stp>
        <stp>ENDCOL=3</stp>
        <stp>cols=1;rows=21</stp>
        <tr r="J84" s="16"/>
      </tp>
      <tp>
        <v>383</v>
        <stp/>
        <stp>##V3_BDPV12</stp>
        <stp>AAPL US EQUITY</stp>
        <stp>PRETAX_INC</stp>
        <stp>[XIDA.xlsm]Financials!R26C7</stp>
        <stp>EQY_FUND_RELATIVE_PERIOD</stp>
        <stp>-10FY</stp>
        <stp>EQY_FUND_CRNCY</stp>
        <stp>USD</stp>
        <stp>EQY_CONSOLIDATED</stp>
        <stp>Y</stp>
        <stp>Fill=B</stp>
        <tr r="G26" s="8"/>
      </tp>
      <tp t="s">
        <v>#N/A Requesting Data...</v>
        <stp/>
        <stp>##V3_BDSV12</stp>
        <stp>AAPL US EQUITY</stp>
        <stp>BEST_NET_INCOME_BRK_GRID</stp>
        <stp>[XIDA.xlsm]DataH!R8C81</stp>
        <stp>BEST_FPERIOD_OVERRIDE</stp>
        <stp>1FQ</stp>
        <stp>STARTCOL=1</stp>
        <stp>ENDCOL=1</stp>
        <stp>EQY_FUND_CRNCY</stp>
        <stp>USD</stp>
        <stp>BEST_CONSOLIDATED_OVERRIDE</stp>
        <stp>C</stp>
        <tr r="CC8" s="16"/>
      </tp>
      <tp>
        <v>1.1446615058006973</v>
        <stp/>
        <stp>##V3_BDPV12</stp>
        <stp>ERICB SS EQUITY</stp>
        <stp>BEST_PX_SALES_RATIO</stp>
        <stp>[XIDA.xlsm]DataH!R30C8</stp>
        <stp>BEST_FPERIOD_OVERRIDE</stp>
        <stp>11BC</stp>
        <stp>EQY_CONSOLIDATED</stp>
        <stp>Y</stp>
        <tr r="H30" s="16"/>
      </tp>
      <tp>
        <v>3.7261065943992775</v>
        <stp/>
        <stp>##V3_BDPV12</stp>
        <stp>AAPL US EQUITY</stp>
        <stp>BEST_PX_BPS_RATIO</stp>
        <stp>[XIDA.xlsm]Overview!R37C10</stp>
        <stp>BEST_FPERIOD_OVERRIDE</stp>
        <stp>2FY</stp>
        <stp>BEST_CONSOLIDATED_OVERRIDE</stp>
        <stp>C</stp>
        <stp>Fill=-</stp>
        <tr r="J37" s="3"/>
      </tp>
      <tp>
        <v>3.0791280979396833</v>
        <stp/>
        <stp>##V3_BDPV12</stp>
        <stp>AAPL US EQUITY</stp>
        <stp>BEST_PX_BPS_RATIO</stp>
        <stp>[XIDA.xlsm]Overview!R37C11</stp>
        <stp>BEST_FPERIOD_OVERRIDE</stp>
        <stp>3FY</stp>
        <stp>BEST_CONSOLIDATED_OVERRIDE</stp>
        <stp>C</stp>
        <stp>Fill=-</stp>
        <tr r="K37" s="3"/>
      </tp>
      <tp>
        <v>0</v>
        <stp/>
        <stp>##V3_BDPV12</stp>
        <stp>AAPL US EQUITY</stp>
        <stp>CF_INCR_ST_BORROW</stp>
        <stp>[XIDA.xlsm]Financials!R99C8</stp>
        <stp>EQY_FUND_RELATIVE_PERIOD</stp>
        <stp>-9FY</stp>
        <stp>EQY_FUND_CRNCY</stp>
        <stp>USD</stp>
        <stp>EQY_CONSOLIDATED</stp>
        <stp>Y</stp>
        <stp>Fill=B</stp>
        <tr r="H99" s="8"/>
      </tp>
      <tp>
        <v>0</v>
        <stp/>
        <stp>##V3_BDPV12</stp>
        <stp>AAPL US EQUITY</stp>
        <stp>CF_INCR_ST_BORROW</stp>
        <stp>[XIDA.xlsm]Financials!R99C9</stp>
        <stp>EQY_FUND_RELATIVE_PERIOD</stp>
        <stp>-8FY</stp>
        <stp>EQY_FUND_CRNCY</stp>
        <stp>USD</stp>
        <stp>EQY_CONSOLIDATED</stp>
        <stp>Y</stp>
        <stp>Fill=B</stp>
        <tr r="I99" s="8"/>
      </tp>
      <tp>
        <v>0</v>
        <stp/>
        <stp>##V3_BDPV12</stp>
        <stp>AAPL US EQUITY</stp>
        <stp>TOT_DEBT_TO_TOT_CAP</stp>
        <stp>[XIDA.xlsm]Financials!R137C7</stp>
        <stp>EQY_FUND_RELATIVE_PERIOD</stp>
        <stp>-10FY</stp>
        <stp>EQY_FUND_CRNCY</stp>
        <stp>USD</stp>
        <stp>EQY_CONSOLIDATED</stp>
        <stp>Y</stp>
        <stp>Fill=0</stp>
        <tr r="G137" s="8"/>
      </tp>
      <tp>
        <v>17942.2</v>
        <stp/>
        <stp>##V3_BDPV12</stp>
        <stp>AAPL US EQUITY</stp>
        <stp>BEST_NET_GAAP</stp>
        <stp>[XIDA.xlsm]DataH!R4C88</stp>
        <stp>BEST_FPERIOD_OVERRIDE</stp>
        <stp>2FQ</stp>
        <stp>BEST_DATA_SOURCE_OVERRIDE</stp>
        <stp>BLI</stp>
        <stp>EQY_FUND_CRNCY</stp>
        <stp>USD</stp>
        <stp>BEST_CONSOLIDATED_OVERRIDE</stp>
        <stp>C</stp>
        <tr r="CJ4" s="16"/>
      </tp>
      <tp>
        <v>10853.182000000001</v>
        <stp/>
        <stp>##V3_BDPV12</stp>
        <stp>AAPL US EQUITY</stp>
        <stp>BEST_NET_GAAP</stp>
        <stp>[XIDA.xlsm]DataH!R4C87</stp>
        <stp>BEST_FPERIOD_OVERRIDE</stp>
        <stp>1FQ</stp>
        <stp>BEST_DATA_SOURCE_OVERRIDE</stp>
        <stp>BLI</stp>
        <stp>EQY_FUND_CRNCY</stp>
        <stp>USD</stp>
        <stp>BEST_CONSOLIDATED_OVERRIDE</stp>
        <stp>C</stp>
        <tr r="CI4" s="16"/>
      </tp>
      <tp>
        <v>13619.300000000001</v>
        <stp/>
        <stp>##V3_BDPV12</stp>
        <stp>AAPL US EQUITY</stp>
        <stp>BEST_NET_GAAP</stp>
        <stp>[XIDA.xlsm]DataH!R4C90</stp>
        <stp>BEST_FPERIOD_OVERRIDE</stp>
        <stp>3FQ</stp>
        <stp>BEST_DATA_SOURCE_OVERRIDE</stp>
        <stp>BLI</stp>
        <stp>EQY_FUND_CRNCY</stp>
        <stp>USD</stp>
        <stp>BEST_CONSOLIDATED_OVERRIDE</stp>
        <stp>C</stp>
        <tr r="CL4" s="16"/>
      </tp>
      <tp>
        <v>13482.308000000001</v>
        <stp/>
        <stp>##V3_BDPV12</stp>
        <stp>AAPL US EQUITY</stp>
        <stp>BEST_NET_GAAP</stp>
        <stp>[XIDA.xlsm]DataH!R3C90</stp>
        <stp>BEST_FPERIOD_OVERRIDE</stp>
        <stp>3FQ</stp>
        <stp>BEST_DATA_SOURCE_OVERRIDE</stp>
        <stp>BST</stp>
        <stp>EQY_FUND_CRNCY</stp>
        <stp>USD</stp>
        <stp>BEST_CONSOLIDATED_OVERRIDE</stp>
        <stp>C</stp>
        <tr r="CL3" s="16"/>
      </tp>
      <tp>
        <v>10725.485000000001</v>
        <stp/>
        <stp>##V3_BDPV12</stp>
        <stp>AAPL US EQUITY</stp>
        <stp>BEST_NET_GAAP</stp>
        <stp>[XIDA.xlsm]DataH!R3C87</stp>
        <stp>BEST_FPERIOD_OVERRIDE</stp>
        <stp>1FQ</stp>
        <stp>BEST_DATA_SOURCE_OVERRIDE</stp>
        <stp>BST</stp>
        <stp>EQY_FUND_CRNCY</stp>
        <stp>USD</stp>
        <stp>BEST_CONSOLIDATED_OVERRIDE</stp>
        <stp>C</stp>
        <tr r="CI3" s="16"/>
      </tp>
      <tp>
        <v>18026.385000000002</v>
        <stp/>
        <stp>##V3_BDPV12</stp>
        <stp>AAPL US EQUITY</stp>
        <stp>BEST_NET_GAAP</stp>
        <stp>[XIDA.xlsm]DataH!R3C88</stp>
        <stp>BEST_FPERIOD_OVERRIDE</stp>
        <stp>2FQ</stp>
        <stp>BEST_DATA_SOURCE_OVERRIDE</stp>
        <stp>BST</stp>
        <stp>EQY_FUND_CRNCY</stp>
        <stp>USD</stp>
        <stp>BEST_CONSOLIDATED_OVERRIDE</stp>
        <stp>C</stp>
        <tr r="CJ3" s="16"/>
      </tp>
      <tp>
        <v>10740.355</v>
        <stp/>
        <stp>##V3_BDPV12</stp>
        <stp>AAPL US EQUITY</stp>
        <stp>BEST_NET_GAAP</stp>
        <stp>[XIDA.xlsm]DataH!R5C87</stp>
        <stp>BEST_FPERIOD_OVERRIDE</stp>
        <stp>1FQ</stp>
        <stp>BEST_DATA_SOURCE_OVERRIDE</stp>
        <stp>BPE</stp>
        <stp>EQY_FUND_CRNCY</stp>
        <stp>USD</stp>
        <stp>BEST_CONSOLIDATED_OVERRIDE</stp>
        <stp>C</stp>
        <tr r="CI5" s="16"/>
      </tp>
      <tp>
        <v>18040.125</v>
        <stp/>
        <stp>##V3_BDPV12</stp>
        <stp>AAPL US EQUITY</stp>
        <stp>BEST_NET_GAAP</stp>
        <stp>[XIDA.xlsm]DataH!R5C88</stp>
        <stp>BEST_FPERIOD_OVERRIDE</stp>
        <stp>2FQ</stp>
        <stp>BEST_DATA_SOURCE_OVERRIDE</stp>
        <stp>BPE</stp>
        <stp>EQY_FUND_CRNCY</stp>
        <stp>USD</stp>
        <stp>BEST_CONSOLIDATED_OVERRIDE</stp>
        <stp>C</stp>
        <tr r="CJ5" s="16"/>
      </tp>
      <tp>
        <v>13444.166999999999</v>
        <stp/>
        <stp>##V3_BDPV12</stp>
        <stp>AAPL US EQUITY</stp>
        <stp>BEST_NET_GAAP</stp>
        <stp>[XIDA.xlsm]DataH!R5C90</stp>
        <stp>BEST_FPERIOD_OVERRIDE</stp>
        <stp>3FQ</stp>
        <stp>BEST_DATA_SOURCE_OVERRIDE</stp>
        <stp>BPE</stp>
        <stp>EQY_FUND_CRNCY</stp>
        <stp>USD</stp>
        <stp>BEST_CONSOLIDATED_OVERRIDE</stp>
        <stp>C</stp>
        <tr r="CL5" s="16"/>
      </tp>
      <tp>
        <v>0.46145716653464142</v>
        <stp/>
        <stp>##V3_BDPV12</stp>
        <stp>6758 JP EQUITY</stp>
        <stp>BEST_PX_SALES_RATIO</stp>
        <stp>[XIDA.xlsm]DataH!R25C14</stp>
        <stp>BEST_FPERIOD_OVERRIDE</stp>
        <stp>17BC</stp>
        <stp>EQY_CONSOLIDATED</stp>
        <stp>Y</stp>
        <tr r="N25" s="16"/>
      </tp>
      <tp>
        <v>3745</v>
        <stp/>
        <stp>##V3_BDPV12</stp>
        <stp>AAPL US EQUITY</stp>
        <stp>IS_OPERATING_EXPN</stp>
        <stp>[XIDA.xlsm]Financials!R18C10</stp>
        <stp>EQY_FUND_RELATIVE_PERIOD</stp>
        <stp>-7FY</stp>
        <stp>EQY_FUND_CRNCY</stp>
        <stp>USD</stp>
        <stp>EQY_CONSOLIDATED</stp>
        <stp>Y</stp>
        <stp>Fill=B</stp>
        <tr r="J18" s="8"/>
      </tp>
      <tp>
        <v>4870</v>
        <stp/>
        <stp>##V3_BDPV12</stp>
        <stp>AAPL US EQUITY</stp>
        <stp>IS_OPERATING_EXPN</stp>
        <stp>[XIDA.xlsm]Financials!R18C11</stp>
        <stp>EQY_FUND_RELATIVE_PERIOD</stp>
        <stp>-6FY</stp>
        <stp>EQY_FUND_CRNCY</stp>
        <stp>USD</stp>
        <stp>EQY_CONSOLIDATED</stp>
        <stp>Y</stp>
        <stp>Fill=B</stp>
        <tr r="K18" s="8"/>
      </tp>
      <tp>
        <v>5482</v>
        <stp/>
        <stp>##V3_BDPV12</stp>
        <stp>AAPL US EQUITY</stp>
        <stp>IS_OPERATING_EXPN</stp>
        <stp>[XIDA.xlsm]Financials!R18C12</stp>
        <stp>EQY_FUND_RELATIVE_PERIOD</stp>
        <stp>-5FY</stp>
        <stp>EQY_FUND_CRNCY</stp>
        <stp>USD</stp>
        <stp>EQY_CONSOLIDATED</stp>
        <stp>Y</stp>
        <stp>Fill=B</stp>
        <tr r="L18" s="8"/>
      </tp>
      <tp>
        <v>7299</v>
        <stp/>
        <stp>##V3_BDPV12</stp>
        <stp>AAPL US EQUITY</stp>
        <stp>IS_OPERATING_EXPN</stp>
        <stp>[XIDA.xlsm]Financials!R18C13</stp>
        <stp>EQY_FUND_RELATIVE_PERIOD</stp>
        <stp>-4FY</stp>
        <stp>EQY_FUND_CRNCY</stp>
        <stp>USD</stp>
        <stp>EQY_CONSOLIDATED</stp>
        <stp>Y</stp>
        <stp>Fill=B</stp>
        <tr r="M18" s="8"/>
      </tp>
      <tp>
        <v>10028</v>
        <stp/>
        <stp>##V3_BDPV12</stp>
        <stp>AAPL US EQUITY</stp>
        <stp>IS_OPERATING_EXPN</stp>
        <stp>[XIDA.xlsm]Financials!R18C14</stp>
        <stp>EQY_FUND_RELATIVE_PERIOD</stp>
        <stp>-3FY</stp>
        <stp>EQY_FUND_CRNCY</stp>
        <stp>USD</stp>
        <stp>EQY_CONSOLIDATED</stp>
        <stp>Y</stp>
        <stp>Fill=B</stp>
        <tr r="N18" s="8"/>
      </tp>
      <tp>
        <v>13421</v>
        <stp/>
        <stp>##V3_BDPV12</stp>
        <stp>AAPL US EQUITY</stp>
        <stp>IS_OPERATING_EXPN</stp>
        <stp>[XIDA.xlsm]Financials!R18C15</stp>
        <stp>EQY_FUND_RELATIVE_PERIOD</stp>
        <stp>-2FY</stp>
        <stp>EQY_FUND_CRNCY</stp>
        <stp>USD</stp>
        <stp>EQY_CONSOLIDATED</stp>
        <stp>Y</stp>
        <stp>Fill=B</stp>
        <tr r="O18" s="8"/>
      </tp>
      <tp>
        <v>15305</v>
        <stp/>
        <stp>##V3_BDPV12</stp>
        <stp>AAPL US EQUITY</stp>
        <stp>IS_OPERATING_EXPN</stp>
        <stp>[XIDA.xlsm]Financials!R18C16</stp>
        <stp>EQY_FUND_RELATIVE_PERIOD</stp>
        <stp>-1FY</stp>
        <stp>EQY_FUND_CRNCY</stp>
        <stp>USD</stp>
        <stp>EQY_CONSOLIDATED</stp>
        <stp>Y</stp>
        <stp>Fill=B</stp>
        <tr r="P18" s="8"/>
      </tp>
      <tp>
        <v>18034</v>
        <stp/>
        <stp>##V3_BDPV12</stp>
        <stp>AAPL US EQUITY</stp>
        <stp>IS_OPERATING_EXPN</stp>
        <stp>[XIDA.xlsm]Financials!R18C17</stp>
        <stp>EQY_FUND_RELATIVE_PERIOD</stp>
        <stp>-0FY</stp>
        <stp>EQY_FUND_CRNCY</stp>
        <stp>USD</stp>
        <stp>EQY_CONSOLIDATED</stp>
        <stp>Y</stp>
        <stp>Fill=B</stp>
        <tr r="Q18" s="8"/>
      </tp>
      <tp t="s">
        <v>#N/A Requesting Data...</v>
        <stp/>
        <stp>##V3_BDSV12</stp>
        <stp>AAPL US EQUITY</stp>
        <stp>BEST_NET_INCOME_BRK_GRID</stp>
        <stp>[XIDA.xlsm]DataH!R8C82</stp>
        <stp>BEST_FPERIOD_OVERRIDE</stp>
        <stp>1FQ</stp>
        <stp>STARTCOL=4</stp>
        <stp>ENDCOL=4</stp>
        <stp>EQY_FUND_CRNCY</stp>
        <stp>USD</stp>
        <stp>BEST_CONSOLIDATED_OVERRIDE</stp>
        <stp>C</stp>
        <tr r="CD8" s="16"/>
      </tp>
      <tp>
        <v>1203.0972999999999</v>
        <stp/>
        <stp>##V3_BDHV12</stp>
        <stp>005930 KS EQUITY</stp>
        <stp>PX_LAST</stp>
        <stp>1/1/2015</stp>
        <stp>4/13/2015</stp>
        <stp>[XIDA.xlsm]Indices!R10C32</stp>
        <stp>Dts=H</stp>
        <stp>FX=USD</stp>
        <stp>CDR=US</stp>
        <stp/>
        <stp>PER=CD</stp>
        <stp>cols=1;rows=69</stp>
        <tr r="AF10" s="5"/>
      </tp>
      <tp>
        <v>1.1403497844744248</v>
        <stp/>
        <stp>##V3_BDPV12</stp>
        <stp>ERICB SS EQUITY</stp>
        <stp>BEST_PX_SALES_RATIO</stp>
        <stp>[XIDA.xlsm]DataH!R30C9</stp>
        <stp>BEST_FPERIOD_OVERRIDE</stp>
        <stp>12BC</stp>
        <stp>EQY_CONSOLIDATED</stp>
        <stp>Y</stp>
        <tr r="I30" s="16"/>
      </tp>
      <tp>
        <v>19.261127837903818</v>
        <stp/>
        <stp>##V3_BDPV12</stp>
        <stp>AAPL US EQUITY</stp>
        <stp>EBITDA_TO_NET_SALES</stp>
        <stp>[XIDA.xlsm]Financials!R127C10</stp>
        <stp>EQY_FUND_RELATIVE_PERIOD</stp>
        <stp>-7FY</stp>
        <stp>EQY_FUND_CRNCY</stp>
        <stp>USD</stp>
        <stp>EQY_CONSOLIDATED</stp>
        <stp>Y</stp>
        <stp>Fill=0</stp>
        <tr r="J127" s="8"/>
      </tp>
      <tp>
        <v>23.533648075538132</v>
        <stp/>
        <stp>##V3_BDPV12</stp>
        <stp>AAPL US EQUITY</stp>
        <stp>EBITDA_TO_NET_SALES</stp>
        <stp>[XIDA.xlsm]Financials!R127C11</stp>
        <stp>EQY_FUND_RELATIVE_PERIOD</stp>
        <stp>-6FY</stp>
        <stp>EQY_FUND_CRNCY</stp>
        <stp>USD</stp>
        <stp>EQY_CONSOLIDATED</stp>
        <stp>Y</stp>
        <stp>Fill=0</stp>
        <tr r="K127" s="8"/>
      </tp>
      <tp>
        <v>29.073534553082393</v>
        <stp/>
        <stp>##V3_BDPV12</stp>
        <stp>AAPL US EQUITY</stp>
        <stp>EBITDA_TO_NET_SALES</stp>
        <stp>[XIDA.xlsm]Financials!R127C12</stp>
        <stp>EQY_FUND_RELATIVE_PERIOD</stp>
        <stp>-5FY</stp>
        <stp>EQY_FUND_CRNCY</stp>
        <stp>USD</stp>
        <stp>EQY_CONSOLIDATED</stp>
        <stp>Y</stp>
        <stp>Fill=0</stp>
        <tr r="L127" s="8"/>
      </tp>
      <tp>
        <v>29.761594480643929</v>
        <stp/>
        <stp>##V3_BDPV12</stp>
        <stp>AAPL US EQUITY</stp>
        <stp>EBITDA_TO_NET_SALES</stp>
        <stp>[XIDA.xlsm]Financials!R127C13</stp>
        <stp>EQY_FUND_RELATIVE_PERIOD</stp>
        <stp>-4FY</stp>
        <stp>EQY_FUND_CRNCY</stp>
        <stp>USD</stp>
        <stp>EQY_CONSOLIDATED</stp>
        <stp>Y</stp>
        <stp>Fill=0</stp>
        <tr r="M127" s="8"/>
      </tp>
      <tp>
        <v>32.890835019261146</v>
        <stp/>
        <stp>##V3_BDPV12</stp>
        <stp>AAPL US EQUITY</stp>
        <stp>EBITDA_TO_NET_SALES</stp>
        <stp>[XIDA.xlsm]Financials!R127C14</stp>
        <stp>EQY_FUND_RELATIVE_PERIOD</stp>
        <stp>-3FY</stp>
        <stp>EQY_FUND_CRNCY</stp>
        <stp>USD</stp>
        <stp>EQY_CONSOLIDATED</stp>
        <stp>Y</stp>
        <stp>Fill=0</stp>
        <tr r="N127" s="8"/>
      </tp>
      <tp>
        <v>37.38978199197485</v>
        <stp/>
        <stp>##V3_BDPV12</stp>
        <stp>AAPL US EQUITY</stp>
        <stp>EBITDA_TO_NET_SALES</stp>
        <stp>[XIDA.xlsm]Financials!R127C15</stp>
        <stp>EQY_FUND_RELATIVE_PERIOD</stp>
        <stp>-2FY</stp>
        <stp>EQY_FUND_CRNCY</stp>
        <stp>USD</stp>
        <stp>EQY_CONSOLIDATED</stp>
        <stp>Y</stp>
        <stp>Fill=0</stp>
        <tr r="O127" s="8"/>
      </tp>
      <tp>
        <v>32.62301796267041</v>
        <stp/>
        <stp>##V3_BDPV12</stp>
        <stp>AAPL US EQUITY</stp>
        <stp>EBITDA_TO_NET_SALES</stp>
        <stp>[XIDA.xlsm]Financials!R127C16</stp>
        <stp>EQY_FUND_RELATIVE_PERIOD</stp>
        <stp>-1FY</stp>
        <stp>EQY_FUND_CRNCY</stp>
        <stp>USD</stp>
        <stp>EQY_CONSOLIDATED</stp>
        <stp>Y</stp>
        <stp>Fill=0</stp>
        <tr r="P127" s="8"/>
      </tp>
      <tp>
        <v>33.069285264914249</v>
        <stp/>
        <stp>##V3_BDPV12</stp>
        <stp>AAPL US EQUITY</stp>
        <stp>EBITDA_TO_NET_SALES</stp>
        <stp>[XIDA.xlsm]Financials!R127C17</stp>
        <stp>EQY_FUND_RELATIVE_PERIOD</stp>
        <stp>-0FY</stp>
        <stp>EQY_FUND_CRNCY</stp>
        <stp>USD</stp>
        <stp>EQY_CONSOLIDATED</stp>
        <stp>Y</stp>
        <stp>Fill=0</stp>
        <tr r="Q127" s="8"/>
      </tp>
      <tp>
        <v>111.39</v>
        <stp/>
        <stp>##V3_BDHV12</stp>
        <stp>AAPL US EQUITY</stp>
        <stp>PX_OPEN</stp>
        <stp>1/1/2015</stp>
        <stp>4/13/2015</stp>
        <stp>[XIDA.xlsm]Indices!R10C24</stp>
        <stp>FX=USD</stp>
        <stp>CDR=US</stp>
        <stp/>
        <stp>Per=CD</stp>
        <stp>Dts=H</stp>
        <stp>cols=1;rows=69</stp>
        <tr r="X10" s="5"/>
      </tp>
      <tp>
        <v>18.327000000000002</v>
        <stp/>
        <stp>##V3_BDPV12</stp>
        <stp>AAPL US EQUITY</stp>
        <stp>BEST_ROA</stp>
        <stp>[XIDA.xlsm]Overview!R46C10</stp>
        <stp>BEST_FPERIOD_OVERRIDE</stp>
        <stp>2FY</stp>
        <stp>BEST_CONSOLIDATED_OVERRIDE</stp>
        <stp>C</stp>
        <stp>Fill=-</stp>
        <tr r="J46" s="3"/>
      </tp>
      <tp>
        <v>17.148</v>
        <stp/>
        <stp>##V3_BDPV12</stp>
        <stp>AAPL US EQUITY</stp>
        <stp>BEST_ROA</stp>
        <stp>[XIDA.xlsm]Overview!R46C11</stp>
        <stp>BEST_FPERIOD_OVERRIDE</stp>
        <stp>3FY</stp>
        <stp>BEST_CONSOLIDATED_OVERRIDE</stp>
        <stp>C</stp>
        <stp>Fill=-</stp>
        <tr r="K46" s="3"/>
      </tp>
      <tp>
        <v>38.157000000000004</v>
        <stp/>
        <stp>##V3_BDPV12</stp>
        <stp>AAPL US EQUITY</stp>
        <stp>BEST_ROE</stp>
        <stp>[XIDA.xlsm]Overview!R47C10</stp>
        <stp>BEST_FPERIOD_OVERRIDE</stp>
        <stp>2FY</stp>
        <stp>BEST_CONSOLIDATED_OVERRIDE</stp>
        <stp>C</stp>
        <stp>Fill=-</stp>
        <tr r="J47" s="3"/>
      </tp>
      <tp>
        <v>34.683</v>
        <stp/>
        <stp>##V3_BDPV12</stp>
        <stp>AAPL US EQUITY</stp>
        <stp>BEST_ROE</stp>
        <stp>[XIDA.xlsm]Overview!R47C11</stp>
        <stp>BEST_FPERIOD_OVERRIDE</stp>
        <stp>3FY</stp>
        <stp>BEST_CONSOLIDATED_OVERRIDE</stp>
        <stp>C</stp>
        <stp>Fill=-</stp>
        <tr r="K47" s="3"/>
      </tp>
      <tp>
        <v>543</v>
        <stp/>
        <stp>##V3_BDPV12</stp>
        <stp>AAPL US EQUITY</stp>
        <stp>CF_INCR_CAP_STOCK</stp>
        <stp>[XIDA.xlsm]Financials!R102C8</stp>
        <stp>EQY_FUND_RELATIVE_PERIOD</stp>
        <stp>-9FY</stp>
        <stp>EQY_FUND_CRNCY</stp>
        <stp>USD</stp>
        <stp>EQY_CONSOLIDATED</stp>
        <stp>Y</stp>
        <stp>Fill=B</stp>
        <tr r="H102" s="8"/>
      </tp>
      <tp>
        <v>679</v>
        <stp/>
        <stp>##V3_BDPV12</stp>
        <stp>AAPL US EQUITY</stp>
        <stp>CF_INCR_CAP_STOCK</stp>
        <stp>[XIDA.xlsm]Financials!R102C9</stp>
        <stp>EQY_FUND_RELATIVE_PERIOD</stp>
        <stp>-8FY</stp>
        <stp>EQY_FUND_CRNCY</stp>
        <stp>USD</stp>
        <stp>EQY_CONSOLIDATED</stp>
        <stp>Y</stp>
        <stp>Fill=B</stp>
        <tr r="I102" s="8"/>
      </tp>
      <tp>
        <v>0</v>
        <stp/>
        <stp>##V3_BDPV12</stp>
        <stp>AAPL US EQUITY</stp>
        <stp>CF_DECR_CAP_STOCK</stp>
        <stp>[XIDA.xlsm]Financials!R103C8</stp>
        <stp>EQY_FUND_RELATIVE_PERIOD</stp>
        <stp>-9FY</stp>
        <stp>EQY_FUND_CRNCY</stp>
        <stp>USD</stp>
        <stp>EQY_CONSOLIDATED</stp>
        <stp>Y</stp>
        <stp>Fill=B</stp>
        <tr r="H103" s="8"/>
      </tp>
      <tp>
        <v>-355</v>
        <stp/>
        <stp>##V3_BDPV12</stp>
        <stp>AAPL US EQUITY</stp>
        <stp>CF_DECR_CAP_STOCK</stp>
        <stp>[XIDA.xlsm]Financials!R103C9</stp>
        <stp>EQY_FUND_RELATIVE_PERIOD</stp>
        <stp>-8FY</stp>
        <stp>EQY_FUND_CRNCY</stp>
        <stp>USD</stp>
        <stp>EQY_CONSOLIDATED</stp>
        <stp>Y</stp>
        <stp>Fill=B</stp>
        <tr r="I103" s="8"/>
      </tp>
      <tp>
        <v>-38.855550000000001</v>
        <stp/>
        <stp>##V3_BDPV12</stp>
        <stp>066570 KS EQUITY</stp>
        <stp>CUST_TRR_RETURN_HOLDING_PER</stp>
        <stp>[XIDA.xlsm]DataH!R26C7</stp>
        <stp>CUST_TRR_START_DT</stp>
        <stp>20150224</stp>
        <stp>CUST_TRR_END_DT</stp>
        <stp>20150824</stp>
        <stp>CUST_TRR_CRNCY</stp>
        <stp>USD</stp>
        <tr r="G26" s="16"/>
      </tp>
      <tp t="s">
        <v>#N/A Requesting Data...</v>
        <stp/>
        <stp>##V3_BDSV12</stp>
        <stp>AAPL US EQUITY</stp>
        <stp>BEST_NET_INCOME_BRK_GRID</stp>
        <stp>[XIDA.xlsm]DataH!R8C83</stp>
        <stp>BEST_FPERIOD_OVERRIDE</stp>
        <stp>1FQ</stp>
        <stp>STARTCOL=6</stp>
        <stp>ENDCOL=6</stp>
        <stp>EQY_FUND_CRNCY</stp>
        <stp>USD</stp>
        <stp>BEST_CONSOLIDATED_OVERRIDE</stp>
        <stp>C</stp>
        <tr r="CE8" s="16"/>
      </tp>
      <tp>
        <v>9004.3885498383224</v>
        <stp/>
        <stp>##V3_BDPV12</stp>
        <stp>ALU FP EQUITY</stp>
        <stp>CRNCY_ADJ_MKT_CAP</stp>
        <stp>[XIDA.xlsm]Peers!R24C14</stp>
        <stp>EQY_FUND_CRNCY</stp>
        <stp>USD</stp>
        <tr r="N24" s="4"/>
        <tr r="N24" s="4"/>
      </tp>
      <tp>
        <v>0</v>
        <stp/>
        <stp>##V3_BDPV12</stp>
        <stp>AAPL US EQUITY</stp>
        <stp>CF_DISP_FIX_ASSET</stp>
        <stp>[XIDA.xlsm]Financials!R91C7</stp>
        <stp>EQY_FUND_RELATIVE_PERIOD</stp>
        <stp>-10FY</stp>
        <stp>EQY_FUND_CRNCY</stp>
        <stp>USD</stp>
        <stp>EQY_CONSOLIDATED</stp>
        <stp>Y</stp>
        <stp>Fill=B</stp>
        <tr r="G91" s="8"/>
      </tp>
      <tp>
        <v>6.1622291021671822</v>
        <stp/>
        <stp>##V3_BDPV12</stp>
        <stp>AAPL US EQUITY</stp>
        <stp>ACCOUNTS_PAYABLE_TURNOVER</stp>
        <stp>[XIDA.xlsm]Financials!R143C8</stp>
        <stp>EQY_FUND_RELATIVE_PERIOD</stp>
        <stp>-9FY</stp>
        <stp>EQY_FUND_CRNCY</stp>
        <stp>USD</stp>
        <stp>EQY_CONSOLIDATED</stp>
        <stp>Y</stp>
        <stp>Fill=B</stp>
        <tr r="H143" s="8"/>
      </tp>
      <tp>
        <v>5.3480363706713101</v>
        <stp/>
        <stp>##V3_BDPV12</stp>
        <stp>AAPL US EQUITY</stp>
        <stp>ACCOUNTS_PAYABLE_TURNOVER</stp>
        <stp>[XIDA.xlsm]Financials!R143C9</stp>
        <stp>EQY_FUND_RELATIVE_PERIOD</stp>
        <stp>-8FY</stp>
        <stp>EQY_FUND_CRNCY</stp>
        <stp>USD</stp>
        <stp>EQY_CONSOLIDATED</stp>
        <stp>Y</stp>
        <stp>Fill=B</stp>
        <tr r="I143" s="8"/>
      </tp>
      <tp>
        <v>257532.2</v>
        <stp/>
        <stp>##V3_BDPV12</stp>
        <stp>AAPL US EQUITY</stp>
        <stp>BEST_SALES</stp>
        <stp>[XIDA.xlsm]Financials!R14C20</stp>
        <stp>BEST_FPERIOD_OVERRIDE</stp>
        <stp>3FY</stp>
        <stp>EQY_FUND_CRNCY</stp>
        <stp>USD</stp>
        <stp>BEST_CONSOLIDATED_OVERRIDE</stp>
        <stp>C</stp>
        <stp>Fill=B</stp>
        <tr r="T14" s="8"/>
      </tp>
      <tp>
        <v>0.19117471383014786</v>
        <stp/>
        <stp>##V3_BDPV12</stp>
        <stp>BB CN EQUITY</stp>
        <stp>BEST_PX_SALES_RATIO</stp>
        <stp>[XIDA.xlsm]DataH!R24C8</stp>
        <stp>BEST_FPERIOD_OVERRIDE</stp>
        <stp>11BC</stp>
        <stp>EQY_CONSOLIDATED</stp>
        <stp>Y</stp>
        <tr r="H24" s="16"/>
      </tp>
      <tp t="s">
        <v>12/2014</v>
        <stp/>
        <stp>##V3_BDPV12</stp>
        <stp>066570 KS EQUITY</stp>
        <stp>EQY_FISCAL_YR_END</stp>
        <stp>[XIDA.xlsm]Peers!R21C29</stp>
        <tr r="AC21" s="4"/>
      </tp>
      <tp>
        <v>276</v>
        <stp/>
        <stp>##V3_BDPV12</stp>
        <stp>AAPL US EQUITY</stp>
        <stp>IS_INC_BEF_XO_ITEM</stp>
        <stp>[XIDA.xlsm]Financials!R29C7</stp>
        <stp>EQY_FUND_RELATIVE_PERIOD</stp>
        <stp>-10FY</stp>
        <stp>EQY_FUND_CRNCY</stp>
        <stp>USD</stp>
        <stp>EQY_CONSOLIDATED</stp>
        <stp>Y</stp>
        <stp>Fill=B</stp>
        <tr r="G29" s="8"/>
      </tp>
      <tp>
        <v>5866.1610000000001</v>
        <stp/>
        <stp>##V3_BDPV12</stp>
        <stp>AAPL US EQUITY</stp>
        <stp>BS_SH_OUT</stp>
        <stp>[XIDA.xlsm]Owners!R9C5</stp>
        <tr r="E9" s="14"/>
      </tp>
      <tp>
        <v>0.30650625813225285</v>
        <stp/>
        <stp>##V3_BDPV12</stp>
        <stp>BB CN EQUITY</stp>
        <stp>BEST_PX_SALES_RATIO</stp>
        <stp>[XIDA.xlsm]DataH!R24C9</stp>
        <stp>BEST_FPERIOD_OVERRIDE</stp>
        <stp>12BC</stp>
        <stp>EQY_CONSOLIDATED</stp>
        <stp>Y</stp>
        <tr r="I24" s="16"/>
      </tp>
      <tp>
        <v>0</v>
        <stp/>
        <stp>##V3_BDPV12</stp>
        <stp>AAPL US EQUITY</stp>
        <stp>BS_PFD_EQY</stp>
        <stp>[XIDA.xlsm]Financials!R72C7</stp>
        <stp>EQY_FUND_RELATIVE_PERIOD</stp>
        <stp>-10FY</stp>
        <stp>EQY_FUND_CRNCY</stp>
        <stp>USD</stp>
        <stp>EQY_CONSOLIDATED</stp>
        <stp>Y</stp>
        <stp>Fill=B</stp>
        <tr r="G72" s="8"/>
      </tp>
      <tp>
        <v>2841</v>
        <stp/>
        <stp>##V3_BDPV12</stp>
        <stp>AAPL US EQUITY</stp>
        <stp>BS_GROSS_FIX_ASSET</stp>
        <stp>[XIDA.xlsm]Financials!R57C10</stp>
        <stp>EQY_FUND_RELATIVE_PERIOD</stp>
        <stp>-7FY</stp>
        <stp>EQY_FUND_CRNCY</stp>
        <stp>USD</stp>
        <stp>EQY_CONSOLIDATED</stp>
        <stp>Y</stp>
        <stp>Fill=B</stp>
        <tr r="J57" s="8"/>
      </tp>
      <tp>
        <v>3747</v>
        <stp/>
        <stp>##V3_BDPV12</stp>
        <stp>AAPL US EQUITY</stp>
        <stp>BS_GROSS_FIX_ASSET</stp>
        <stp>[XIDA.xlsm]Financials!R57C11</stp>
        <stp>EQY_FUND_RELATIVE_PERIOD</stp>
        <stp>-6FY</stp>
        <stp>EQY_FUND_CRNCY</stp>
        <stp>USD</stp>
        <stp>EQY_CONSOLIDATED</stp>
        <stp>Y</stp>
        <stp>Fill=B</stp>
        <tr r="K57" s="8"/>
      </tp>
      <tp>
        <v>4667</v>
        <stp/>
        <stp>##V3_BDPV12</stp>
        <stp>AAPL US EQUITY</stp>
        <stp>BS_GROSS_FIX_ASSET</stp>
        <stp>[XIDA.xlsm]Financials!R57C12</stp>
        <stp>EQY_FUND_RELATIVE_PERIOD</stp>
        <stp>-5FY</stp>
        <stp>EQY_FUND_CRNCY</stp>
        <stp>USD</stp>
        <stp>EQY_CONSOLIDATED</stp>
        <stp>Y</stp>
        <stp>Fill=B</stp>
        <tr r="L57" s="8"/>
      </tp>
      <tp>
        <v>7234</v>
        <stp/>
        <stp>##V3_BDPV12</stp>
        <stp>AAPL US EQUITY</stp>
        <stp>BS_GROSS_FIX_ASSET</stp>
        <stp>[XIDA.xlsm]Financials!R57C13</stp>
        <stp>EQY_FUND_RELATIVE_PERIOD</stp>
        <stp>-4FY</stp>
        <stp>EQY_FUND_CRNCY</stp>
        <stp>USD</stp>
        <stp>EQY_CONSOLIDATED</stp>
        <stp>Y</stp>
        <stp>Fill=B</stp>
        <tr r="M57" s="8"/>
      </tp>
      <tp>
        <v>11768</v>
        <stp/>
        <stp>##V3_BDPV12</stp>
        <stp>AAPL US EQUITY</stp>
        <stp>BS_GROSS_FIX_ASSET</stp>
        <stp>[XIDA.xlsm]Financials!R57C14</stp>
        <stp>EQY_FUND_RELATIVE_PERIOD</stp>
        <stp>-3FY</stp>
        <stp>EQY_FUND_CRNCY</stp>
        <stp>USD</stp>
        <stp>EQY_CONSOLIDATED</stp>
        <stp>Y</stp>
        <stp>Fill=B</stp>
        <tr r="N57" s="8"/>
      </tp>
      <tp>
        <v>21887</v>
        <stp/>
        <stp>##V3_BDPV12</stp>
        <stp>AAPL US EQUITY</stp>
        <stp>BS_GROSS_FIX_ASSET</stp>
        <stp>[XIDA.xlsm]Financials!R57C15</stp>
        <stp>EQY_FUND_RELATIVE_PERIOD</stp>
        <stp>-2FY</stp>
        <stp>EQY_FUND_CRNCY</stp>
        <stp>USD</stp>
        <stp>EQY_CONSOLIDATED</stp>
        <stp>Y</stp>
        <stp>Fill=B</stp>
        <tr r="O57" s="8"/>
      </tp>
      <tp>
        <v>28519</v>
        <stp/>
        <stp>##V3_BDPV12</stp>
        <stp>AAPL US EQUITY</stp>
        <stp>BS_GROSS_FIX_ASSET</stp>
        <stp>[XIDA.xlsm]Financials!R57C16</stp>
        <stp>EQY_FUND_RELATIVE_PERIOD</stp>
        <stp>-1FY</stp>
        <stp>EQY_FUND_CRNCY</stp>
        <stp>USD</stp>
        <stp>EQY_CONSOLIDATED</stp>
        <stp>Y</stp>
        <stp>Fill=B</stp>
        <tr r="P57" s="8"/>
      </tp>
      <tp>
        <v>39015</v>
        <stp/>
        <stp>##V3_BDPV12</stp>
        <stp>AAPL US EQUITY</stp>
        <stp>BS_GROSS_FIX_ASSET</stp>
        <stp>[XIDA.xlsm]Financials!R57C17</stp>
        <stp>EQY_FUND_RELATIVE_PERIOD</stp>
        <stp>-0FY</stp>
        <stp>EQY_FUND_CRNCY</stp>
        <stp>USD</stp>
        <stp>EQY_CONSOLIDATED</stp>
        <stp>Y</stp>
        <stp>Fill=B</stp>
        <tr r="Q57" s="8"/>
      </tp>
      <tp t="s">
        <v>JPY</v>
        <stp/>
        <stp>##V3_BDPV12</stp>
        <stp>6758 JP EQUITY</stp>
        <stp>CRNCY</stp>
        <stp>[XIDA.xlsm]Peers!R20C11</stp>
        <tr r="K20" s="4"/>
      </tp>
      <tp>
        <v>53.331168831168831</v>
        <stp/>
        <stp>##V3_BDPV12</stp>
        <stp>AAPL US EQUITY</stp>
        <stp>INVENT_TURN</stp>
        <stp>[XIDA.xlsm]Financials!R144C10</stp>
        <stp>EQY_FUND_RELATIVE_PERIOD</stp>
        <stp>-7FY</stp>
        <stp>EQY_FUND_CRNCY</stp>
        <stp>USD</stp>
        <stp>EQY_CONSOLIDATED</stp>
        <stp>Y</stp>
        <stp>Fill=B</stp>
        <tr r="J144" s="8"/>
      </tp>
      <tp>
        <v>56.828070175438597</v>
        <stp/>
        <stp>##V3_BDPV12</stp>
        <stp>AAPL US EQUITY</stp>
        <stp>INVENT_TURN</stp>
        <stp>[XIDA.xlsm]Financials!R144C11</stp>
        <stp>EQY_FUND_RELATIVE_PERIOD</stp>
        <stp>-6FY</stp>
        <stp>EQY_FUND_CRNCY</stp>
        <stp>USD</stp>
        <stp>EQY_CONSOLIDATED</stp>
        <stp>Y</stp>
        <stp>Fill=B</stp>
        <tr r="K144" s="8"/>
      </tp>
      <tp>
        <v>53.284232365145229</v>
        <stp/>
        <stp>##V3_BDPV12</stp>
        <stp>AAPL US EQUITY</stp>
        <stp>INVENT_TURN</stp>
        <stp>[XIDA.xlsm]Financials!R144C12</stp>
        <stp>EQY_FUND_RELATIVE_PERIOD</stp>
        <stp>-5FY</stp>
        <stp>EQY_FUND_CRNCY</stp>
        <stp>USD</stp>
        <stp>EQY_CONSOLIDATED</stp>
        <stp>Y</stp>
        <stp>Fill=B</stp>
        <tr r="L144" s="8"/>
      </tp>
      <tp>
        <v>52.51128818061089</v>
        <stp/>
        <stp>##V3_BDPV12</stp>
        <stp>AAPL US EQUITY</stp>
        <stp>INVENT_TURN</stp>
        <stp>[XIDA.xlsm]Financials!R144C13</stp>
        <stp>EQY_FUND_RELATIVE_PERIOD</stp>
        <stp>-4FY</stp>
        <stp>EQY_FUND_CRNCY</stp>
        <stp>USD</stp>
        <stp>EQY_CONSOLIDATED</stp>
        <stp>Y</stp>
        <stp>Fill=B</stp>
        <tr r="M144" s="8"/>
      </tp>
      <tp>
        <v>70.532019704433495</v>
        <stp/>
        <stp>##V3_BDPV12</stp>
        <stp>AAPL US EQUITY</stp>
        <stp>INVENT_TURN</stp>
        <stp>[XIDA.xlsm]Financials!R144C14</stp>
        <stp>EQY_FUND_RELATIVE_PERIOD</stp>
        <stp>-3FY</stp>
        <stp>EQY_FUND_CRNCY</stp>
        <stp>USD</stp>
        <stp>EQY_CONSOLIDATED</stp>
        <stp>Y</stp>
        <stp>Fill=B</stp>
        <tr r="N144" s="8"/>
      </tp>
      <tp>
        <v>112.11997447351628</v>
        <stp/>
        <stp>##V3_BDPV12</stp>
        <stp>AAPL US EQUITY</stp>
        <stp>INVENT_TURN</stp>
        <stp>[XIDA.xlsm]Financials!R144C15</stp>
        <stp>EQY_FUND_RELATIVE_PERIOD</stp>
        <stp>-2FY</stp>
        <stp>EQY_FUND_CRNCY</stp>
        <stp>USD</stp>
        <stp>EQY_CONSOLIDATED</stp>
        <stp>Y</stp>
        <stp>Fill=B</stp>
        <tr r="O144" s="8"/>
      </tp>
      <tp>
        <v>83.44892367906067</v>
        <stp/>
        <stp>##V3_BDPV12</stp>
        <stp>AAPL US EQUITY</stp>
        <stp>INVENT_TURN</stp>
        <stp>[XIDA.xlsm]Financials!R144C16</stp>
        <stp>EQY_FUND_RELATIVE_PERIOD</stp>
        <stp>-1FY</stp>
        <stp>EQY_FUND_CRNCY</stp>
        <stp>USD</stp>
        <stp>EQY_CONSOLIDATED</stp>
        <stp>Y</stp>
        <stp>Fill=B</stp>
        <tr r="P144" s="8"/>
      </tp>
      <tp>
        <v>57.939612903225807</v>
        <stp/>
        <stp>##V3_BDPV12</stp>
        <stp>AAPL US EQUITY</stp>
        <stp>INVENT_TURN</stp>
        <stp>[XIDA.xlsm]Financials!R144C17</stp>
        <stp>EQY_FUND_RELATIVE_PERIOD</stp>
        <stp>-0FY</stp>
        <stp>EQY_FUND_CRNCY</stp>
        <stp>USD</stp>
        <stp>EQY_CONSOLIDATED</stp>
        <stp>Y</stp>
        <stp>Fill=B</stp>
        <tr r="Q144" s="8"/>
      </tp>
      <tp>
        <v>0</v>
        <stp/>
        <stp>##V3_BDPV12</stp>
        <stp>AAPL US EQUITY</stp>
        <stp>CF_DISP_FIX_ASSET</stp>
        <stp>[XIDA.xlsm]Financials!R91C8</stp>
        <stp>EQY_FUND_RELATIVE_PERIOD</stp>
        <stp>-9FY</stp>
        <stp>EQY_FUND_CRNCY</stp>
        <stp>USD</stp>
        <stp>EQY_CONSOLIDATED</stp>
        <stp>Y</stp>
        <stp>Fill=B</stp>
        <tr r="H91" s="8"/>
      </tp>
      <tp>
        <v>0</v>
        <stp/>
        <stp>##V3_BDPV12</stp>
        <stp>AAPL US EQUITY</stp>
        <stp>CF_DISP_FIX_ASSET</stp>
        <stp>[XIDA.xlsm]Financials!R91C9</stp>
        <stp>EQY_FUND_RELATIVE_PERIOD</stp>
        <stp>-8FY</stp>
        <stp>EQY_FUND_CRNCY</stp>
        <stp>USD</stp>
        <stp>EQY_CONSOLIDATED</stp>
        <stp>Y</stp>
        <stp>Fill=B</stp>
        <tr r="I91" s="8"/>
      </tp>
      <tp>
        <v>-7</v>
        <stp/>
        <stp>##V3_BDPV12</stp>
        <stp>AAPL US EQUITY</stp>
        <stp>CF_CHNG_NON_CASH_WORK_CAP</stp>
        <stp>[XIDA.xlsm]Financials!R88C8</stp>
        <stp>EQY_FUND_RELATIVE_PERIOD</stp>
        <stp>-9FY</stp>
        <stp>EQY_FUND_CRNCY</stp>
        <stp>USD</stp>
        <stp>EQY_CONSOLIDATED</stp>
        <stp>Y</stp>
        <stp>Fill=B</stp>
        <tr r="H88" s="8"/>
      </tp>
      <tp>
        <v>-477</v>
        <stp/>
        <stp>##V3_BDPV12</stp>
        <stp>AAPL US EQUITY</stp>
        <stp>CF_CHNG_NON_CASH_WORK_CAP</stp>
        <stp>[XIDA.xlsm]Financials!R88C9</stp>
        <stp>EQY_FUND_RELATIVE_PERIOD</stp>
        <stp>-8FY</stp>
        <stp>EQY_FUND_CRNCY</stp>
        <stp>USD</stp>
        <stp>EQY_CONSOLIDATED</stp>
        <stp>Y</stp>
        <stp>Fill=B</stp>
        <tr r="I88" s="8"/>
      </tp>
      <tp>
        <v>1705</v>
        <stp/>
        <stp>##V3_BDPV12</stp>
        <stp>AAPL US EQUITY</stp>
        <stp>BS_OTHER_ST_LIAB</stp>
        <stp>[XIDA.xlsm]Financials!R65C8</stp>
        <stp>EQY_FUND_RELATIVE_PERIOD</stp>
        <stp>-9FY</stp>
        <stp>EQY_FUND_CRNCY</stp>
        <stp>USD</stp>
        <stp>EQY_CONSOLIDATED</stp>
        <stp>Y</stp>
        <stp>Fill=B</stp>
        <tr r="H65" s="8"/>
      </tp>
      <tp>
        <v>3081</v>
        <stp/>
        <stp>##V3_BDPV12</stp>
        <stp>AAPL US EQUITY</stp>
        <stp>BS_OTHER_ST_LIAB</stp>
        <stp>[XIDA.xlsm]Financials!R65C9</stp>
        <stp>EQY_FUND_RELATIVE_PERIOD</stp>
        <stp>-8FY</stp>
        <stp>EQY_FUND_CRNCY</stp>
        <stp>USD</stp>
        <stp>EQY_CONSOLIDATED</stp>
        <stp>Y</stp>
        <stp>Fill=B</stp>
        <tr r="I65" s="8"/>
      </tp>
      <tp>
        <v>0</v>
        <stp/>
        <stp>##V3_BDPV12</stp>
        <stp>AAPL US EQUITY</stp>
        <stp>DVD_PAYOUT_RATIO</stp>
        <stp>[XIDA.xlsm]Financials!R38C8</stp>
        <stp>EQY_FUND_RELATIVE_PERIOD</stp>
        <stp>-9FY</stp>
        <stp>EQY_FUND_CRNCY</stp>
        <stp>USD</stp>
        <stp>EQY_CONSOLIDATED</stp>
        <stp>Y</stp>
        <stp>Fill=B</stp>
        <tr r="H38" s="8"/>
      </tp>
      <tp>
        <v>0</v>
        <stp/>
        <stp>##V3_BDPV12</stp>
        <stp>AAPL US EQUITY</stp>
        <stp>DVD_PAYOUT_RATIO</stp>
        <stp>[XIDA.xlsm]Financials!R38C9</stp>
        <stp>EQY_FUND_RELATIVE_PERIOD</stp>
        <stp>-8FY</stp>
        <stp>EQY_FUND_CRNCY</stp>
        <stp>USD</stp>
        <stp>EQY_CONSOLIDATED</stp>
        <stp>Y</stp>
        <stp>Fill=B</stp>
        <tr r="I38" s="8"/>
      </tp>
      <tp>
        <v>27.61</v>
        <stp/>
        <stp>##V3_BDHV12</stp>
        <stp>CSCO US EQUITY</stp>
        <stp>PX_LAST</stp>
        <stp>1/1/2015</stp>
        <stp>4/13/2015</stp>
        <stp>[XIDA.xlsm]PricesH!R4C6</stp>
        <stp>Dts=H</stp>
        <stp>FX=USD</stp>
        <stp>CDR=US</stp>
        <stp/>
        <stp>PER=CD</stp>
        <stp>cols=1;rows=69</stp>
        <tr r="F4" s="6"/>
      </tp>
      <tp>
        <v>245657.14</v>
        <stp/>
        <stp>##V3_BDPV12</stp>
        <stp>AAPL US EQUITY</stp>
        <stp>BEST_SALES</stp>
        <stp>[XIDA.xlsm]Financials!R14C19</stp>
        <stp>BEST_FPERIOD_OVERRIDE</stp>
        <stp>2FY</stp>
        <stp>EQY_FUND_CRNCY</stp>
        <stp>USD</stp>
        <stp>BEST_CONSOLIDATED_OVERRIDE</stp>
        <stp>C</stp>
        <stp>Fill=B</stp>
        <tr r="S14" s="8"/>
      </tp>
      <tp>
        <v>233336.27900000001</v>
        <stp/>
        <stp>##V3_BDPV12</stp>
        <stp>AAPL US EQUITY</stp>
        <stp>BEST_SALES</stp>
        <stp>[XIDA.xlsm]Financials!R14C18</stp>
        <stp>BEST_FPERIOD_OVERRIDE</stp>
        <stp>1FY</stp>
        <stp>EQY_FUND_CRNCY</stp>
        <stp>USD</stp>
        <stp>BEST_CONSOLIDATED_OVERRIDE</stp>
        <stp>C</stp>
        <stp>Fill=B</stp>
        <tr r="R14" s="8"/>
      </tp>
      <tp>
        <v>6020</v>
        <stp/>
        <stp>##V3_BDPV12</stp>
        <stp>AAPL US EQUITY</stp>
        <stp>IS_COGS_TO_FE_AND_PP_AND_G</stp>
        <stp>[XIDA.xlsm]Financials!R15C7</stp>
        <stp>EQY_FUND_RELATIVE_PERIOD</stp>
        <stp>-10FY</stp>
        <stp>EQY_FUND_CRNCY</stp>
        <stp>USD</stp>
        <stp>EQY_CONSOLIDATED</stp>
        <stp>Y</stp>
        <stp>Fill=B</stp>
        <tr r="G15" s="8"/>
      </tp>
      <tp>
        <v>-26.37679</v>
        <stp/>
        <stp>##V3_BDPV12</stp>
        <stp>005930 KS EQUITY</stp>
        <stp>CUST_TRR_RETURN_HOLDING_PER</stp>
        <stp>[XIDA.xlsm]DataH!R23C7</stp>
        <stp>CUST_TRR_START_DT</stp>
        <stp>20150224</stp>
        <stp>CUST_TRR_END_DT</stp>
        <stp>20150824</stp>
        <stp>CUST_TRR_CRNCY</stp>
        <stp>USD</stp>
        <tr r="G23" s="16"/>
      </tp>
      <tp>
        <v>40.24</v>
        <stp/>
        <stp>##V3_BDHV12</stp>
        <stp>HPQ US EQUITY</stp>
        <stp>PX_LAST</stp>
        <stp>1/1/2015</stp>
        <stp>4/13/2015</stp>
        <stp>[XIDA.xlsm]Indices!R10C36</stp>
        <stp>Dts=H</stp>
        <stp>FX=USD</stp>
        <stp>CDR=US</stp>
        <stp/>
        <stp>PER=CD</stp>
        <stp>cols=1;rows=69</stp>
        <tr r="AJ10" s="5"/>
      </tp>
      <tp>
        <v>0</v>
        <stp/>
        <stp>##V3_BDPV12</stp>
        <stp>AAPL US EQUITY</stp>
        <stp>CF_INCR_ST_BORROW</stp>
        <stp>[XIDA.xlsm]Financials!R99C7</stp>
        <stp>EQY_FUND_RELATIVE_PERIOD</stp>
        <stp>-10FY</stp>
        <stp>EQY_FUND_CRNCY</stp>
        <stp>USD</stp>
        <stp>EQY_CONSOLIDATED</stp>
        <stp>Y</stp>
        <stp>Fill=B</stp>
        <tr r="G99" s="8"/>
      </tp>
      <tp>
        <v>233336.27900000001</v>
        <stp/>
        <stp>##V3_BDPV12</stp>
        <stp>AAPL US EQUITY</stp>
        <stp>BEST_SALES</stp>
        <stp>[XIDA.xlsm]Overview!R43C9</stp>
        <stp>BEST_FPERIOD_OVERRIDE</stp>
        <stp>1FY</stp>
        <stp>BEST_CONSOLIDATED_OVERRIDE</stp>
        <stp>C</stp>
        <tr r="I43" s="3"/>
        <tr r="I43" s="3"/>
      </tp>
      <tp>
        <v>3495</v>
        <stp/>
        <stp>##V3_BDPV12</stp>
        <stp>AAPL US EQUITY</stp>
        <stp>CF_NET_INC</stp>
        <stp>[XIDA.xlsm]Financials!R85C10</stp>
        <stp>EQY_FUND_RELATIVE_PERIOD</stp>
        <stp>-7FY</stp>
        <stp>EQY_FUND_CRNCY</stp>
        <stp>USD</stp>
        <stp>EQY_CONSOLIDATED</stp>
        <stp>Y</stp>
        <stp>Fill=B</stp>
        <tr r="J85" s="8"/>
      </tp>
      <tp>
        <v>6119</v>
        <stp/>
        <stp>##V3_BDPV12</stp>
        <stp>AAPL US EQUITY</stp>
        <stp>CF_NET_INC</stp>
        <stp>[XIDA.xlsm]Financials!R85C11</stp>
        <stp>EQY_FUND_RELATIVE_PERIOD</stp>
        <stp>-6FY</stp>
        <stp>EQY_FUND_CRNCY</stp>
        <stp>USD</stp>
        <stp>EQY_CONSOLIDATED</stp>
        <stp>Y</stp>
        <stp>Fill=B</stp>
        <tr r="K85" s="8"/>
      </tp>
      <tp>
        <v>8235</v>
        <stp/>
        <stp>##V3_BDPV12</stp>
        <stp>AAPL US EQUITY</stp>
        <stp>CF_NET_INC</stp>
        <stp>[XIDA.xlsm]Financials!R85C12</stp>
        <stp>EQY_FUND_RELATIVE_PERIOD</stp>
        <stp>-5FY</stp>
        <stp>EQY_FUND_CRNCY</stp>
        <stp>USD</stp>
        <stp>EQY_CONSOLIDATED</stp>
        <stp>Y</stp>
        <stp>Fill=B</stp>
        <tr r="L85" s="8"/>
      </tp>
      <tp>
        <v>14013</v>
        <stp/>
        <stp>##V3_BDPV12</stp>
        <stp>AAPL US EQUITY</stp>
        <stp>CF_NET_INC</stp>
        <stp>[XIDA.xlsm]Financials!R85C13</stp>
        <stp>EQY_FUND_RELATIVE_PERIOD</stp>
        <stp>-4FY</stp>
        <stp>EQY_FUND_CRNCY</stp>
        <stp>USD</stp>
        <stp>EQY_CONSOLIDATED</stp>
        <stp>Y</stp>
        <stp>Fill=B</stp>
        <tr r="M85" s="8"/>
      </tp>
      <tp>
        <v>25922</v>
        <stp/>
        <stp>##V3_BDPV12</stp>
        <stp>AAPL US EQUITY</stp>
        <stp>CF_NET_INC</stp>
        <stp>[XIDA.xlsm]Financials!R85C14</stp>
        <stp>EQY_FUND_RELATIVE_PERIOD</stp>
        <stp>-3FY</stp>
        <stp>EQY_FUND_CRNCY</stp>
        <stp>USD</stp>
        <stp>EQY_CONSOLIDATED</stp>
        <stp>Y</stp>
        <stp>Fill=B</stp>
        <tr r="N85" s="8"/>
      </tp>
      <tp>
        <v>41733</v>
        <stp/>
        <stp>##V3_BDPV12</stp>
        <stp>AAPL US EQUITY</stp>
        <stp>CF_NET_INC</stp>
        <stp>[XIDA.xlsm]Financials!R85C15</stp>
        <stp>EQY_FUND_RELATIVE_PERIOD</stp>
        <stp>-2FY</stp>
        <stp>EQY_FUND_CRNCY</stp>
        <stp>USD</stp>
        <stp>EQY_CONSOLIDATED</stp>
        <stp>Y</stp>
        <stp>Fill=B</stp>
        <tr r="O85" s="8"/>
      </tp>
      <tp>
        <v>37037</v>
        <stp/>
        <stp>##V3_BDPV12</stp>
        <stp>AAPL US EQUITY</stp>
        <stp>CF_NET_INC</stp>
        <stp>[XIDA.xlsm]Financials!R85C16</stp>
        <stp>EQY_FUND_RELATIVE_PERIOD</stp>
        <stp>-1FY</stp>
        <stp>EQY_FUND_CRNCY</stp>
        <stp>USD</stp>
        <stp>EQY_CONSOLIDATED</stp>
        <stp>Y</stp>
        <stp>Fill=B</stp>
        <tr r="P85" s="8"/>
      </tp>
      <tp>
        <v>39510</v>
        <stp/>
        <stp>##V3_BDPV12</stp>
        <stp>AAPL US EQUITY</stp>
        <stp>CF_NET_INC</stp>
        <stp>[XIDA.xlsm]Financials!R85C17</stp>
        <stp>EQY_FUND_RELATIVE_PERIOD</stp>
        <stp>-0FY</stp>
        <stp>EQY_FUND_CRNCY</stp>
        <stp>USD</stp>
        <stp>EQY_CONSOLIDATED</stp>
        <stp>Y</stp>
        <stp>Fill=B</stp>
        <tr r="Q85" s="8"/>
      </tp>
      <tp>
        <v>3.4520181193359756</v>
        <stp/>
        <stp>##V3_BDPV12</stp>
        <stp>AAPL US EQUITY</stp>
        <stp>PX_TO_SALES_RATIO</stp>
        <stp>[XIDA.xlsm]Overview!R36C5</stp>
        <stp>EQY_FUND_RELATIVE_PERIOD</stp>
        <stp>-3FY</stp>
        <stp>EQY_CONSOLIDATED</stp>
        <stp>Y</stp>
        <stp>Fill=-</stp>
        <tr r="E36" s="3"/>
      </tp>
      <tp>
        <v>2.6136770244573166</v>
        <stp/>
        <stp>##V3_BDPV12</stp>
        <stp>AAPL US EQUITY</stp>
        <stp>PX_TO_SALES_RATIO</stp>
        <stp>[XIDA.xlsm]Overview!R36C7</stp>
        <stp>EQY_FUND_RELATIVE_PERIOD</stp>
        <stp>-1FY</stp>
        <stp>EQY_CONSOLIDATED</stp>
        <stp>Y</stp>
        <stp>Fill=-</stp>
        <tr r="G36" s="3"/>
      </tp>
      <tp>
        <v>3.9845999047333045</v>
        <stp/>
        <stp>##V3_BDPV12</stp>
        <stp>AAPL US EQUITY</stp>
        <stp>PX_TO_SALES_RATIO</stp>
        <stp>[XIDA.xlsm]Overview!R36C6</stp>
        <stp>EQY_FUND_RELATIVE_PERIOD</stp>
        <stp>-2FY</stp>
        <stp>EQY_CONSOLIDATED</stp>
        <stp>Y</stp>
        <stp>Fill=-</stp>
        <tr r="F36" s="3"/>
      </tp>
      <tp>
        <v>3.3541474274460463</v>
        <stp/>
        <stp>##V3_BDPV12</stp>
        <stp>AAPL US EQUITY</stp>
        <stp>PX_TO_SALES_RATIO</stp>
        <stp>[XIDA.xlsm]Overview!R36C8</stp>
        <stp>EQY_FUND_RELATIVE_PERIOD</stp>
        <stp>-0FY</stp>
        <stp>EQY_CONSOLIDATED</stp>
        <stp>Y</stp>
        <stp>Fill=-</stp>
        <tr r="H36" s="3"/>
      </tp>
      <tp>
        <v>0</v>
        <stp/>
        <stp>##V3_BDPV12</stp>
        <stp>AAPL US EQUITY</stp>
        <stp>CF_REIMB_LT_BORROW</stp>
        <stp>[XIDA.xlsm]Financials!R101C8</stp>
        <stp>EQY_FUND_RELATIVE_PERIOD</stp>
        <stp>-9FY</stp>
        <stp>EQY_FUND_CRNCY</stp>
        <stp>USD</stp>
        <stp>EQY_CONSOLIDATED</stp>
        <stp>Y</stp>
        <stp>Fill=B</stp>
        <tr r="H101" s="8"/>
      </tp>
      <tp>
        <v>0</v>
        <stp/>
        <stp>##V3_BDPV12</stp>
        <stp>AAPL US EQUITY</stp>
        <stp>CF_REIMB_LT_BORROW</stp>
        <stp>[XIDA.xlsm]Financials!R101C9</stp>
        <stp>EQY_FUND_RELATIVE_PERIOD</stp>
        <stp>-8FY</stp>
        <stp>EQY_FUND_CRNCY</stp>
        <stp>USD</stp>
        <stp>EQY_CONSOLIDATED</stp>
        <stp>Y</stp>
        <stp>Fill=B</stp>
        <tr r="I101" s="8"/>
      </tp>
      <tp>
        <v>2535</v>
        <stp/>
        <stp>##V3_BDPV12</stp>
        <stp>AAPL US EQUITY</stp>
        <stp>CF_CASH_FROM_OPER</stp>
        <stp>[XIDA.xlsm]Financials!R89C8</stp>
        <stp>EQY_FUND_RELATIVE_PERIOD</stp>
        <stp>-9FY</stp>
        <stp>EQY_FUND_CRNCY</stp>
        <stp>USD</stp>
        <stp>EQY_CONSOLIDATED</stp>
        <stp>Y</stp>
        <stp>Fill=B</stp>
        <tr r="H89" s="8"/>
      </tp>
      <tp>
        <v>2220</v>
        <stp/>
        <stp>##V3_BDPV12</stp>
        <stp>AAPL US EQUITY</stp>
        <stp>CF_CASH_FROM_OPER</stp>
        <stp>[XIDA.xlsm]Financials!R89C9</stp>
        <stp>EQY_FUND_RELATIVE_PERIOD</stp>
        <stp>-8FY</stp>
        <stp>EQY_FUND_CRNCY</stp>
        <stp>USD</stp>
        <stp>EQY_CONSOLIDATED</stp>
        <stp>Y</stp>
        <stp>Fill=B</stp>
        <tr r="I89" s="8"/>
      </tp>
      <tp>
        <v>4.2154849619519261</v>
        <stp/>
        <stp>##V3_BDPV12</stp>
        <stp>AAPL US EQUITY</stp>
        <stp>OPER_MARGIN</stp>
        <stp>[XIDA.xlsm]Financials!R128C7</stp>
        <stp>EQY_FUND_RELATIVE_PERIOD</stp>
        <stp>-10FY</stp>
        <stp>EQY_FUND_CRNCY</stp>
        <stp>USD</stp>
        <stp>EQY_CONSOLIDATED</stp>
        <stp>Y</stp>
        <stp>Fill=0</stp>
        <tr r="G128" s="8"/>
      </tp>
      <tp>
        <v>3.1970000000000001</v>
        <stp/>
        <stp>##V3_BDPV12</stp>
        <stp>AAPL US EQUITY</stp>
        <stp>BEST_EPS_GAAP</stp>
        <stp>[XIDA.xlsm]DataH!R3C53</stp>
        <stp>BEST_FPERIOD_OVERRIDE</stp>
        <stp>2FQ</stp>
        <stp>BEST_DATA_SOURCE_OVERRIDE</stp>
        <stp>BST</stp>
        <stp>EQY_FUND_CRNCY</stp>
        <stp>USD</stp>
        <stp>BEST_CONSOLIDATED_OVERRIDE</stp>
        <stp>C</stp>
        <tr r="BA3" s="16"/>
      </tp>
      <tp>
        <v>1.887</v>
        <stp/>
        <stp>##V3_BDPV12</stp>
        <stp>AAPL US EQUITY</stp>
        <stp>BEST_EPS_GAAP</stp>
        <stp>[XIDA.xlsm]DataH!R3C52</stp>
        <stp>BEST_FPERIOD_OVERRIDE</stp>
        <stp>1FQ</stp>
        <stp>BEST_DATA_SOURCE_OVERRIDE</stp>
        <stp>BST</stp>
        <stp>EQY_FUND_CRNCY</stp>
        <stp>USD</stp>
        <stp>BEST_CONSOLIDATED_OVERRIDE</stp>
        <stp>C</stp>
        <tr r="AZ3" s="16"/>
      </tp>
      <tp>
        <v>2.44</v>
        <stp/>
        <stp>##V3_BDPV12</stp>
        <stp>AAPL US EQUITY</stp>
        <stp>BEST_EPS_GAAP</stp>
        <stp>[XIDA.xlsm]DataH!R3C55</stp>
        <stp>BEST_FPERIOD_OVERRIDE</stp>
        <stp>3FQ</stp>
        <stp>BEST_DATA_SOURCE_OVERRIDE</stp>
        <stp>BST</stp>
        <stp>EQY_FUND_CRNCY</stp>
        <stp>USD</stp>
        <stp>BEST_CONSOLIDATED_OVERRIDE</stp>
        <stp>C</stp>
        <tr r="BC3" s="16"/>
      </tp>
      <tp>
        <v>3.1960000000000002</v>
        <stp/>
        <stp>##V3_BDPV12</stp>
        <stp>AAPL US EQUITY</stp>
        <stp>BEST_EPS_GAAP</stp>
        <stp>[XIDA.xlsm]DataH!R5C53</stp>
        <stp>BEST_FPERIOD_OVERRIDE</stp>
        <stp>2FQ</stp>
        <stp>BEST_DATA_SOURCE_OVERRIDE</stp>
        <stp>BPE</stp>
        <stp>EQY_FUND_CRNCY</stp>
        <stp>USD</stp>
        <stp>BEST_CONSOLIDATED_OVERRIDE</stp>
        <stp>C</stp>
        <tr r="BA5" s="16"/>
      </tp>
      <tp>
        <v>1.875</v>
        <stp/>
        <stp>##V3_BDPV12</stp>
        <stp>AAPL US EQUITY</stp>
        <stp>BEST_EPS_GAAP</stp>
        <stp>[XIDA.xlsm]DataH!R5C52</stp>
        <stp>BEST_FPERIOD_OVERRIDE</stp>
        <stp>1FQ</stp>
        <stp>BEST_DATA_SOURCE_OVERRIDE</stp>
        <stp>BPE</stp>
        <stp>EQY_FUND_CRNCY</stp>
        <stp>USD</stp>
        <stp>BEST_CONSOLIDATED_OVERRIDE</stp>
        <stp>C</stp>
        <tr r="AZ5" s="16"/>
      </tp>
      <tp>
        <v>2.419</v>
        <stp/>
        <stp>##V3_BDPV12</stp>
        <stp>AAPL US EQUITY</stp>
        <stp>BEST_EPS_GAAP</stp>
        <stp>[XIDA.xlsm]DataH!R5C55</stp>
        <stp>BEST_FPERIOD_OVERRIDE</stp>
        <stp>3FQ</stp>
        <stp>BEST_DATA_SOURCE_OVERRIDE</stp>
        <stp>BPE</stp>
        <stp>EQY_FUND_CRNCY</stp>
        <stp>USD</stp>
        <stp>BEST_CONSOLIDATED_OVERRIDE</stp>
        <stp>C</stp>
        <tr r="BC5" s="16"/>
      </tp>
      <tp>
        <v>2.4290000000000003</v>
        <stp/>
        <stp>##V3_BDPV12</stp>
        <stp>AAPL US EQUITY</stp>
        <stp>BEST_EPS_GAAP</stp>
        <stp>[XIDA.xlsm]DataH!R4C55</stp>
        <stp>BEST_FPERIOD_OVERRIDE</stp>
        <stp>3FQ</stp>
        <stp>BEST_DATA_SOURCE_OVERRIDE</stp>
        <stp>BLI</stp>
        <stp>EQY_FUND_CRNCY</stp>
        <stp>USD</stp>
        <stp>BEST_CONSOLIDATED_OVERRIDE</stp>
        <stp>C</stp>
        <tr r="BC4" s="16"/>
      </tp>
      <tp>
        <v>3.1859999999999999</v>
        <stp/>
        <stp>##V3_BDPV12</stp>
        <stp>AAPL US EQUITY</stp>
        <stp>BEST_EPS_GAAP</stp>
        <stp>[XIDA.xlsm]DataH!R4C53</stp>
        <stp>BEST_FPERIOD_OVERRIDE</stp>
        <stp>2FQ</stp>
        <stp>BEST_DATA_SOURCE_OVERRIDE</stp>
        <stp>BLI</stp>
        <stp>EQY_FUND_CRNCY</stp>
        <stp>USD</stp>
        <stp>BEST_CONSOLIDATED_OVERRIDE</stp>
        <stp>C</stp>
        <tr r="BA4" s="16"/>
      </tp>
      <tp>
        <v>1.885</v>
        <stp/>
        <stp>##V3_BDPV12</stp>
        <stp>AAPL US EQUITY</stp>
        <stp>BEST_EPS_GAAP</stp>
        <stp>[XIDA.xlsm]DataH!R4C52</stp>
        <stp>BEST_FPERIOD_OVERRIDE</stp>
        <stp>1FQ</stp>
        <stp>BEST_DATA_SOURCE_OVERRIDE</stp>
        <stp>BLI</stp>
        <stp>EQY_FUND_CRNCY</stp>
        <stp>USD</stp>
        <stp>BEST_CONSOLIDATED_OVERRIDE</stp>
        <stp>C</stp>
        <tr r="AZ4" s="16"/>
      </tp>
      <tp>
        <v>0.22197227811086623</v>
        <stp/>
        <stp>##V3_BDPV12</stp>
        <stp>AAPL US EQUITY</stp>
        <stp>BEST_NI_ADJ_TO_SALES</stp>
        <stp>[XIDA.xlsm]Overview!R45C10</stp>
        <stp>BEST_FPERIOD_OVERRIDE</stp>
        <stp>2FY</stp>
        <stp>BEST_CONSOLIDATED_OVERRIDE</stp>
        <stp>C</stp>
        <tr r="J45" s="3"/>
        <tr r="J45" s="3"/>
      </tp>
      <tp>
        <v>0.22441163473926756</v>
        <stp/>
        <stp>##V3_BDPV12</stp>
        <stp>AAPL US EQUITY</stp>
        <stp>BEST_NI_ADJ_TO_SALES</stp>
        <stp>[XIDA.xlsm]Overview!R45C11</stp>
        <stp>BEST_FPERIOD_OVERRIDE</stp>
        <stp>3FY</stp>
        <stp>BEST_CONSOLIDATED_OVERRIDE</stp>
        <stp>C</stp>
        <tr r="K45" s="3"/>
        <tr r="K45" s="3"/>
      </tp>
      <tp>
        <v>0</v>
        <stp/>
        <stp>##V3_BDPV12</stp>
        <stp>AAPL US EQUITY</stp>
        <stp>MINORITY_NONCONTROLLING_INTEREST</stp>
        <stp>[XIDA.xlsm]Financials!R73C8</stp>
        <stp>EQY_FUND_RELATIVE_PERIOD</stp>
        <stp>-9FY</stp>
        <stp>EQY_FUND_CRNCY</stp>
        <stp>USD</stp>
        <stp>EQY_CONSOLIDATED</stp>
        <stp>Y</stp>
        <stp>Fill=B</stp>
        <tr r="H73" s="8"/>
      </tp>
      <tp>
        <v>0</v>
        <stp/>
        <stp>##V3_BDPV12</stp>
        <stp>AAPL US EQUITY</stp>
        <stp>MINORITY_NONCONTROLLING_INTEREST</stp>
        <stp>[XIDA.xlsm]Financials!R73C9</stp>
        <stp>EQY_FUND_RELATIVE_PERIOD</stp>
        <stp>-8FY</stp>
        <stp>EQY_FUND_CRNCY</stp>
        <stp>USD</stp>
        <stp>EQY_CONSOLIDATED</stp>
        <stp>Y</stp>
        <stp>Fill=B</stp>
        <tr r="I73" s="8"/>
      </tp>
      <tp>
        <v>85131.111000000004</v>
        <stp/>
        <stp>##V3_BDPV12</stp>
        <stp>AAPL US EQUITY</stp>
        <stp>BEST_EBITDA</stp>
        <stp>[XIDA.xlsm]Overview!R43C10</stp>
        <stp>BEST_FPERIOD_OVERRIDE</stp>
        <stp>2FY</stp>
        <stp>BEST_CONSOLIDATED_OVERRIDE</stp>
        <stp>C</stp>
        <tr r="J43" s="3"/>
        <tr r="J43" s="3"/>
      </tp>
      <tp>
        <v>87718.167000000001</v>
        <stp/>
        <stp>##V3_BDPV12</stp>
        <stp>AAPL US EQUITY</stp>
        <stp>BEST_EBITDA</stp>
        <stp>[XIDA.xlsm]Overview!R43C11</stp>
        <stp>BEST_FPERIOD_OVERRIDE</stp>
        <stp>3FY</stp>
        <stp>BEST_CONSOLIDATED_OVERRIDE</stp>
        <stp>C</stp>
        <tr r="K43" s="3"/>
        <tr r="K43" s="3"/>
      </tp>
      <tp t="s">
        <v>S&amp;P 500 INDEX</v>
        <stp/>
        <stp>##V3_BDPV12</stp>
        <stp>SPX INDEX</stp>
        <stp>NAME</stp>
        <stp>[XIDA.xlsm]Indices!R8C29</stp>
        <tr r="AC8" s="5"/>
      </tp>
      <tp>
        <v>0</v>
        <stp/>
        <stp>##V3_BDPV12</stp>
        <stp>AAPL US EQUITY</stp>
        <stp>TOT_DEBT_TO_TOT_EQY</stp>
        <stp>[XIDA.xlsm]Financials!R138C10</stp>
        <stp>EQY_FUND_RELATIVE_PERIOD</stp>
        <stp>-7FY</stp>
        <stp>EQY_FUND_CRNCY</stp>
        <stp>USD</stp>
        <stp>EQY_CONSOLIDATED</stp>
        <stp>Y</stp>
        <stp>Fill=0</stp>
        <tr r="J138" s="8"/>
      </tp>
      <tp>
        <v>0</v>
        <stp/>
        <stp>##V3_BDPV12</stp>
        <stp>AAPL US EQUITY</stp>
        <stp>TOT_DEBT_TO_TOT_EQY</stp>
        <stp>[XIDA.xlsm]Financials!R138C11</stp>
        <stp>EQY_FUND_RELATIVE_PERIOD</stp>
        <stp>-6FY</stp>
        <stp>EQY_FUND_CRNCY</stp>
        <stp>USD</stp>
        <stp>EQY_CONSOLIDATED</stp>
        <stp>Y</stp>
        <stp>Fill=0</stp>
        <tr r="K138" s="8"/>
      </tp>
      <tp>
        <v>0</v>
        <stp/>
        <stp>##V3_BDPV12</stp>
        <stp>AAPL US EQUITY</stp>
        <stp>TOT_DEBT_TO_TOT_EQY</stp>
        <stp>[XIDA.xlsm]Financials!R138C12</stp>
        <stp>EQY_FUND_RELATIVE_PERIOD</stp>
        <stp>-5FY</stp>
        <stp>EQY_FUND_CRNCY</stp>
        <stp>USD</stp>
        <stp>EQY_CONSOLIDATED</stp>
        <stp>Y</stp>
        <stp>Fill=0</stp>
        <tr r="L138" s="8"/>
      </tp>
      <tp>
        <v>0</v>
        <stp/>
        <stp>##V3_BDPV12</stp>
        <stp>AAPL US EQUITY</stp>
        <stp>TOT_DEBT_TO_TOT_EQY</stp>
        <stp>[XIDA.xlsm]Financials!R138C13</stp>
        <stp>EQY_FUND_RELATIVE_PERIOD</stp>
        <stp>-4FY</stp>
        <stp>EQY_FUND_CRNCY</stp>
        <stp>USD</stp>
        <stp>EQY_CONSOLIDATED</stp>
        <stp>Y</stp>
        <stp>Fill=0</stp>
        <tr r="M138" s="8"/>
      </tp>
      <tp>
        <v>0</v>
        <stp/>
        <stp>##V3_BDPV12</stp>
        <stp>AAPL US EQUITY</stp>
        <stp>TOT_DEBT_TO_TOT_EQY</stp>
        <stp>[XIDA.xlsm]Financials!R138C14</stp>
        <stp>EQY_FUND_RELATIVE_PERIOD</stp>
        <stp>-3FY</stp>
        <stp>EQY_FUND_CRNCY</stp>
        <stp>USD</stp>
        <stp>EQY_CONSOLIDATED</stp>
        <stp>Y</stp>
        <stp>Fill=0</stp>
        <tr r="N138" s="8"/>
      </tp>
      <tp>
        <v>0</v>
        <stp/>
        <stp>##V3_BDPV12</stp>
        <stp>AAPL US EQUITY</stp>
        <stp>TOT_DEBT_TO_TOT_EQY</stp>
        <stp>[XIDA.xlsm]Financials!R138C15</stp>
        <stp>EQY_FUND_RELATIVE_PERIOD</stp>
        <stp>-2FY</stp>
        <stp>EQY_FUND_CRNCY</stp>
        <stp>USD</stp>
        <stp>EQY_CONSOLIDATED</stp>
        <stp>Y</stp>
        <stp>Fill=0</stp>
        <tr r="O138" s="8"/>
      </tp>
      <tp>
        <v>13.727347044492468</v>
        <stp/>
        <stp>##V3_BDPV12</stp>
        <stp>AAPL US EQUITY</stp>
        <stp>TOT_DEBT_TO_TOT_EQY</stp>
        <stp>[XIDA.xlsm]Financials!R138C16</stp>
        <stp>EQY_FUND_RELATIVE_PERIOD</stp>
        <stp>-1FY</stp>
        <stp>EQY_FUND_CRNCY</stp>
        <stp>USD</stp>
        <stp>EQY_CONSOLIDATED</stp>
        <stp>Y</stp>
        <stp>Fill=0</stp>
        <tr r="P138" s="8"/>
      </tp>
      <tp>
        <v>31.641370901951642</v>
        <stp/>
        <stp>##V3_BDPV12</stp>
        <stp>AAPL US EQUITY</stp>
        <stp>TOT_DEBT_TO_TOT_EQY</stp>
        <stp>[XIDA.xlsm]Financials!R138C17</stp>
        <stp>EQY_FUND_RELATIVE_PERIOD</stp>
        <stp>-0FY</stp>
        <stp>EQY_FUND_CRNCY</stp>
        <stp>USD</stp>
        <stp>EQY_CONSOLIDATED</stp>
        <stp>Y</stp>
        <stp>Fill=0</stp>
        <tr r="Q138" s="8"/>
      </tp>
      <tp>
        <v>3.3337359584490884</v>
        <stp/>
        <stp>##V3_BDPV12</stp>
        <stp>AAPL US EQUITY</stp>
        <stp>PROF_MARGIN</stp>
        <stp>[XIDA.xlsm]Financials!R129C7</stp>
        <stp>EQY_FUND_RELATIVE_PERIOD</stp>
        <stp>-10FY</stp>
        <stp>EQY_FUND_CRNCY</stp>
        <stp>USD</stp>
        <stp>EQY_CONSOLIDATED</stp>
        <stp>Y</stp>
        <stp>Fill=0</stp>
        <tr r="G129" s="8"/>
      </tp>
      <tp>
        <v>-170173</v>
        <stp/>
        <stp>##V3_BDPV12</stp>
        <stp>AAPL US EQUITY</stp>
        <stp>BEST_NET_DEBT</stp>
        <stp>[XIDA.xlsm]DataH!R3C120</stp>
        <stp>BEST_FPERIOD_OVERRIDE</stp>
        <stp>3FQ</stp>
        <stp>BEST_DATA_SOURCE_OVERRIDE</stp>
        <stp>BST</stp>
        <stp>EQY_FUND_CRNCY</stp>
        <stp>USD</stp>
        <stp>BEST_CONSOLIDATED_OVERRIDE</stp>
        <stp>C</stp>
        <tr r="DP3" s="16"/>
      </tp>
      <tp>
        <v>-149091.80000000002</v>
        <stp/>
        <stp>##V3_BDPV12</stp>
        <stp>AAPL US EQUITY</stp>
        <stp>BEST_NET_DEBT</stp>
        <stp>[XIDA.xlsm]DataH!R5C117</stp>
        <stp>BEST_FPERIOD_OVERRIDE</stp>
        <stp>1FQ</stp>
        <stp>BEST_DATA_SOURCE_OVERRIDE</stp>
        <stp>BPE</stp>
        <stp>EQY_FUND_CRNCY</stp>
        <stp>USD</stp>
        <stp>BEST_CONSOLIDATED_OVERRIDE</stp>
        <stp>C</stp>
        <tr r="DM5" s="16"/>
      </tp>
      <tp>
        <v>-168768.4</v>
        <stp/>
        <stp>##V3_BDPV12</stp>
        <stp>AAPL US EQUITY</stp>
        <stp>BEST_NET_DEBT</stp>
        <stp>[XIDA.xlsm]DataH!R5C118</stp>
        <stp>BEST_FPERIOD_OVERRIDE</stp>
        <stp>2FQ</stp>
        <stp>BEST_DATA_SOURCE_OVERRIDE</stp>
        <stp>BPE</stp>
        <stp>EQY_FUND_CRNCY</stp>
        <stp>USD</stp>
        <stp>BEST_CONSOLIDATED_OVERRIDE</stp>
        <stp>C</stp>
        <tr r="DN5" s="16"/>
      </tp>
      <tp>
        <v>-149091.80000000002</v>
        <stp/>
        <stp>##V3_BDPV12</stp>
        <stp>AAPL US EQUITY</stp>
        <stp>BEST_NET_DEBT</stp>
        <stp>[XIDA.xlsm]DataH!R3C117</stp>
        <stp>BEST_FPERIOD_OVERRIDE</stp>
        <stp>1FQ</stp>
        <stp>BEST_DATA_SOURCE_OVERRIDE</stp>
        <stp>BST</stp>
        <stp>EQY_FUND_CRNCY</stp>
        <stp>USD</stp>
        <stp>BEST_CONSOLIDATED_OVERRIDE</stp>
        <stp>C</stp>
        <tr r="DM3" s="16"/>
      </tp>
      <tp>
        <v>-168768.4</v>
        <stp/>
        <stp>##V3_BDPV12</stp>
        <stp>AAPL US EQUITY</stp>
        <stp>BEST_NET_DEBT</stp>
        <stp>[XIDA.xlsm]DataH!R3C118</stp>
        <stp>BEST_FPERIOD_OVERRIDE</stp>
        <stp>2FQ</stp>
        <stp>BEST_DATA_SOURCE_OVERRIDE</stp>
        <stp>BST</stp>
        <stp>EQY_FUND_CRNCY</stp>
        <stp>USD</stp>
        <stp>BEST_CONSOLIDATED_OVERRIDE</stp>
        <stp>C</stp>
        <tr r="DN3" s="16"/>
      </tp>
      <tp>
        <v>-170173</v>
        <stp/>
        <stp>##V3_BDPV12</stp>
        <stp>AAPL US EQUITY</stp>
        <stp>BEST_NET_DEBT</stp>
        <stp>[XIDA.xlsm]DataH!R5C120</stp>
        <stp>BEST_FPERIOD_OVERRIDE</stp>
        <stp>3FQ</stp>
        <stp>BEST_DATA_SOURCE_OVERRIDE</stp>
        <stp>BPE</stp>
        <stp>EQY_FUND_CRNCY</stp>
        <stp>USD</stp>
        <stp>BEST_CONSOLIDATED_OVERRIDE</stp>
        <stp>C</stp>
        <tr r="DP5" s="16"/>
      </tp>
      <tp>
        <v>2514</v>
        <stp/>
        <stp>##V3_BDPV12</stp>
        <stp>AAPL US EQUITY</stp>
        <stp>BS_SH_CAP_AND_APIC</stp>
        <stp>[XIDA.xlsm]Financials!R74C7</stp>
        <stp>EQY_FUND_RELATIVE_PERIOD</stp>
        <stp>-10FY</stp>
        <stp>EQY_FUND_CRNCY</stp>
        <stp>USD</stp>
        <stp>EQY_CONSOLIDATED</stp>
        <stp>Y</stp>
        <stp>Fill=B</stp>
        <tr r="G74" s="8"/>
      </tp>
      <tp>
        <v>-13.45173</v>
        <stp/>
        <stp>##V3_BDPV12</stp>
        <stp>005930 KS EQUITY</stp>
        <stp>CUST_TRR_RETURN_HOLDING_PER</stp>
        <stp>[XIDA.xlsm]DataH!R23C6</stp>
        <stp>CUST_TRR_START_DT</stp>
        <stp>20150724</stp>
        <stp>CUST_TRR_END_DT</stp>
        <stp>20150824</stp>
        <stp>CUST_TRR_CRNCY</stp>
        <stp>USD</stp>
        <tr r="F23" s="16"/>
      </tp>
      <tp>
        <v>-161173</v>
        <stp/>
        <stp>##V3_BDPV12</stp>
        <stp>AAPL US EQUITY</stp>
        <stp>BEST_NET_DEBT</stp>
        <stp>[XIDA.xlsm]DataH!R4C118</stp>
        <stp>BEST_FPERIOD_OVERRIDE</stp>
        <stp>2FQ</stp>
        <stp>BEST_DATA_SOURCE_OVERRIDE</stp>
        <stp>BLI</stp>
        <stp>EQY_FUND_CRNCY</stp>
        <stp>USD</stp>
        <stp>BEST_CONSOLIDATED_OVERRIDE</stp>
        <stp>C</stp>
        <tr r="DN4" s="16"/>
      </tp>
      <tp>
        <v>-150871</v>
        <stp/>
        <stp>##V3_BDPV12</stp>
        <stp>AAPL US EQUITY</stp>
        <stp>BEST_NET_DEBT</stp>
        <stp>[XIDA.xlsm]DataH!R4C117</stp>
        <stp>BEST_FPERIOD_OVERRIDE</stp>
        <stp>1FQ</stp>
        <stp>BEST_DATA_SOURCE_OVERRIDE</stp>
        <stp>BLI</stp>
        <stp>EQY_FUND_CRNCY</stp>
        <stp>USD</stp>
        <stp>BEST_CONSOLIDATED_OVERRIDE</stp>
        <stp>C</stp>
        <tr r="DM4" s="16"/>
      </tp>
      <tp>
        <v>-172724</v>
        <stp/>
        <stp>##V3_BDPV12</stp>
        <stp>AAPL US EQUITY</stp>
        <stp>BEST_NET_DEBT</stp>
        <stp>[XIDA.xlsm]DataH!R4C120</stp>
        <stp>BEST_FPERIOD_OVERRIDE</stp>
        <stp>3FQ</stp>
        <stp>BEST_DATA_SOURCE_OVERRIDE</stp>
        <stp>BLI</stp>
        <stp>EQY_FUND_CRNCY</stp>
        <stp>USD</stp>
        <stp>BEST_CONSOLIDATED_OVERRIDE</stp>
        <stp>C</stp>
        <tr r="DP4" s="16"/>
      </tp>
      <tp>
        <v>4332</v>
        <stp/>
        <stp>##V3_BDPV12</stp>
        <stp>AAPL US EQUITY</stp>
        <stp>BS_OTHER_CUR_ASSET</stp>
        <stp>[XIDA.xlsm]Financials!R53C10</stp>
        <stp>EQY_FUND_RELATIVE_PERIOD</stp>
        <stp>-7FY</stp>
        <stp>EQY_FUND_CRNCY</stp>
        <stp>USD</stp>
        <stp>EQY_CONSOLIDATED</stp>
        <stp>Y</stp>
        <stp>Fill=B</stp>
        <tr r="J53" s="8"/>
      </tp>
      <tp>
        <v>4964</v>
        <stp/>
        <stp>##V3_BDPV12</stp>
        <stp>AAPL US EQUITY</stp>
        <stp>BS_OTHER_CUR_ASSET</stp>
        <stp>[XIDA.xlsm]Financials!R53C11</stp>
        <stp>EQY_FUND_RELATIVE_PERIOD</stp>
        <stp>-6FY</stp>
        <stp>EQY_FUND_CRNCY</stp>
        <stp>USD</stp>
        <stp>EQY_CONSOLIDATED</stp>
        <stp>Y</stp>
        <stp>Fill=B</stp>
        <tr r="K53" s="8"/>
      </tp>
      <tp>
        <v>4275</v>
        <stp/>
        <stp>##V3_BDPV12</stp>
        <stp>AAPL US EQUITY</stp>
        <stp>BS_OTHER_CUR_ASSET</stp>
        <stp>[XIDA.xlsm]Financials!R53C12</stp>
        <stp>EQY_FUND_RELATIVE_PERIOD</stp>
        <stp>-5FY</stp>
        <stp>EQY_FUND_CRNCY</stp>
        <stp>USD</stp>
        <stp>EQY_CONSOLIDATED</stp>
        <stp>Y</stp>
        <stp>Fill=B</stp>
        <tr r="L53" s="8"/>
      </tp>
      <tp>
        <v>9497</v>
        <stp/>
        <stp>##V3_BDPV12</stp>
        <stp>AAPL US EQUITY</stp>
        <stp>BS_OTHER_CUR_ASSET</stp>
        <stp>[XIDA.xlsm]Financials!R53C13</stp>
        <stp>EQY_FUND_RELATIVE_PERIOD</stp>
        <stp>-4FY</stp>
        <stp>EQY_FUND_CRNCY</stp>
        <stp>USD</stp>
        <stp>EQY_CONSOLIDATED</stp>
        <stp>Y</stp>
        <stp>Fill=B</stp>
        <tr r="M53" s="8"/>
      </tp>
      <tp>
        <v>12891</v>
        <stp/>
        <stp>##V3_BDPV12</stp>
        <stp>AAPL US EQUITY</stp>
        <stp>BS_OTHER_CUR_ASSET</stp>
        <stp>[XIDA.xlsm]Financials!R53C14</stp>
        <stp>EQY_FUND_RELATIVE_PERIOD</stp>
        <stp>-3FY</stp>
        <stp>EQY_FUND_CRNCY</stp>
        <stp>USD</stp>
        <stp>EQY_CONSOLIDATED</stp>
        <stp>Y</stp>
        <stp>Fill=B</stp>
        <tr r="N53" s="8"/>
      </tp>
      <tp>
        <v>16803</v>
        <stp/>
        <stp>##V3_BDPV12</stp>
        <stp>AAPL US EQUITY</stp>
        <stp>BS_OTHER_CUR_ASSET</stp>
        <stp>[XIDA.xlsm]Financials!R53C15</stp>
        <stp>EQY_FUND_RELATIVE_PERIOD</stp>
        <stp>-2FY</stp>
        <stp>EQY_FUND_CRNCY</stp>
        <stp>USD</stp>
        <stp>EQY_CONSOLIDATED</stp>
        <stp>Y</stp>
        <stp>Fill=B</stp>
        <tr r="O53" s="8"/>
      </tp>
      <tp>
        <v>17874</v>
        <stp/>
        <stp>##V3_BDPV12</stp>
        <stp>AAPL US EQUITY</stp>
        <stp>BS_OTHER_CUR_ASSET</stp>
        <stp>[XIDA.xlsm]Financials!R53C16</stp>
        <stp>EQY_FUND_RELATIVE_PERIOD</stp>
        <stp>-1FY</stp>
        <stp>EQY_FUND_CRNCY</stp>
        <stp>USD</stp>
        <stp>EQY_CONSOLIDATED</stp>
        <stp>Y</stp>
        <stp>Fill=B</stp>
        <tr r="P53" s="8"/>
      </tp>
      <tp>
        <v>23883</v>
        <stp/>
        <stp>##V3_BDPV12</stp>
        <stp>AAPL US EQUITY</stp>
        <stp>BS_OTHER_CUR_ASSET</stp>
        <stp>[XIDA.xlsm]Financials!R53C17</stp>
        <stp>EQY_FUND_RELATIVE_PERIOD</stp>
        <stp>-0FY</stp>
        <stp>EQY_FUND_CRNCY</stp>
        <stp>USD</stp>
        <stp>EQY_CONSOLIDATED</stp>
        <stp>Y</stp>
        <stp>Fill=B</stp>
        <tr r="Q53" s="8"/>
      </tp>
      <tp>
        <v>42006</v>
        <stp/>
        <stp>##V3_BDHV12</stp>
        <stp>SPX INDEX</stp>
        <stp>PX_LAST</stp>
        <stp>1/1/2015</stp>
        <stp>4/13/2015</stp>
        <stp>[XIDA.xlsm]Indices!R10C29</stp>
        <stp>Dts=S</stp>
        <stp>FX=USD</stp>
        <stp>CDR=US</stp>
        <stp/>
        <stp>Per=CD</stp>
        <stp>cols=2;rows=69</stp>
        <tr r="AC10" s="5"/>
      </tp>
      <tp>
        <v>3.55016</v>
        <stp/>
        <stp>##V3_BDHV12</stp>
        <stp>ALU FP EQUITY</stp>
        <stp>PX_LAST</stp>
        <stp>1/1/2015</stp>
        <stp>4/13/2015</stp>
        <stp>[XIDA.xlsm]Indices!R10C38</stp>
        <stp>Dts=H</stp>
        <stp>FX=USD</stp>
        <stp>CDR=US</stp>
        <stp/>
        <stp>PER=CD</stp>
        <stp>cols=1;rows=69</stp>
        <tr r="AL10" s="5"/>
      </tp>
      <tp t="s">
        <v>ERICSSON LM-B SHS</v>
        <stp/>
        <stp>##V3_BDPV12</stp>
        <stp>ERICB SS EQUITY</stp>
        <stp>NAME</stp>
        <stp>[XIDA.xlsm]Indices!R6C39</stp>
        <tr r="AM6" s="5"/>
      </tp>
      <tp>
        <v>6.0272979828481699</v>
        <stp/>
        <stp>##V3_BDPV12</stp>
        <stp>AAPL US EQUITY</stp>
        <stp>EBITDA_TO_NET_SALES</stp>
        <stp>[XIDA.xlsm]Financials!R127C7</stp>
        <stp>EQY_FUND_RELATIVE_PERIOD</stp>
        <stp>-10FY</stp>
        <stp>EQY_FUND_CRNCY</stp>
        <stp>USD</stp>
        <stp>EQY_CONSOLIDATED</stp>
        <stp>Y</stp>
        <stp>Fill=0</stp>
        <tr r="G127" s="8"/>
      </tp>
      <tp>
        <v>2275</v>
        <stp/>
        <stp>##V3_BDPV12</stp>
        <stp>AAPL US EQUITY</stp>
        <stp>CF_FREE_CASH_FLOW</stp>
        <stp>[XIDA.xlsm]Financials!R109C8</stp>
        <stp>EQY_FUND_RELATIVE_PERIOD</stp>
        <stp>-9FY</stp>
        <stp>EQY_FUND_CRNCY</stp>
        <stp>USD</stp>
        <stp>EQY_CONSOLIDATED</stp>
        <stp>Y</stp>
        <stp>Fill=B</stp>
        <tr r="H109" s="8"/>
      </tp>
      <tp>
        <v>1563</v>
        <stp/>
        <stp>##V3_BDPV12</stp>
        <stp>AAPL US EQUITY</stp>
        <stp>CF_FREE_CASH_FLOW</stp>
        <stp>[XIDA.xlsm]Financials!R109C9</stp>
        <stp>EQY_FUND_RELATIVE_PERIOD</stp>
        <stp>-8FY</stp>
        <stp>EQY_FUND_CRNCY</stp>
        <stp>USD</stp>
        <stp>EQY_CONSOLIDATED</stp>
        <stp>Y</stp>
        <stp>Fill=B</stp>
        <tr r="I109" s="8"/>
      </tp>
      <tp>
        <v>-12332.105</v>
        <stp/>
        <stp>##V3_BDPV12</stp>
        <stp>AAPL US EQUITY</stp>
        <stp>BEST_CAPEX</stp>
        <stp>[XIDA.xlsm]Financials!R92C19</stp>
        <stp>BEST_FPERIOD_OVERRIDE</stp>
        <stp>2FY</stp>
        <stp>EQY_FUND_CRNCY</stp>
        <stp>USD</stp>
        <stp>BEST_CONSOLIDATED_OVERRIDE</stp>
        <stp>C</stp>
        <stp>Fill=B</stp>
        <tr r="S92" s="8"/>
      </tp>
      <tp>
        <v>2.9563719862227327</v>
        <stp/>
        <stp>##V3_BDPV12</stp>
        <stp>AAPL US EQUITY</stp>
        <stp>CUR_RATIO</stp>
        <stp>[XIDA.xlsm]Financials!R134C8</stp>
        <stp>EQY_FUND_RELATIVE_PERIOD</stp>
        <stp>-9FY</stp>
        <stp>EQY_FUND_CRNCY</stp>
        <stp>USD</stp>
        <stp>EQY_CONSOLIDATED</stp>
        <stp>Y</stp>
        <stp>Fill=B</stp>
        <tr r="H134" s="8"/>
      </tp>
      <tp>
        <v>2.2421573172616287</v>
        <stp/>
        <stp>##V3_BDPV12</stp>
        <stp>AAPL US EQUITY</stp>
        <stp>CUR_RATIO</stp>
        <stp>[XIDA.xlsm]Financials!R134C9</stp>
        <stp>EQY_FUND_RELATIVE_PERIOD</stp>
        <stp>-8FY</stp>
        <stp>EQY_FUND_CRNCY</stp>
        <stp>USD</stp>
        <stp>EQY_CONSOLIDATED</stp>
        <stp>Y</stp>
        <stp>Fill=B</stp>
        <tr r="I134" s="8"/>
      </tp>
      <tp>
        <v>-11121.45</v>
        <stp/>
        <stp>##V3_BDPV12</stp>
        <stp>AAPL US EQUITY</stp>
        <stp>BEST_CAPEX</stp>
        <stp>[XIDA.xlsm]Financials!R92C18</stp>
        <stp>BEST_FPERIOD_OVERRIDE</stp>
        <stp>1FY</stp>
        <stp>EQY_FUND_CRNCY</stp>
        <stp>USD</stp>
        <stp>BEST_CONSOLIDATED_OVERRIDE</stp>
        <stp>C</stp>
        <stp>Fill=B</stp>
        <tr r="R92" s="8"/>
      </tp>
      <tp>
        <v>0</v>
        <stp/>
        <stp>##V3_BDPV12</stp>
        <stp>AAPL US EQUITY</stp>
        <stp>CF_DISP_FIX_ASSET</stp>
        <stp>[XIDA.xlsm]Financials!R91C10</stp>
        <stp>EQY_FUND_RELATIVE_PERIOD</stp>
        <stp>-7FY</stp>
        <stp>EQY_FUND_CRNCY</stp>
        <stp>USD</stp>
        <stp>EQY_CONSOLIDATED</stp>
        <stp>Y</stp>
        <stp>Fill=B</stp>
        <tr r="J91" s="8"/>
      </tp>
      <tp>
        <v>0</v>
        <stp/>
        <stp>##V3_BDPV12</stp>
        <stp>AAPL US EQUITY</stp>
        <stp>CF_DISP_FIX_ASSET</stp>
        <stp>[XIDA.xlsm]Financials!R91C11</stp>
        <stp>EQY_FUND_RELATIVE_PERIOD</stp>
        <stp>-6FY</stp>
        <stp>EQY_FUND_CRNCY</stp>
        <stp>USD</stp>
        <stp>EQY_CONSOLIDATED</stp>
        <stp>Y</stp>
        <stp>Fill=B</stp>
        <tr r="K91" s="8"/>
      </tp>
      <tp>
        <v>0</v>
        <stp/>
        <stp>##V3_BDPV12</stp>
        <stp>AAPL US EQUITY</stp>
        <stp>CF_DISP_FIX_ASSET</stp>
        <stp>[XIDA.xlsm]Financials!R91C12</stp>
        <stp>EQY_FUND_RELATIVE_PERIOD</stp>
        <stp>-5FY</stp>
        <stp>EQY_FUND_CRNCY</stp>
        <stp>USD</stp>
        <stp>EQY_CONSOLIDATED</stp>
        <stp>Y</stp>
        <stp>Fill=B</stp>
        <tr r="L91" s="8"/>
      </tp>
      <tp>
        <v>0</v>
        <stp/>
        <stp>##V3_BDPV12</stp>
        <stp>AAPL US EQUITY</stp>
        <stp>CF_DISP_FIX_ASSET</stp>
        <stp>[XIDA.xlsm]Financials!R91C13</stp>
        <stp>EQY_FUND_RELATIVE_PERIOD</stp>
        <stp>-4FY</stp>
        <stp>EQY_FUND_CRNCY</stp>
        <stp>USD</stp>
        <stp>EQY_CONSOLIDATED</stp>
        <stp>Y</stp>
        <stp>Fill=B</stp>
        <tr r="M91" s="8"/>
      </tp>
      <tp>
        <v>0</v>
        <stp/>
        <stp>##V3_BDPV12</stp>
        <stp>AAPL US EQUITY</stp>
        <stp>CF_DISP_FIX_ASSET</stp>
        <stp>[XIDA.xlsm]Financials!R91C14</stp>
        <stp>EQY_FUND_RELATIVE_PERIOD</stp>
        <stp>-3FY</stp>
        <stp>EQY_FUND_CRNCY</stp>
        <stp>USD</stp>
        <stp>EQY_CONSOLIDATED</stp>
        <stp>Y</stp>
        <stp>Fill=B</stp>
        <tr r="N91" s="8"/>
      </tp>
      <tp>
        <v>0</v>
        <stp/>
        <stp>##V3_BDPV12</stp>
        <stp>AAPL US EQUITY</stp>
        <stp>CF_DISP_FIX_ASSET</stp>
        <stp>[XIDA.xlsm]Financials!R91C15</stp>
        <stp>EQY_FUND_RELATIVE_PERIOD</stp>
        <stp>-2FY</stp>
        <stp>EQY_FUND_CRNCY</stp>
        <stp>USD</stp>
        <stp>EQY_CONSOLIDATED</stp>
        <stp>Y</stp>
        <stp>Fill=B</stp>
        <tr r="O91" s="8"/>
      </tp>
      <tp>
        <v>0</v>
        <stp/>
        <stp>##V3_BDPV12</stp>
        <stp>AAPL US EQUITY</stp>
        <stp>CF_DISP_FIX_ASSET</stp>
        <stp>[XIDA.xlsm]Financials!R91C16</stp>
        <stp>EQY_FUND_RELATIVE_PERIOD</stp>
        <stp>-1FY</stp>
        <stp>EQY_FUND_CRNCY</stp>
        <stp>USD</stp>
        <stp>EQY_CONSOLIDATED</stp>
        <stp>Y</stp>
        <stp>Fill=B</stp>
        <tr r="P91" s="8"/>
      </tp>
      <tp>
        <v>0</v>
        <stp/>
        <stp>##V3_BDPV12</stp>
        <stp>AAPL US EQUITY</stp>
        <stp>CF_DISP_FIX_ASSET</stp>
        <stp>[XIDA.xlsm]Financials!R91C17</stp>
        <stp>EQY_FUND_RELATIVE_PERIOD</stp>
        <stp>-0FY</stp>
        <stp>EQY_FUND_CRNCY</stp>
        <stp>USD</stp>
        <stp>EQY_CONSOLIDATED</stp>
        <stp>Y</stp>
        <stp>Fill=B</stp>
        <tr r="Q91" s="8"/>
      </tp>
      <tp>
        <v>109.33</v>
        <stp/>
        <stp>##V3_BDHV12</stp>
        <stp>AAPL US EQUITY</stp>
        <stp>PX_LAST</stp>
        <stp>1/1/2015</stp>
        <stp>4/13/2015</stp>
        <stp>[XIDA.xlsm]Indices!R10C27</stp>
        <stp>Dts=H</stp>
        <stp>FX=USD</stp>
        <stp>CDR=US</stp>
        <stp/>
        <stp>PER=CD</stp>
        <stp>cols=1;rows=69</stp>
        <tr r="AA10" s="5"/>
      </tp>
      <tp>
        <v>2.0956167571761055</v>
        <stp/>
        <stp>##V3_BDPV12</stp>
        <stp>AAPL US EQUITY</stp>
        <stp>BEST_DIV_YLD</stp>
        <stp>[XIDA.xlsm]Financials!R123C19</stp>
        <stp>BEST_FPERIOD_OVERRIDE</stp>
        <stp>2FY</stp>
        <stp>EQY_FUND_CRNCY</stp>
        <stp>USD</stp>
        <stp>BEST_CONSOLIDATED_OVERRIDE</stp>
        <stp>C</stp>
        <tr r="S123" s="8"/>
        <tr r="S123" s="8"/>
      </tp>
      <tp>
        <v>128113.53710869999</v>
        <stp/>
        <stp>##V3_BDPV12</stp>
        <stp>CSCO US EQUITY</stp>
        <stp>CRNCY_ADJ_MKT_CAP</stp>
        <stp>[XIDA.xlsm]Peers!R23C14</stp>
        <stp>EQY_FUND_CRNCY</stp>
        <stp>USD</stp>
        <tr r="N23" s="4"/>
        <tr r="N23" s="4"/>
      </tp>
      <tp t="e">
        <v>#N/A</v>
        <stp/>
        <stp>##V3_BDSV12</stp>
        <stp>AAPL US EQUITY</stp>
        <stp>TOP_20_HOLDERS_PUBLIC_FILINGS</stp>
        <stp>[XIDA.xlsm]DataH!R56C8</stp>
        <stp>TOP_HOLDERS_INST_TYPE_OVERRIDE</stp>
        <stp>TOP 20 ALL</stp>
        <stp>startcol=9</stp>
        <stp>endcol=9</stp>
        <stp>startrow=1</stp>
        <stp>endrow=20</stp>
        <stp>cols=1;rows=20</stp>
        <tr r="H56" s="16"/>
      </tp>
      <tp>
        <v>0</v>
        <stp/>
        <stp>##V3_BDPV12</stp>
        <stp>AAPL US EQUITY</stp>
        <stp>TOT_DEBT_TO_TOT_CAP</stp>
        <stp>[XIDA.xlsm]Financials!R137C10</stp>
        <stp>EQY_FUND_RELATIVE_PERIOD</stp>
        <stp>-7FY</stp>
        <stp>EQY_FUND_CRNCY</stp>
        <stp>USD</stp>
        <stp>EQY_CONSOLIDATED</stp>
        <stp>Y</stp>
        <stp>Fill=0</stp>
        <tr r="J137" s="8"/>
      </tp>
      <tp>
        <v>0</v>
        <stp/>
        <stp>##V3_BDPV12</stp>
        <stp>AAPL US EQUITY</stp>
        <stp>TOT_DEBT_TO_TOT_CAP</stp>
        <stp>[XIDA.xlsm]Financials!R137C11</stp>
        <stp>EQY_FUND_RELATIVE_PERIOD</stp>
        <stp>-6FY</stp>
        <stp>EQY_FUND_CRNCY</stp>
        <stp>USD</stp>
        <stp>EQY_CONSOLIDATED</stp>
        <stp>Y</stp>
        <stp>Fill=0</stp>
        <tr r="K137" s="8"/>
      </tp>
      <tp>
        <v>0</v>
        <stp/>
        <stp>##V3_BDPV12</stp>
        <stp>AAPL US EQUITY</stp>
        <stp>TOT_DEBT_TO_TOT_CAP</stp>
        <stp>[XIDA.xlsm]Financials!R137C12</stp>
        <stp>EQY_FUND_RELATIVE_PERIOD</stp>
        <stp>-5FY</stp>
        <stp>EQY_FUND_CRNCY</stp>
        <stp>USD</stp>
        <stp>EQY_CONSOLIDATED</stp>
        <stp>Y</stp>
        <stp>Fill=0</stp>
        <tr r="L137" s="8"/>
      </tp>
      <tp>
        <v>0</v>
        <stp/>
        <stp>##V3_BDPV12</stp>
        <stp>AAPL US EQUITY</stp>
        <stp>TOT_DEBT_TO_TOT_CAP</stp>
        <stp>[XIDA.xlsm]Financials!R137C13</stp>
        <stp>EQY_FUND_RELATIVE_PERIOD</stp>
        <stp>-4FY</stp>
        <stp>EQY_FUND_CRNCY</stp>
        <stp>USD</stp>
        <stp>EQY_CONSOLIDATED</stp>
        <stp>Y</stp>
        <stp>Fill=0</stp>
        <tr r="M137" s="8"/>
      </tp>
      <tp>
        <v>0</v>
        <stp/>
        <stp>##V3_BDPV12</stp>
        <stp>AAPL US EQUITY</stp>
        <stp>TOT_DEBT_TO_TOT_CAP</stp>
        <stp>[XIDA.xlsm]Financials!R137C14</stp>
        <stp>EQY_FUND_RELATIVE_PERIOD</stp>
        <stp>-3FY</stp>
        <stp>EQY_FUND_CRNCY</stp>
        <stp>USD</stp>
        <stp>EQY_CONSOLIDATED</stp>
        <stp>Y</stp>
        <stp>Fill=0</stp>
        <tr r="N137" s="8"/>
      </tp>
      <tp>
        <v>0</v>
        <stp/>
        <stp>##V3_BDPV12</stp>
        <stp>AAPL US EQUITY</stp>
        <stp>TOT_DEBT_TO_TOT_CAP</stp>
        <stp>[XIDA.xlsm]Financials!R137C15</stp>
        <stp>EQY_FUND_RELATIVE_PERIOD</stp>
        <stp>-2FY</stp>
        <stp>EQY_FUND_CRNCY</stp>
        <stp>USD</stp>
        <stp>EQY_CONSOLIDATED</stp>
        <stp>Y</stp>
        <stp>Fill=0</stp>
        <tr r="O137" s="8"/>
      </tp>
      <tp>
        <v>12.070401184265776</v>
        <stp/>
        <stp>##V3_BDPV12</stp>
        <stp>AAPL US EQUITY</stp>
        <stp>TOT_DEBT_TO_TOT_CAP</stp>
        <stp>[XIDA.xlsm]Financials!R137C16</stp>
        <stp>EQY_FUND_RELATIVE_PERIOD</stp>
        <stp>-1FY</stp>
        <stp>EQY_FUND_CRNCY</stp>
        <stp>USD</stp>
        <stp>EQY_CONSOLIDATED</stp>
        <stp>Y</stp>
        <stp>Fill=0</stp>
        <tr r="P137" s="8"/>
      </tp>
      <tp>
        <v>24.036038735511639</v>
        <stp/>
        <stp>##V3_BDPV12</stp>
        <stp>AAPL US EQUITY</stp>
        <stp>TOT_DEBT_TO_TOT_CAP</stp>
        <stp>[XIDA.xlsm]Financials!R137C17</stp>
        <stp>EQY_FUND_RELATIVE_PERIOD</stp>
        <stp>-0FY</stp>
        <stp>EQY_FUND_CRNCY</stp>
        <stp>USD</stp>
        <stp>EQY_CONSOLIDATED</stp>
        <stp>Y</stp>
        <stp>Fill=0</stp>
        <tr r="Q137" s="8"/>
      </tp>
      <tp t="s">
        <v>#N/A Requesting Data...</v>
        <stp/>
        <stp>##V3_BDSV12</stp>
        <stp>AAPL US EQUITY</stp>
        <stp>BEST_DPS_BRK_GRID</stp>
        <stp>[XIDA.xlsm]DataH!R8C98</stp>
        <stp>BEST_FPERIOD_OVERRIDE</stp>
        <stp>1FQ</stp>
        <stp>STARTCOL=6</stp>
        <stp>ENDCOL=6</stp>
        <stp>EQY_FUND_CRNCY</stp>
        <stp>USD</stp>
        <stp>BEST_CONSOLIDATED_OVERRIDE</stp>
        <stp>C</stp>
        <tr r="CT8" s="16"/>
      </tp>
      <tp t="s">
        <v>#N/A Requesting Data...</v>
        <stp/>
        <stp>##V3_BDSV12</stp>
        <stp>AAPL US EQUITY</stp>
        <stp>BEST_EPS_BRK_GRID</stp>
        <stp>[XIDA.xlsm]DataH!R8C48</stp>
        <stp>BEST_FPERIOD_OVERRIDE</stp>
        <stp>1FQ</stp>
        <stp>STARTCOL=6</stp>
        <stp>ENDCOL=6</stp>
        <stp>EQY_FUND_CRNCY</stp>
        <stp>USD</stp>
        <stp>BEST_CONSOLIDATED_OVERRIDE</stp>
        <stp>C</stp>
        <tr r="AV8" s="16"/>
      </tp>
      <tp>
        <v>4.5999694357835121</v>
        <stp/>
        <stp>##V3_BDPV12</stp>
        <stp>AAPL US EQUITY</stp>
        <stp>BEST_PX_SALES_RATIO</stp>
        <stp>[XIDA.xlsm]Peers!R17C19</stp>
        <stp>BEST_FPERIOD_OVERRIDE</stp>
        <stp>11BC</stp>
        <tr r="S17" s="4"/>
        <tr r="S17" s="4"/>
      </tp>
      <tp>
        <v>42006</v>
        <stp/>
        <stp>##V3_BDHV12</stp>
        <stp>AAPL US EQUITY</stp>
        <stp>PX_VOLUME</stp>
        <stp>1/1/2015</stp>
        <stp>4/13/2015</stp>
        <stp>[XIDA.xlsm]Indices!R10C21</stp>
        <stp>FX=USD</stp>
        <stp>CDR=US</stp>
        <stp/>
        <stp>Per=CD</stp>
        <stp>cols=2;rows=69</stp>
        <tr r="U10" s="5"/>
      </tp>
      <tp>
        <v>1910</v>
        <stp/>
        <stp>##V3_BDPV12</stp>
        <stp>AAPL US EQUITY</stp>
        <stp>IS_OPERATING_EXPN</stp>
        <stp>[XIDA.xlsm]Financials!R18C7</stp>
        <stp>EQY_FUND_RELATIVE_PERIOD</stp>
        <stp>-10FY</stp>
        <stp>EQY_FUND_CRNCY</stp>
        <stp>USD</stp>
        <stp>EQY_CONSOLIDATED</stp>
        <stp>Y</stp>
        <stp>Fill=B</stp>
        <tr r="G18" s="8"/>
      </tp>
      <tp>
        <v>817</v>
        <stp/>
        <stp>##V3_BDPV12</stp>
        <stp>AAPL US EQUITY</stp>
        <stp>BS_NET_FIX_ASSET</stp>
        <stp>[XIDA.xlsm]Financials!R59C8</stp>
        <stp>EQY_FUND_RELATIVE_PERIOD</stp>
        <stp>-9FY</stp>
        <stp>EQY_FUND_CRNCY</stp>
        <stp>USD</stp>
        <stp>EQY_CONSOLIDATED</stp>
        <stp>Y</stp>
        <stp>Fill=B</stp>
        <tr r="H59" s="8"/>
      </tp>
      <tp>
        <v>1281</v>
        <stp/>
        <stp>##V3_BDPV12</stp>
        <stp>AAPL US EQUITY</stp>
        <stp>BS_NET_FIX_ASSET</stp>
        <stp>[XIDA.xlsm]Financials!R59C9</stp>
        <stp>EQY_FUND_RELATIVE_PERIOD</stp>
        <stp>-8FY</stp>
        <stp>EQY_FUND_CRNCY</stp>
        <stp>USD</stp>
        <stp>EQY_CONSOLIDATED</stp>
        <stp>Y</stp>
        <stp>Fill=B</stp>
        <tr r="I59" s="8"/>
      </tp>
      <tp t="e">
        <v>#N/A</v>
        <stp/>
        <stp>##V3_BDHV12</stp>
        <stp>AAPL US EQUITY</stp>
        <stp>SALES_REV_TURN</stp>
        <stp>-6FY</stp>
        <stp>-0FY</stp>
        <stp>[XIDA.xlsm]DataH!R4C2</stp>
        <stp>Sort=D</stp>
        <stp>PER=FY</stp>
        <stp>cols=2;rows=7</stp>
        <tr r="B4" s="16"/>
      </tp>
      <tp>
        <v>81402.111000000004</v>
        <stp/>
        <stp>##V3_BDPV12</stp>
        <stp>AAPL US EQUITY</stp>
        <stp>BEST_EBITDA</stp>
        <stp>[XIDA.xlsm]Overview!R43C9</stp>
        <stp>BEST_FPERIOD_OVERRIDE</stp>
        <stp>1FY</stp>
        <stp>BEST_CONSOLIDATED_OVERRIDE</stp>
        <stp>C</stp>
        <tr r="I43" s="3"/>
        <tr r="I43" s="3"/>
      </tp>
      <tp t="s">
        <v>#N/A Requesting Data...</v>
        <stp/>
        <stp>##V3_BDSV12</stp>
        <stp>AAPL US EQUITY</stp>
        <stp>BEST_EPS_BRK_GRID</stp>
        <stp>[XIDA.xlsm]DataH!R8C49</stp>
        <stp>BEST_FPERIOD_OVERRIDE</stp>
        <stp>3FQ</stp>
        <stp>STARTCOL=1</stp>
        <stp>ENDCOL=1</stp>
        <stp>EQY_FUND_CRNCY</stp>
        <stp>USD</stp>
        <stp>BEST_CONSOLIDATED_OVERRIDE</stp>
        <stp>C</stp>
        <tr r="AW8" s="16"/>
      </tp>
      <tp t="s">
        <v>#N/A Requesting Data...</v>
        <stp/>
        <stp>##V3_BDSV12</stp>
        <stp>AAPL US EQUITY</stp>
        <stp>BEST_DPS_BRK_GRID</stp>
        <stp>[XIDA.xlsm]DataH!R8C99</stp>
        <stp>BEST_FPERIOD_OVERRIDE</stp>
        <stp>3FQ</stp>
        <stp>STARTCOL=1</stp>
        <stp>ENDCOL=1</stp>
        <stp>EQY_FUND_CRNCY</stp>
        <stp>USD</stp>
        <stp>BEST_CONSOLIDATED_OVERRIDE</stp>
        <stp>C</stp>
        <tr r="CU8" s="16"/>
      </tp>
      <tp>
        <v>3.5708021437029034</v>
        <stp/>
        <stp>##V3_BDPV12</stp>
        <stp>AAPL US EQUITY</stp>
        <stp>BEST_PX_SALES_RATIO</stp>
        <stp>[XIDA.xlsm]Peers!R17C20</stp>
        <stp>BEST_FPERIOD_OVERRIDE</stp>
        <stp>12BC</stp>
        <tr r="T17" s="4"/>
        <tr r="T17" s="4"/>
      </tp>
      <tp>
        <v>1.9230023273855703</v>
        <stp/>
        <stp>##V3_BDPV12</stp>
        <stp>AAPL US EQUITY</stp>
        <stp>BEST_DIV_YLD</stp>
        <stp>[XIDA.xlsm]Financials!R123C18</stp>
        <stp>BEST_FPERIOD_OVERRIDE</stp>
        <stp>1FY</stp>
        <stp>EQY_FUND_CRNCY</stp>
        <stp>USD</stp>
        <stp>BEST_CONSOLIDATED_OVERRIDE</stp>
        <stp>C</stp>
        <tr r="R123" s="8"/>
        <tr r="R123" s="8"/>
      </tp>
      <tp>
        <v>5480.2106380000005</v>
        <stp/>
        <stp>##V3_BDPV12</stp>
        <stp>AAPL US EQUITY</stp>
        <stp>BS_SH_OUT</stp>
        <stp>[XIDA.xlsm]Financials!R40C7</stp>
        <stp>EQY_FUND_RELATIVE_PERIOD</stp>
        <stp>-10FY</stp>
        <stp>EQY_FUND_CRNCY</stp>
        <stp>USD</stp>
        <stp>EQY_CONSOLIDATED</stp>
        <stp>Y</stp>
        <stp>Fill=B</stp>
        <tr r="G40" s="8"/>
      </tp>
      <tp>
        <v>5006</v>
        <stp/>
        <stp>##V3_BDPV12</stp>
        <stp>AAPL US EQUITY</stp>
        <stp>PRETAX_INC</stp>
        <stp>[XIDA.xlsm]Financials!R26C10</stp>
        <stp>EQY_FUND_RELATIVE_PERIOD</stp>
        <stp>-7FY</stp>
        <stp>EQY_FUND_CRNCY</stp>
        <stp>USD</stp>
        <stp>EQY_CONSOLIDATED</stp>
        <stp>Y</stp>
        <stp>Fill=B</stp>
        <tr r="J26" s="8"/>
      </tp>
      <tp>
        <v>8947</v>
        <stp/>
        <stp>##V3_BDPV12</stp>
        <stp>AAPL US EQUITY</stp>
        <stp>PRETAX_INC</stp>
        <stp>[XIDA.xlsm]Financials!R26C11</stp>
        <stp>EQY_FUND_RELATIVE_PERIOD</stp>
        <stp>-6FY</stp>
        <stp>EQY_FUND_CRNCY</stp>
        <stp>USD</stp>
        <stp>EQY_CONSOLIDATED</stp>
        <stp>Y</stp>
        <stp>Fill=B</stp>
        <tr r="K26" s="8"/>
      </tp>
      <tp>
        <v>12066</v>
        <stp/>
        <stp>##V3_BDPV12</stp>
        <stp>AAPL US EQUITY</stp>
        <stp>PRETAX_INC</stp>
        <stp>[XIDA.xlsm]Financials!R26C12</stp>
        <stp>EQY_FUND_RELATIVE_PERIOD</stp>
        <stp>-5FY</stp>
        <stp>EQY_FUND_CRNCY</stp>
        <stp>USD</stp>
        <stp>EQY_CONSOLIDATED</stp>
        <stp>Y</stp>
        <stp>Fill=B</stp>
        <tr r="L26" s="8"/>
      </tp>
      <tp>
        <v>18540</v>
        <stp/>
        <stp>##V3_BDPV12</stp>
        <stp>AAPL US EQUITY</stp>
        <stp>PRETAX_INC</stp>
        <stp>[XIDA.xlsm]Financials!R26C13</stp>
        <stp>EQY_FUND_RELATIVE_PERIOD</stp>
        <stp>-4FY</stp>
        <stp>EQY_FUND_CRNCY</stp>
        <stp>USD</stp>
        <stp>EQY_CONSOLIDATED</stp>
        <stp>Y</stp>
        <stp>Fill=B</stp>
        <tr r="M26" s="8"/>
      </tp>
      <tp>
        <v>34205</v>
        <stp/>
        <stp>##V3_BDPV12</stp>
        <stp>AAPL US EQUITY</stp>
        <stp>PRETAX_INC</stp>
        <stp>[XIDA.xlsm]Financials!R26C14</stp>
        <stp>EQY_FUND_RELATIVE_PERIOD</stp>
        <stp>-3FY</stp>
        <stp>EQY_FUND_CRNCY</stp>
        <stp>USD</stp>
        <stp>EQY_CONSOLIDATED</stp>
        <stp>Y</stp>
        <stp>Fill=B</stp>
        <tr r="N26" s="8"/>
      </tp>
      <tp>
        <v>55763</v>
        <stp/>
        <stp>##V3_BDPV12</stp>
        <stp>AAPL US EQUITY</stp>
        <stp>PRETAX_INC</stp>
        <stp>[XIDA.xlsm]Financials!R26C15</stp>
        <stp>EQY_FUND_RELATIVE_PERIOD</stp>
        <stp>-2FY</stp>
        <stp>EQY_FUND_CRNCY</stp>
        <stp>USD</stp>
        <stp>EQY_CONSOLIDATED</stp>
        <stp>Y</stp>
        <stp>Fill=B</stp>
        <tr r="O26" s="8"/>
      </tp>
      <tp>
        <v>50155</v>
        <stp/>
        <stp>##V3_BDPV12</stp>
        <stp>AAPL US EQUITY</stp>
        <stp>PRETAX_INC</stp>
        <stp>[XIDA.xlsm]Financials!R26C16</stp>
        <stp>EQY_FUND_RELATIVE_PERIOD</stp>
        <stp>-1FY</stp>
        <stp>EQY_FUND_CRNCY</stp>
        <stp>USD</stp>
        <stp>EQY_CONSOLIDATED</stp>
        <stp>Y</stp>
        <stp>Fill=B</stp>
        <tr r="P26" s="8"/>
      </tp>
      <tp>
        <v>53483</v>
        <stp/>
        <stp>##V3_BDPV12</stp>
        <stp>AAPL US EQUITY</stp>
        <stp>PRETAX_INC</stp>
        <stp>[XIDA.xlsm]Financials!R26C17</stp>
        <stp>EQY_FUND_RELATIVE_PERIOD</stp>
        <stp>-0FY</stp>
        <stp>EQY_FUND_CRNCY</stp>
        <stp>USD</stp>
        <stp>EQY_CONSOLIDATED</stp>
        <stp>Y</stp>
        <stp>Fill=B</stp>
        <tr r="Q26" s="8"/>
      </tp>
      <tp t="s">
        <v>#N/A Invalid Security</v>
        <stp/>
        <stp>##V3_BDPV12</stp>
        <stp xml:space="preserve"> EQUITY</stp>
        <stp>CRNCY_ADJ_MKT_CAP</stp>
        <stp>[XIDA.xlsm]Peers!R118C14</stp>
        <stp>EQY_FUND_CRNCY</stp>
        <stp>USD</stp>
        <tr r="N118" s="4"/>
      </tp>
      <tp t="s">
        <v>#N/A Invalid Security</v>
        <stp/>
        <stp>##V3_BDPV12</stp>
        <stp xml:space="preserve"> EQUITY</stp>
        <stp>CRNCY_ADJ_MKT_CAP</stp>
        <stp>[XIDA.xlsm]Peers!R108C14</stp>
        <stp>EQY_FUND_CRNCY</stp>
        <stp>USD</stp>
        <tr r="N108" s="4"/>
      </tp>
      <tp t="s">
        <v>#N/A Invalid Security</v>
        <stp/>
        <stp>##V3_BDPV12</stp>
        <stp xml:space="preserve"> EQUITY</stp>
        <stp>CRNCY_ADJ_MKT_CAP</stp>
        <stp>[XIDA.xlsm]Peers!R138C14</stp>
        <stp>EQY_FUND_CRNCY</stp>
        <stp>USD</stp>
        <tr r="N138" s="4"/>
      </tp>
      <tp t="s">
        <v>#N/A Invalid Security</v>
        <stp/>
        <stp>##V3_BDPV12</stp>
        <stp xml:space="preserve"> EQUITY</stp>
        <stp>CRNCY_ADJ_MKT_CAP</stp>
        <stp>[XIDA.xlsm]Peers!R128C14</stp>
        <stp>EQY_FUND_CRNCY</stp>
        <stp>USD</stp>
        <tr r="N128" s="4"/>
      </tp>
      <tp t="s">
        <v>#N/A Invalid Security</v>
        <stp/>
        <stp>##V3_BDPV12</stp>
        <stp xml:space="preserve"> EQUITY</stp>
        <stp>CRNCY_ADJ_MKT_CAP</stp>
        <stp>[XIDA.xlsm]Peers!R158C14</stp>
        <stp>EQY_FUND_CRNCY</stp>
        <stp>USD</stp>
        <tr r="N158" s="4"/>
      </tp>
      <tp t="s">
        <v>#N/A Invalid Security</v>
        <stp/>
        <stp>##V3_BDPV12</stp>
        <stp xml:space="preserve"> EQUITY</stp>
        <stp>CRNCY_ADJ_MKT_CAP</stp>
        <stp>[XIDA.xlsm]Peers!R148C14</stp>
        <stp>EQY_FUND_CRNCY</stp>
        <stp>USD</stp>
        <tr r="N148" s="4"/>
      </tp>
      <tp t="s">
        <v>#N/A Invalid Security</v>
        <stp/>
        <stp>##V3_BDPV12</stp>
        <stp xml:space="preserve"> EQUITY</stp>
        <stp>CRNCY_ADJ_MKT_CAP</stp>
        <stp>[XIDA.xlsm]Peers!R178C14</stp>
        <stp>EQY_FUND_CRNCY</stp>
        <stp>USD</stp>
        <tr r="N178" s="4"/>
      </tp>
      <tp t="s">
        <v>#N/A Invalid Security</v>
        <stp/>
        <stp>##V3_BDPV12</stp>
        <stp xml:space="preserve"> EQUITY</stp>
        <stp>CRNCY_ADJ_MKT_CAP</stp>
        <stp>[XIDA.xlsm]Peers!R168C14</stp>
        <stp>EQY_FUND_CRNCY</stp>
        <stp>USD</stp>
        <tr r="N168" s="4"/>
      </tp>
      <tp t="s">
        <v>#N/A Invalid Security</v>
        <stp/>
        <stp>##V3_BDPV12</stp>
        <stp xml:space="preserve"> EQUITY</stp>
        <stp>CRNCY_ADJ_MKT_CAP</stp>
        <stp>[XIDA.xlsm]Peers!R198C14</stp>
        <stp>EQY_FUND_CRNCY</stp>
        <stp>USD</stp>
        <tr r="N198" s="4"/>
      </tp>
      <tp t="s">
        <v>#N/A Invalid Security</v>
        <stp/>
        <stp>##V3_BDPV12</stp>
        <stp xml:space="preserve"> EQUITY</stp>
        <stp>CRNCY_ADJ_MKT_CAP</stp>
        <stp>[XIDA.xlsm]Peers!R188C14</stp>
        <stp>EQY_FUND_CRNCY</stp>
        <stp>USD</stp>
        <tr r="N188" s="4"/>
      </tp>
      <tp>
        <v>-12837</v>
        <stp/>
        <stp>##V3_BDPV12</stp>
        <stp>AAPL US EQUITY</stp>
        <stp>BEST_CAPEX</stp>
        <stp>[XIDA.xlsm]Financials!R92C20</stp>
        <stp>BEST_FPERIOD_OVERRIDE</stp>
        <stp>3FY</stp>
        <stp>EQY_FUND_CRNCY</stp>
        <stp>USD</stp>
        <stp>BEST_CONSOLIDATED_OVERRIDE</stp>
        <stp>C</stp>
        <stp>Fill=B</stp>
        <tr r="T92" s="8"/>
      </tp>
      <tp>
        <v>11.954789999999999</v>
        <stp/>
        <stp>##V3_BDHV12</stp>
        <stp>ERICB SS EQUITY</stp>
        <stp>PX_LAST</stp>
        <stp>1/1/2015</stp>
        <stp>4/13/2015</stp>
        <stp>[XIDA.xlsm]Indices!R10C39</stp>
        <stp>Dts=H</stp>
        <stp>FX=USD</stp>
        <stp>CDR=US</stp>
        <stp/>
        <stp>PER=CD</stp>
        <stp>cols=1;rows=69</stp>
        <tr r="AM10" s="5"/>
      </tp>
      <tp>
        <v>27.61</v>
        <stp/>
        <stp>##V3_BDHV12</stp>
        <stp>CSCO US EQUITY</stp>
        <stp>PX_LAST</stp>
        <stp>1/1/2015</stp>
        <stp>4/13/2015</stp>
        <stp>[XIDA.xlsm]Indices!R10C37</stp>
        <stp>Dts=H</stp>
        <stp>FX=USD</stp>
        <stp>CDR=US</stp>
        <stp/>
        <stp>PER=CD</stp>
        <stp>cols=1;rows=69</stp>
        <tr r="AK10" s="5"/>
      </tp>
      <tp>
        <v>3.379837536438457</v>
        <stp/>
        <stp>##V3_BDPV12</stp>
        <stp>AAPL US EQUITY</stp>
        <stp>BEST_PX_SALES_RATIO</stp>
        <stp>[XIDA.xlsm]Peers!R17C21</stp>
        <stp>BEST_FPERIOD_OVERRIDE</stp>
        <stp>13BC</stp>
        <tr r="U17" s="4"/>
        <tr r="U17" s="4"/>
      </tp>
      <tp t="s">
        <v>#N/A Invalid Security</v>
        <stp/>
        <stp>##V3_BDPV12</stp>
        <stp xml:space="preserve"> EQUITY</stp>
        <stp>CRNCY_ADJ_MKT_CAP</stp>
        <stp>[XIDA.xlsm]Peers!R119C14</stp>
        <stp>EQY_FUND_CRNCY</stp>
        <stp>USD</stp>
        <tr r="N119" s="4"/>
      </tp>
      <tp t="s">
        <v>#N/A Invalid Security</v>
        <stp/>
        <stp>##V3_BDPV12</stp>
        <stp xml:space="preserve"> EQUITY</stp>
        <stp>CRNCY_ADJ_MKT_CAP</stp>
        <stp>[XIDA.xlsm]Peers!R109C14</stp>
        <stp>EQY_FUND_CRNCY</stp>
        <stp>USD</stp>
        <tr r="N109" s="4"/>
      </tp>
      <tp t="s">
        <v>#N/A Invalid Security</v>
        <stp/>
        <stp>##V3_BDPV12</stp>
        <stp xml:space="preserve"> EQUITY</stp>
        <stp>CRNCY_ADJ_MKT_CAP</stp>
        <stp>[XIDA.xlsm]Peers!R139C14</stp>
        <stp>EQY_FUND_CRNCY</stp>
        <stp>USD</stp>
        <tr r="N139" s="4"/>
      </tp>
      <tp t="s">
        <v>#N/A Invalid Security</v>
        <stp/>
        <stp>##V3_BDPV12</stp>
        <stp xml:space="preserve"> EQUITY</stp>
        <stp>CRNCY_ADJ_MKT_CAP</stp>
        <stp>[XIDA.xlsm]Peers!R129C14</stp>
        <stp>EQY_FUND_CRNCY</stp>
        <stp>USD</stp>
        <tr r="N129" s="4"/>
      </tp>
      <tp t="s">
        <v>#N/A Invalid Security</v>
        <stp/>
        <stp>##V3_BDPV12</stp>
        <stp xml:space="preserve"> EQUITY</stp>
        <stp>CRNCY_ADJ_MKT_CAP</stp>
        <stp>[XIDA.xlsm]Peers!R159C14</stp>
        <stp>EQY_FUND_CRNCY</stp>
        <stp>USD</stp>
        <tr r="N159" s="4"/>
      </tp>
      <tp t="s">
        <v>#N/A Invalid Security</v>
        <stp/>
        <stp>##V3_BDPV12</stp>
        <stp xml:space="preserve"> EQUITY</stp>
        <stp>CRNCY_ADJ_MKT_CAP</stp>
        <stp>[XIDA.xlsm]Peers!R149C14</stp>
        <stp>EQY_FUND_CRNCY</stp>
        <stp>USD</stp>
        <tr r="N149" s="4"/>
      </tp>
      <tp t="s">
        <v>#N/A Invalid Security</v>
        <stp/>
        <stp>##V3_BDPV12</stp>
        <stp xml:space="preserve"> EQUITY</stp>
        <stp>CRNCY_ADJ_MKT_CAP</stp>
        <stp>[XIDA.xlsm]Peers!R179C14</stp>
        <stp>EQY_FUND_CRNCY</stp>
        <stp>USD</stp>
        <tr r="N179" s="4"/>
      </tp>
      <tp t="s">
        <v>#N/A Invalid Security</v>
        <stp/>
        <stp>##V3_BDPV12</stp>
        <stp xml:space="preserve"> EQUITY</stp>
        <stp>CRNCY_ADJ_MKT_CAP</stp>
        <stp>[XIDA.xlsm]Peers!R169C14</stp>
        <stp>EQY_FUND_CRNCY</stp>
        <stp>USD</stp>
        <tr r="N169" s="4"/>
      </tp>
      <tp t="s">
        <v>#N/A Invalid Security</v>
        <stp/>
        <stp>##V3_BDPV12</stp>
        <stp xml:space="preserve"> EQUITY</stp>
        <stp>CRNCY_ADJ_MKT_CAP</stp>
        <stp>[XIDA.xlsm]Peers!R199C14</stp>
        <stp>EQY_FUND_CRNCY</stp>
        <stp>USD</stp>
        <tr r="N199" s="4"/>
      </tp>
      <tp t="s">
        <v>#N/A Invalid Security</v>
        <stp/>
        <stp>##V3_BDPV12</stp>
        <stp xml:space="preserve"> EQUITY</stp>
        <stp>CRNCY_ADJ_MKT_CAP</stp>
        <stp>[XIDA.xlsm]Peers!R189C14</stp>
        <stp>EQY_FUND_CRNCY</stp>
        <stp>USD</stp>
        <tr r="N189" s="4"/>
      </tp>
      <tp t="s">
        <v>9/30/2015</v>
        <stp/>
        <stp>##V3_BDPV12</stp>
        <stp>AAPL US EQUITY</stp>
        <stp>BEST_PERIOD_END_DATE</stp>
        <stp>[XIDA.xlsm]Overview!R32C9</stp>
        <stp>BEST_FPERIOD_OVERRIDE</stp>
        <stp>1FY</stp>
        <tr r="I32" s="3"/>
        <tr r="I32" s="3"/>
      </tp>
      <tp>
        <v>0.40297754670535646</v>
        <stp/>
        <stp>##V3_BDPV12</stp>
        <stp>HPQ US EQUITY</stp>
        <stp>BEST_PX_SALES_RATIO</stp>
        <stp>[XIDA.xlsm]DataH!R27C9</stp>
        <stp>BEST_FPERIOD_OVERRIDE</stp>
        <stp>12BC</stp>
        <stp>EQY_CONSOLIDATED</stp>
        <stp>Y</stp>
        <tr r="I27" s="16"/>
      </tp>
      <tp>
        <v>2.9432667299299302</v>
        <stp/>
        <stp>##V3_BDPV12</stp>
        <stp>AAPL US EQUITY</stp>
        <stp>BEST_PX_SALES_RATIO</stp>
        <stp>[XIDA.xlsm]Peers!R17C22</stp>
        <stp>BEST_FPERIOD_OVERRIDE</stp>
        <stp>14BC</stp>
        <tr r="V17" s="4"/>
        <tr r="V17" s="4"/>
      </tp>
      <tp>
        <v>5470</v>
        <stp/>
        <stp>##V3_BDPV12</stp>
        <stp>AAPL US EQUITY</stp>
        <stp>CF_CASH_FROM_OPER</stp>
        <stp>[XIDA.xlsm]Financials!R89C10</stp>
        <stp>EQY_FUND_RELATIVE_PERIOD</stp>
        <stp>-7FY</stp>
        <stp>EQY_FUND_CRNCY</stp>
        <stp>USD</stp>
        <stp>EQY_CONSOLIDATED</stp>
        <stp>Y</stp>
        <stp>Fill=B</stp>
        <tr r="J89" s="8"/>
      </tp>
      <tp>
        <v>9596</v>
        <stp/>
        <stp>##V3_BDPV12</stp>
        <stp>AAPL US EQUITY</stp>
        <stp>CF_CASH_FROM_OPER</stp>
        <stp>[XIDA.xlsm]Financials!R89C11</stp>
        <stp>EQY_FUND_RELATIVE_PERIOD</stp>
        <stp>-6FY</stp>
        <stp>EQY_FUND_CRNCY</stp>
        <stp>USD</stp>
        <stp>EQY_CONSOLIDATED</stp>
        <stp>Y</stp>
        <stp>Fill=B</stp>
        <tr r="K89" s="8"/>
      </tp>
      <tp>
        <v>10159</v>
        <stp/>
        <stp>##V3_BDPV12</stp>
        <stp>AAPL US EQUITY</stp>
        <stp>CF_CASH_FROM_OPER</stp>
        <stp>[XIDA.xlsm]Financials!R89C12</stp>
        <stp>EQY_FUND_RELATIVE_PERIOD</stp>
        <stp>-5FY</stp>
        <stp>EQY_FUND_CRNCY</stp>
        <stp>USD</stp>
        <stp>EQY_CONSOLIDATED</stp>
        <stp>Y</stp>
        <stp>Fill=B</stp>
        <tr r="L89" s="8"/>
      </tp>
      <tp>
        <v>18595</v>
        <stp/>
        <stp>##V3_BDPV12</stp>
        <stp>AAPL US EQUITY</stp>
        <stp>CF_CASH_FROM_OPER</stp>
        <stp>[XIDA.xlsm]Financials!R89C13</stp>
        <stp>EQY_FUND_RELATIVE_PERIOD</stp>
        <stp>-4FY</stp>
        <stp>EQY_FUND_CRNCY</stp>
        <stp>USD</stp>
        <stp>EQY_CONSOLIDATED</stp>
        <stp>Y</stp>
        <stp>Fill=B</stp>
        <tr r="M89" s="8"/>
      </tp>
      <tp>
        <v>37529</v>
        <stp/>
        <stp>##V3_BDPV12</stp>
        <stp>AAPL US EQUITY</stp>
        <stp>CF_CASH_FROM_OPER</stp>
        <stp>[XIDA.xlsm]Financials!R89C14</stp>
        <stp>EQY_FUND_RELATIVE_PERIOD</stp>
        <stp>-3FY</stp>
        <stp>EQY_FUND_CRNCY</stp>
        <stp>USD</stp>
        <stp>EQY_CONSOLIDATED</stp>
        <stp>Y</stp>
        <stp>Fill=B</stp>
        <tr r="N89" s="8"/>
      </tp>
      <tp>
        <v>50856</v>
        <stp/>
        <stp>##V3_BDPV12</stp>
        <stp>AAPL US EQUITY</stp>
        <stp>CF_CASH_FROM_OPER</stp>
        <stp>[XIDA.xlsm]Financials!R89C15</stp>
        <stp>EQY_FUND_RELATIVE_PERIOD</stp>
        <stp>-2FY</stp>
        <stp>EQY_FUND_CRNCY</stp>
        <stp>USD</stp>
        <stp>EQY_CONSOLIDATED</stp>
        <stp>Y</stp>
        <stp>Fill=B</stp>
        <tr r="O89" s="8"/>
      </tp>
      <tp>
        <v>53666</v>
        <stp/>
        <stp>##V3_BDPV12</stp>
        <stp>AAPL US EQUITY</stp>
        <stp>CF_CASH_FROM_OPER</stp>
        <stp>[XIDA.xlsm]Financials!R89C16</stp>
        <stp>EQY_FUND_RELATIVE_PERIOD</stp>
        <stp>-1FY</stp>
        <stp>EQY_FUND_CRNCY</stp>
        <stp>USD</stp>
        <stp>EQY_CONSOLIDATED</stp>
        <stp>Y</stp>
        <stp>Fill=B</stp>
        <tr r="P89" s="8"/>
      </tp>
      <tp>
        <v>59713</v>
        <stp/>
        <stp>##V3_BDPV12</stp>
        <stp>AAPL US EQUITY</stp>
        <stp>CF_CASH_FROM_OPER</stp>
        <stp>[XIDA.xlsm]Financials!R89C17</stp>
        <stp>EQY_FUND_RELATIVE_PERIOD</stp>
        <stp>-0FY</stp>
        <stp>EQY_FUND_CRNCY</stp>
        <stp>USD</stp>
        <stp>EQY_CONSOLIDATED</stp>
        <stp>Y</stp>
        <stp>Fill=B</stp>
        <tr r="Q89" s="8"/>
      </tp>
      <tp>
        <v>0.54064848143880662</v>
        <stp/>
        <stp>##V3_BDPV12</stp>
        <stp>ALU FP EQUITY</stp>
        <stp>BEST_PX_SALES_RATIO</stp>
        <stp>[XIDA.xlsm]DataH!R29C9</stp>
        <stp>BEST_FPERIOD_OVERRIDE</stp>
        <stp>12BC</stp>
        <stp>EQY_CONSOLIDATED</stp>
        <stp>Y</stp>
        <tr r="I29" s="16"/>
      </tp>
      <tp>
        <v>320</v>
        <stp/>
        <stp>##V3_BDPV12</stp>
        <stp>AAPL US EQUITY</stp>
        <stp>CF_CHNG_NON_CASH_WORK_CAP</stp>
        <stp>[XIDA.xlsm]Financials!R88C10</stp>
        <stp>EQY_FUND_RELATIVE_PERIOD</stp>
        <stp>-7FY</stp>
        <stp>EQY_FUND_CRNCY</stp>
        <stp>USD</stp>
        <stp>EQY_CONSOLIDATED</stp>
        <stp>Y</stp>
        <stp>Fill=B</stp>
        <tr r="J88" s="8"/>
      </tp>
      <tp>
        <v>92</v>
        <stp/>
        <stp>##V3_BDPV12</stp>
        <stp>AAPL US EQUITY</stp>
        <stp>CF_CHNG_NON_CASH_WORK_CAP</stp>
        <stp>[XIDA.xlsm]Financials!R88C11</stp>
        <stp>EQY_FUND_RELATIVE_PERIOD</stp>
        <stp>-6FY</stp>
        <stp>EQY_FUND_CRNCY</stp>
        <stp>USD</stp>
        <stp>EQY_CONSOLIDATED</stp>
        <stp>Y</stp>
        <stp>Fill=B</stp>
        <tr r="K88" s="8"/>
      </tp>
      <tp>
        <v>477</v>
        <stp/>
        <stp>##V3_BDPV12</stp>
        <stp>AAPL US EQUITY</stp>
        <stp>CF_CHNG_NON_CASH_WORK_CAP</stp>
        <stp>[XIDA.xlsm]Financials!R88C12</stp>
        <stp>EQY_FUND_RELATIVE_PERIOD</stp>
        <stp>-5FY</stp>
        <stp>EQY_FUND_CRNCY</stp>
        <stp>USD</stp>
        <stp>EQY_CONSOLIDATED</stp>
        <stp>Y</stp>
        <stp>Fill=B</stp>
        <tr r="L88" s="8"/>
      </tp>
      <tp>
        <v>554</v>
        <stp/>
        <stp>##V3_BDPV12</stp>
        <stp>AAPL US EQUITY</stp>
        <stp>CF_CHNG_NON_CASH_WORK_CAP</stp>
        <stp>[XIDA.xlsm]Financials!R88C13</stp>
        <stp>EQY_FUND_RELATIVE_PERIOD</stp>
        <stp>-4FY</stp>
        <stp>EQY_FUND_CRNCY</stp>
        <stp>USD</stp>
        <stp>EQY_CONSOLIDATED</stp>
        <stp>Y</stp>
        <stp>Fill=B</stp>
        <tr r="M88" s="8"/>
      </tp>
      <tp>
        <v>1262</v>
        <stp/>
        <stp>##V3_BDPV12</stp>
        <stp>AAPL US EQUITY</stp>
        <stp>CF_CHNG_NON_CASH_WORK_CAP</stp>
        <stp>[XIDA.xlsm]Financials!R88C14</stp>
        <stp>EQY_FUND_RELATIVE_PERIOD</stp>
        <stp>-3FY</stp>
        <stp>EQY_FUND_CRNCY</stp>
        <stp>USD</stp>
        <stp>EQY_CONSOLIDATED</stp>
        <stp>Y</stp>
        <stp>Fill=B</stp>
        <tr r="N88" s="8"/>
      </tp>
      <tp>
        <v>311</v>
        <stp/>
        <stp>##V3_BDPV12</stp>
        <stp>AAPL US EQUITY</stp>
        <stp>CF_CHNG_NON_CASH_WORK_CAP</stp>
        <stp>[XIDA.xlsm]Financials!R88C15</stp>
        <stp>EQY_FUND_RELATIVE_PERIOD</stp>
        <stp>-2FY</stp>
        <stp>EQY_FUND_CRNCY</stp>
        <stp>USD</stp>
        <stp>EQY_CONSOLIDATED</stp>
        <stp>Y</stp>
        <stp>Fill=B</stp>
        <tr r="O88" s="8"/>
      </tp>
      <tp>
        <v>877</v>
        <stp/>
        <stp>##V3_BDPV12</stp>
        <stp>AAPL US EQUITY</stp>
        <stp>CF_CHNG_NON_CASH_WORK_CAP</stp>
        <stp>[XIDA.xlsm]Financials!R88C16</stp>
        <stp>EQY_FUND_RELATIVE_PERIOD</stp>
        <stp>-1FY</stp>
        <stp>EQY_FUND_CRNCY</stp>
        <stp>USD</stp>
        <stp>EQY_CONSOLIDATED</stp>
        <stp>Y</stp>
        <stp>Fill=B</stp>
        <tr r="P88" s="8"/>
      </tp>
      <tp>
        <v>870</v>
        <stp/>
        <stp>##V3_BDPV12</stp>
        <stp>AAPL US EQUITY</stp>
        <stp>CF_CHNG_NON_CASH_WORK_CAP</stp>
        <stp>[XIDA.xlsm]Financials!R88C17</stp>
        <stp>EQY_FUND_RELATIVE_PERIOD</stp>
        <stp>-0FY</stp>
        <stp>EQY_FUND_CRNCY</stp>
        <stp>USD</stp>
        <stp>EQY_CONSOLIDATED</stp>
        <stp>Y</stp>
        <stp>Fill=B</stp>
        <tr r="Q88" s="8"/>
      </tp>
      <tp>
        <v>1028</v>
        <stp/>
        <stp>##V3_BDPV12</stp>
        <stp>AAPL US EQUITY</stp>
        <stp>CF_OTHER_NON_CASH_ADJUST</stp>
        <stp>[XIDA.xlsm]Financials!R87C8</stp>
        <stp>EQY_FUND_RELATIVE_PERIOD</stp>
        <stp>-9FY</stp>
        <stp>EQY_FUND_CRNCY</stp>
        <stp>USD</stp>
        <stp>EQY_CONSOLIDATED</stp>
        <stp>Y</stp>
        <stp>Fill=B</stp>
        <tr r="H87" s="8"/>
      </tp>
      <tp>
        <v>483</v>
        <stp/>
        <stp>##V3_BDPV12</stp>
        <stp>AAPL US EQUITY</stp>
        <stp>CF_OTHER_NON_CASH_ADJUST</stp>
        <stp>[XIDA.xlsm]Financials!R87C9</stp>
        <stp>EQY_FUND_RELATIVE_PERIOD</stp>
        <stp>-8FY</stp>
        <stp>EQY_FUND_CRNCY</stp>
        <stp>USD</stp>
        <stp>EQY_CONSOLIDATED</stp>
        <stp>Y</stp>
        <stp>Fill=B</stp>
        <tr r="I87" s="8"/>
      </tp>
      <tp>
        <v>1335</v>
        <stp/>
        <stp>##V3_BDPV12</stp>
        <stp>AAPL US EQUITY</stp>
        <stp>IS_COMP_NET_INCOME_ADJUST</stp>
        <stp>[XIDA.xlsm]Financials!R35C8</stp>
        <stp>EQY_FUND_RELATIVE_PERIOD</stp>
        <stp>-9FY</stp>
        <stp>EQY_FUND_CRNCY</stp>
        <stp>USD</stp>
        <stp>EQY_CONSOLIDATED</stp>
        <stp>Y</stp>
        <stp>Fill=B</stp>
        <tr r="H35" s="8"/>
      </tp>
      <tp>
        <v>1993</v>
        <stp/>
        <stp>##V3_BDPV12</stp>
        <stp>AAPL US EQUITY</stp>
        <stp>IS_COMP_NET_INCOME_ADJUST</stp>
        <stp>[XIDA.xlsm]Financials!R35C9</stp>
        <stp>EQY_FUND_RELATIVE_PERIOD</stp>
        <stp>-8FY</stp>
        <stp>EQY_FUND_CRNCY</stp>
        <stp>USD</stp>
        <stp>EQY_CONSOLIDATED</stp>
        <stp>Y</stp>
        <stp>Fill=B</stp>
        <tr r="I35" s="8"/>
      </tp>
      <tp>
        <v>0</v>
        <stp/>
        <stp>##V3_BDPV12</stp>
        <stp>AAPL US EQUITY</stp>
        <stp>CF_INCR_LT_BORROW</stp>
        <stp>[XIDA.xlsm]Financials!R100C8</stp>
        <stp>EQY_FUND_RELATIVE_PERIOD</stp>
        <stp>-9FY</stp>
        <stp>EQY_FUND_CRNCY</stp>
        <stp>USD</stp>
        <stp>EQY_CONSOLIDATED</stp>
        <stp>Y</stp>
        <stp>Fill=B</stp>
        <tr r="H100" s="8"/>
      </tp>
      <tp>
        <v>0</v>
        <stp/>
        <stp>##V3_BDPV12</stp>
        <stp>AAPL US EQUITY</stp>
        <stp>CF_INCR_LT_BORROW</stp>
        <stp>[XIDA.xlsm]Financials!R100C9</stp>
        <stp>EQY_FUND_RELATIVE_PERIOD</stp>
        <stp>-8FY</stp>
        <stp>EQY_FUND_CRNCY</stp>
        <stp>USD</stp>
        <stp>EQY_CONSOLIDATED</stp>
        <stp>Y</stp>
        <stp>Fill=B</stp>
        <tr r="I100" s="8"/>
      </tp>
      <tp>
        <v>31268.912927132722</v>
        <stp/>
        <stp>##V3_BDPV12</stp>
        <stp>ERICB SS EQUITY</stp>
        <stp>CRNCY_ADJ_MKT_CAP</stp>
        <stp>[XIDA.xlsm]Peers!R25C14</stp>
        <stp>EQY_FUND_CRNCY</stp>
        <stp>USD</stp>
        <tr r="N25" s="4"/>
        <tr r="N25" s="4"/>
      </tp>
      <tp>
        <v>21.916381918060608</v>
        <stp/>
        <stp>##V3_BDPV12</stp>
        <stp>AAPL US EQUITY</stp>
        <stp>EV_TO_T12M_EBIT</stp>
        <stp>[XIDA.xlsm]Financials!R119C8</stp>
        <stp>EQY_FUND_RELATIVE_PERIOD</stp>
        <stp>-9FY</stp>
        <stp>EQY_FUND_CRNCY</stp>
        <stp>USD</stp>
        <stp>EQY_CONSOLIDATED</stp>
        <stp>Y</stp>
        <stp>Fill=B</stp>
        <tr r="H119" s="8"/>
      </tp>
      <tp>
        <v>22.718349973355078</v>
        <stp/>
        <stp>##V3_BDPV12</stp>
        <stp>AAPL US EQUITY</stp>
        <stp>EV_TO_T12M_EBIT</stp>
        <stp>[XIDA.xlsm]Financials!R119C9</stp>
        <stp>EQY_FUND_RELATIVE_PERIOD</stp>
        <stp>-8FY</stp>
        <stp>EQY_FUND_CRNCY</stp>
        <stp>USD</stp>
        <stp>EQY_CONSOLIDATED</stp>
        <stp>Y</stp>
        <stp>Fill=B</stp>
        <tr r="I119" s="8"/>
      </tp>
      <tp>
        <v>0.38172894315531913</v>
        <stp/>
        <stp>##V3_BDPV12</stp>
        <stp>HPQ US EQUITY</stp>
        <stp>BEST_PX_SALES_RATIO</stp>
        <stp>[XIDA.xlsm]DataH!R27C8</stp>
        <stp>BEST_FPERIOD_OVERRIDE</stp>
        <stp>11BC</stp>
        <stp>EQY_CONSOLIDATED</stp>
        <stp>Y</stp>
        <tr r="H27" s="16"/>
      </tp>
      <tp>
        <v>162176570.037</v>
        <stp/>
        <stp>##V3_BDPV12</stp>
        <stp>005930 KS EQUITY</stp>
        <stp>CRNCY_ADJ_MKT_CAP</stp>
        <stp>[XIDA.xlsm]Peers!R18C13</stp>
        <tr r="M18" s="4"/>
        <tr r="M18" s="4"/>
      </tp>
      <tp>
        <v>6.1913170335504732</v>
        <stp/>
        <stp>##V3_BDPV12</stp>
        <stp>AAPL US EQUITY</stp>
        <stp>BEST_CURRENT_EV_BEST_EBIT</stp>
        <stp>[XIDA.xlsm]Overview!R34C9</stp>
        <stp>BEST_FPERIOD_OVERRIDE</stp>
        <stp>1FY</stp>
        <stp>BEST_CONSOLIDATED_OVERRIDE</stp>
        <stp>C</stp>
        <stp>Fill=-</stp>
        <tr r="I34" s="3"/>
      </tp>
      <tp>
        <v>2.5011180964304796</v>
        <stp/>
        <stp>##V3_BDPV12</stp>
        <stp>AAPL US EQUITY</stp>
        <stp>BEST_PX_SALES_RATIO</stp>
        <stp>[XIDA.xlsm]Peers!R17C23</stp>
        <stp>BEST_FPERIOD_OVERRIDE</stp>
        <stp>15BC</stp>
        <tr r="W17" s="4"/>
        <tr r="W17" s="4"/>
      </tp>
      <tp>
        <v>0.49759225043737265</v>
        <stp/>
        <stp>##V3_BDPV12</stp>
        <stp>ALU FP EQUITY</stp>
        <stp>BEST_PX_SALES_RATIO</stp>
        <stp>[XIDA.xlsm]DataH!R29C8</stp>
        <stp>BEST_FPERIOD_OVERRIDE</stp>
        <stp>11BC</stp>
        <stp>EQY_CONSOLIDATED</stp>
        <stp>Y</stp>
        <tr r="H29" s="16"/>
      </tp>
      <tp>
        <v>290</v>
        <stp/>
        <stp>##V3_BDPV12</stp>
        <stp>AAPL US EQUITY</stp>
        <stp>IS_COMP_NET_INCOME_ADJUST</stp>
        <stp>[XIDA.xlsm]Financials!R35C7</stp>
        <stp>EQY_FUND_RELATIVE_PERIOD</stp>
        <stp>-10FY</stp>
        <stp>EQY_FUND_CRNCY</stp>
        <stp>USD</stp>
        <stp>EQY_CONSOLIDATED</stp>
        <stp>Y</stp>
        <stp>Fill=B</stp>
        <tr r="G35" s="8"/>
      </tp>
      <tp>
        <v>0</v>
        <stp/>
        <stp>##V3_BDPV12</stp>
        <stp>AAPL US EQUITY</stp>
        <stp>XO_GL_NET_OF_TAX</stp>
        <stp>[XIDA.xlsm]Financials!R30C8</stp>
        <stp>EQY_FUND_RELATIVE_PERIOD</stp>
        <stp>-9FY</stp>
        <stp>EQY_FUND_CRNCY</stp>
        <stp>USD</stp>
        <stp>EQY_CONSOLIDATED</stp>
        <stp>Y</stp>
        <stp>Fill=B</stp>
        <tr r="H30" s="8"/>
      </tp>
      <tp>
        <v>0</v>
        <stp/>
        <stp>##V3_BDPV12</stp>
        <stp>AAPL US EQUITY</stp>
        <stp>XO_GL_NET_OF_TAX</stp>
        <stp>[XIDA.xlsm]Financials!R30C9</stp>
        <stp>EQY_FUND_RELATIVE_PERIOD</stp>
        <stp>-8FY</stp>
        <stp>EQY_FUND_CRNCY</stp>
        <stp>USD</stp>
        <stp>EQY_CONSOLIDATED</stp>
        <stp>Y</stp>
        <stp>Fill=B</stp>
        <tr r="I30" s="8"/>
      </tp>
      <tp t="s">
        <v>USD</v>
        <stp/>
        <stp>##V3_BDPV12</stp>
        <stp>AAPL US EQUITY</stp>
        <stp>CRNCY</stp>
        <stp>[XIDA.xlsm]ControlsH!R21C3</stp>
        <tr r="C21" s="2"/>
      </tp>
      <tp>
        <v>4.5447333627148527</v>
        <stp/>
        <stp>##V3_BDPV12</stp>
        <stp>AAPL US EQUITY</stp>
        <stp>BEST_PX_BPS_RATIO</stp>
        <stp>[XIDA.xlsm]Overview!R37C9</stp>
        <stp>BEST_FPERIOD_OVERRIDE</stp>
        <stp>1FY</stp>
        <stp>BEST_CONSOLIDATED_OVERRIDE</stp>
        <stp>C</stp>
        <stp>Fill=-</stp>
        <tr r="I37" s="3"/>
      </tp>
      <tp>
        <v>0.5614285714285715</v>
        <stp/>
        <stp>##V3_BDPV12</stp>
        <stp>AAPL US EQUITY</stp>
        <stp>IS_DIL_EPS_BEF_XO</stp>
        <stp>[XIDA.xlsm]Financials!R33C10</stp>
        <stp>EQY_FUND_RELATIVE_PERIOD</stp>
        <stp>-7FY</stp>
        <stp>EQY_FUND_CRNCY</stp>
        <stp>USD</stp>
        <stp>EQY_CONSOLIDATED</stp>
        <stp>Y</stp>
        <stp>Fill=B</stp>
        <tr r="J33" s="8"/>
      </tp>
      <tp>
        <v>0.96857142857142864</v>
        <stp/>
        <stp>##V3_BDPV12</stp>
        <stp>AAPL US EQUITY</stp>
        <stp>IS_DIL_EPS_BEF_XO</stp>
        <stp>[XIDA.xlsm]Financials!R33C11</stp>
        <stp>EQY_FUND_RELATIVE_PERIOD</stp>
        <stp>-6FY</stp>
        <stp>EQY_FUND_CRNCY</stp>
        <stp>USD</stp>
        <stp>EQY_CONSOLIDATED</stp>
        <stp>Y</stp>
        <stp>Fill=B</stp>
        <tr r="K33" s="8"/>
      </tp>
      <tp>
        <v>1.2971428571428572</v>
        <stp/>
        <stp>##V3_BDPV12</stp>
        <stp>AAPL US EQUITY</stp>
        <stp>IS_DIL_EPS_BEF_XO</stp>
        <stp>[XIDA.xlsm]Financials!R33C12</stp>
        <stp>EQY_FUND_RELATIVE_PERIOD</stp>
        <stp>-5FY</stp>
        <stp>EQY_FUND_CRNCY</stp>
        <stp>USD</stp>
        <stp>EQY_CONSOLIDATED</stp>
        <stp>Y</stp>
        <stp>Fill=B</stp>
        <tr r="L33" s="8"/>
      </tp>
      <tp>
        <v>2.1642857142857141</v>
        <stp/>
        <stp>##V3_BDPV12</stp>
        <stp>AAPL US EQUITY</stp>
        <stp>IS_DIL_EPS_BEF_XO</stp>
        <stp>[XIDA.xlsm]Financials!R33C13</stp>
        <stp>EQY_FUND_RELATIVE_PERIOD</stp>
        <stp>-4FY</stp>
        <stp>EQY_FUND_CRNCY</stp>
        <stp>USD</stp>
        <stp>EQY_CONSOLIDATED</stp>
        <stp>Y</stp>
        <stp>Fill=B</stp>
        <tr r="M33" s="8"/>
      </tp>
      <tp>
        <v>3.9542857142857142</v>
        <stp/>
        <stp>##V3_BDPV12</stp>
        <stp>AAPL US EQUITY</stp>
        <stp>IS_DIL_EPS_BEF_XO</stp>
        <stp>[XIDA.xlsm]Financials!R33C14</stp>
        <stp>EQY_FUND_RELATIVE_PERIOD</stp>
        <stp>-3FY</stp>
        <stp>EQY_FUND_CRNCY</stp>
        <stp>USD</stp>
        <stp>EQY_CONSOLIDATED</stp>
        <stp>Y</stp>
        <stp>Fill=B</stp>
        <tr r="N33" s="8"/>
      </tp>
      <tp>
        <v>6.3071428571428569</v>
        <stp/>
        <stp>##V3_BDPV12</stp>
        <stp>AAPL US EQUITY</stp>
        <stp>IS_DIL_EPS_BEF_XO</stp>
        <stp>[XIDA.xlsm]Financials!R33C15</stp>
        <stp>EQY_FUND_RELATIVE_PERIOD</stp>
        <stp>-2FY</stp>
        <stp>EQY_FUND_CRNCY</stp>
        <stp>USD</stp>
        <stp>EQY_CONSOLIDATED</stp>
        <stp>Y</stp>
        <stp>Fill=B</stp>
        <tr r="O33" s="8"/>
      </tp>
      <tp>
        <v>5.6785714285714288</v>
        <stp/>
        <stp>##V3_BDPV12</stp>
        <stp>AAPL US EQUITY</stp>
        <stp>IS_DIL_EPS_BEF_XO</stp>
        <stp>[XIDA.xlsm]Financials!R33C16</stp>
        <stp>EQY_FUND_RELATIVE_PERIOD</stp>
        <stp>-1FY</stp>
        <stp>EQY_FUND_CRNCY</stp>
        <stp>USD</stp>
        <stp>EQY_CONSOLIDATED</stp>
        <stp>Y</stp>
        <stp>Fill=B</stp>
        <tr r="P33" s="8"/>
      </tp>
      <tp>
        <v>6.45</v>
        <stp/>
        <stp>##V3_BDPV12</stp>
        <stp>AAPL US EQUITY</stp>
        <stp>IS_DIL_EPS_BEF_XO</stp>
        <stp>[XIDA.xlsm]Financials!R33C17</stp>
        <stp>EQY_FUND_RELATIVE_PERIOD</stp>
        <stp>-0FY</stp>
        <stp>EQY_FUND_CRNCY</stp>
        <stp>USD</stp>
        <stp>EQY_CONSOLIDATED</stp>
        <stp>Y</stp>
        <stp>Fill=B</stp>
        <tr r="Q33" s="8"/>
      </tp>
      <tp>
        <v>2.3569460385746974</v>
        <stp/>
        <stp>##V3_BDPV12</stp>
        <stp>AAPL US EQUITY</stp>
        <stp>BEST_PX_SALES_RATIO</stp>
        <stp>[XIDA.xlsm]Peers!R17C24</stp>
        <stp>BEST_FPERIOD_OVERRIDE</stp>
        <stp>16BC</stp>
        <tr r="X17" s="4"/>
        <tr r="X17" s="4"/>
      </tp>
      <tp>
        <v>588064.69264000002</v>
        <stp/>
        <stp>##V3_BDPV12</stp>
        <stp>AAPL US EQUITY</stp>
        <stp>CRNCY_ADJ_MKT_CAP</stp>
        <stp>[XIDA.xlsm]Peers!R17C14</stp>
        <stp>EQY_FUND_CRNCY</stp>
        <stp>USD</stp>
        <tr r="N17" s="4"/>
      </tp>
      <tp>
        <v>11551</v>
        <stp/>
        <stp>##V3_BDPV12</stp>
        <stp>AAPL US EQUITY</stp>
        <stp>TOT_LIAB_AND_EQY</stp>
        <stp>[XIDA.xlsm]Financials!R79C8</stp>
        <stp>EQY_FUND_RELATIVE_PERIOD</stp>
        <stp>-9FY</stp>
        <stp>EQY_FUND_CRNCY</stp>
        <stp>USD</stp>
        <stp>EQY_CONSOLIDATED</stp>
        <stp>Y</stp>
        <stp>Fill=B</stp>
        <tr r="H79" s="8"/>
      </tp>
      <tp>
        <v>17205</v>
        <stp/>
        <stp>##V3_BDPV12</stp>
        <stp>AAPL US EQUITY</stp>
        <stp>TOT_LIAB_AND_EQY</stp>
        <stp>[XIDA.xlsm]Financials!R79C9</stp>
        <stp>EQY_FUND_RELATIVE_PERIOD</stp>
        <stp>-8FY</stp>
        <stp>EQY_FUND_CRNCY</stp>
        <stp>USD</stp>
        <stp>EQY_CONSOLIDATED</stp>
        <stp>Y</stp>
        <stp>Fill=B</stp>
        <tr r="I79" s="8"/>
      </tp>
      <tp>
        <v>0</v>
        <stp/>
        <stp>##V3_BDPV12</stp>
        <stp>AAPL US EQUITY</stp>
        <stp>CF_REIMB_LT_BORROW</stp>
        <stp>[XIDA.xlsm]Financials!R101C10</stp>
        <stp>EQY_FUND_RELATIVE_PERIOD</stp>
        <stp>-7FY</stp>
        <stp>EQY_FUND_CRNCY</stp>
        <stp>USD</stp>
        <stp>EQY_CONSOLIDATED</stp>
        <stp>Y</stp>
        <stp>Fill=B</stp>
        <tr r="J101" s="8"/>
      </tp>
      <tp>
        <v>0</v>
        <stp/>
        <stp>##V3_BDPV12</stp>
        <stp>AAPL US EQUITY</stp>
        <stp>CF_REIMB_LT_BORROW</stp>
        <stp>[XIDA.xlsm]Financials!R101C11</stp>
        <stp>EQY_FUND_RELATIVE_PERIOD</stp>
        <stp>-6FY</stp>
        <stp>EQY_FUND_CRNCY</stp>
        <stp>USD</stp>
        <stp>EQY_CONSOLIDATED</stp>
        <stp>Y</stp>
        <stp>Fill=B</stp>
        <tr r="K101" s="8"/>
      </tp>
      <tp>
        <v>0</v>
        <stp/>
        <stp>##V3_BDPV12</stp>
        <stp>AAPL US EQUITY</stp>
        <stp>CF_REIMB_LT_BORROW</stp>
        <stp>[XIDA.xlsm]Financials!R101C12</stp>
        <stp>EQY_FUND_RELATIVE_PERIOD</stp>
        <stp>-5FY</stp>
        <stp>EQY_FUND_CRNCY</stp>
        <stp>USD</stp>
        <stp>EQY_CONSOLIDATED</stp>
        <stp>Y</stp>
        <stp>Fill=B</stp>
        <tr r="L101" s="8"/>
      </tp>
      <tp>
        <v>0</v>
        <stp/>
        <stp>##V3_BDPV12</stp>
        <stp>AAPL US EQUITY</stp>
        <stp>CF_REIMB_LT_BORROW</stp>
        <stp>[XIDA.xlsm]Financials!R101C13</stp>
        <stp>EQY_FUND_RELATIVE_PERIOD</stp>
        <stp>-4FY</stp>
        <stp>EQY_FUND_CRNCY</stp>
        <stp>USD</stp>
        <stp>EQY_CONSOLIDATED</stp>
        <stp>Y</stp>
        <stp>Fill=B</stp>
        <tr r="M101" s="8"/>
      </tp>
      <tp>
        <v>0</v>
        <stp/>
        <stp>##V3_BDPV12</stp>
        <stp>AAPL US EQUITY</stp>
        <stp>CF_REIMB_LT_BORROW</stp>
        <stp>[XIDA.xlsm]Financials!R101C14</stp>
        <stp>EQY_FUND_RELATIVE_PERIOD</stp>
        <stp>-3FY</stp>
        <stp>EQY_FUND_CRNCY</stp>
        <stp>USD</stp>
        <stp>EQY_CONSOLIDATED</stp>
        <stp>Y</stp>
        <stp>Fill=B</stp>
        <tr r="N101" s="8"/>
      </tp>
      <tp>
        <v>0</v>
        <stp/>
        <stp>##V3_BDPV12</stp>
        <stp>AAPL US EQUITY</stp>
        <stp>CF_REIMB_LT_BORROW</stp>
        <stp>[XIDA.xlsm]Financials!R101C15</stp>
        <stp>EQY_FUND_RELATIVE_PERIOD</stp>
        <stp>-2FY</stp>
        <stp>EQY_FUND_CRNCY</stp>
        <stp>USD</stp>
        <stp>EQY_CONSOLIDATED</stp>
        <stp>Y</stp>
        <stp>Fill=B</stp>
        <tr r="O101" s="8"/>
      </tp>
      <tp>
        <v>0</v>
        <stp/>
        <stp>##V3_BDPV12</stp>
        <stp>AAPL US EQUITY</stp>
        <stp>CF_REIMB_LT_BORROW</stp>
        <stp>[XIDA.xlsm]Financials!R101C16</stp>
        <stp>EQY_FUND_RELATIVE_PERIOD</stp>
        <stp>-1FY</stp>
        <stp>EQY_FUND_CRNCY</stp>
        <stp>USD</stp>
        <stp>EQY_CONSOLIDATED</stp>
        <stp>Y</stp>
        <stp>Fill=B</stp>
        <tr r="P101" s="8"/>
      </tp>
      <tp>
        <v>0</v>
        <stp/>
        <stp>##V3_BDPV12</stp>
        <stp>AAPL US EQUITY</stp>
        <stp>CF_REIMB_LT_BORROW</stp>
        <stp>[XIDA.xlsm]Financials!R101C17</stp>
        <stp>EQY_FUND_RELATIVE_PERIOD</stp>
        <stp>-0FY</stp>
        <stp>EQY_FUND_CRNCY</stp>
        <stp>USD</stp>
        <stp>EQY_CONSOLIDATED</stp>
        <stp>Y</stp>
        <stp>Fill=B</stp>
        <tr r="Q101" s="8"/>
      </tp>
      <tp>
        <v>2393</v>
        <stp/>
        <stp>##V3_BDPV12</stp>
        <stp>AAPL US EQUITY</stp>
        <stp>IS_OPERATING_EXPN</stp>
        <stp>[XIDA.xlsm]Financials!R18C8</stp>
        <stp>EQY_FUND_RELATIVE_PERIOD</stp>
        <stp>-9FY</stp>
        <stp>EQY_FUND_CRNCY</stp>
        <stp>USD</stp>
        <stp>EQY_CONSOLIDATED</stp>
        <stp>Y</stp>
        <stp>Fill=B</stp>
        <tr r="H18" s="8"/>
      </tp>
      <tp>
        <v>3145</v>
        <stp/>
        <stp>##V3_BDPV12</stp>
        <stp>AAPL US EQUITY</stp>
        <stp>IS_OPERATING_EXPN</stp>
        <stp>[XIDA.xlsm]Financials!R18C9</stp>
        <stp>EQY_FUND_RELATIVE_PERIOD</stp>
        <stp>-8FY</stp>
        <stp>EQY_FUND_CRNCY</stp>
        <stp>USD</stp>
        <stp>EQY_CONSOLIDATED</stp>
        <stp>Y</stp>
        <stp>Fill=B</stp>
        <tr r="I18" s="8"/>
      </tp>
      <tp>
        <v>10.84994</v>
        <stp/>
        <stp>##V3_BDHV12</stp>
        <stp>BB CN EQUITY</stp>
        <stp>PX_LAST</stp>
        <stp>1/1/2015</stp>
        <stp>4/13/2015</stp>
        <stp>[XIDA.xlsm]PricesH!R4C2</stp>
        <stp>Dts=H</stp>
        <stp>FX=USD</stp>
        <stp>CDR=US</stp>
        <stp/>
        <stp>PER=CD</stp>
        <stp>cols=1;rows=69</stp>
        <tr r="B4" s="6"/>
      </tp>
      <tp>
        <v>2.3276119402985076</v>
        <stp/>
        <stp>##V3_BDPV12</stp>
        <stp>AAPL US EQUITY</stp>
        <stp>QUICK_RATIO</stp>
        <stp>[XIDA.xlsm]Financials!R135C7</stp>
        <stp>EQY_FUND_RELATIVE_PERIOD</stp>
        <stp>-10FY</stp>
        <stp>EQY_FUND_CRNCY</stp>
        <stp>USD</stp>
        <stp>EQY_CONSOLIDATED</stp>
        <stp>Y</stp>
        <stp>Fill=B</stp>
        <tr r="G135" s="8"/>
      </tp>
      <tp>
        <v>19.771476306615639</v>
        <stp/>
        <stp>##V3_BDPV12</stp>
        <stp>AAPL US EQUITY</stp>
        <stp>EV_TO_T12M_EBITDA</stp>
        <stp>[XIDA.xlsm]Financials!R120C8</stp>
        <stp>EQY_FUND_RELATIVE_PERIOD</stp>
        <stp>-9FY</stp>
        <stp>EQY_FUND_CRNCY</stp>
        <stp>USD</stp>
        <stp>EQY_CONSOLIDATED</stp>
        <stp>Y</stp>
        <stp>Fill=B</stp>
        <tr r="H120" s="8"/>
      </tp>
      <tp>
        <v>20.809601375892459</v>
        <stp/>
        <stp>##V3_BDPV12</stp>
        <stp>AAPL US EQUITY</stp>
        <stp>EV_TO_T12M_EBITDA</stp>
        <stp>[XIDA.xlsm]Financials!R120C9</stp>
        <stp>EQY_FUND_RELATIVE_PERIOD</stp>
        <stp>-8FY</stp>
        <stp>EQY_FUND_CRNCY</stp>
        <stp>USD</stp>
        <stp>EQY_CONSOLIDATED</stp>
        <stp>Y</stp>
        <stp>Fill=B</stp>
        <tr r="I120" s="8"/>
      </tp>
      <tp>
        <v>2495</v>
        <stp/>
        <stp>##V3_BDPV12</stp>
        <stp>AAPL US EQUITY</stp>
        <stp>BS_MKT_SEC_OTHER_ST_INVEST</stp>
        <stp>[XIDA.xlsm]Financials!R50C7</stp>
        <stp>EQY_FUND_RELATIVE_PERIOD</stp>
        <stp>-10FY</stp>
        <stp>EQY_FUND_CRNCY</stp>
        <stp>USD</stp>
        <stp>EQY_CONSOLIDATED</stp>
        <stp>Y</stp>
        <stp>Fill=B</stp>
        <tr r="G50" s="8"/>
      </tp>
      <tp>
        <v>2.3154227106561707</v>
        <stp/>
        <stp>##V3_BDPV12</stp>
        <stp>AAPL US EQUITY</stp>
        <stp>BEST_PX_SALES_RATIO</stp>
        <stp>[XIDA.xlsm]Peers!R17C25</stp>
        <stp>BEST_FPERIOD_OVERRIDE</stp>
        <stp>17BC</stp>
        <tr r="Y17" s="4"/>
        <tr r="Y17" s="4"/>
      </tp>
      <tp>
        <v>-2296</v>
        <stp/>
        <stp>##V3_BDPV12</stp>
        <stp>AAPL US EQUITY</stp>
        <stp>CF_OTHER_INV_ACT</stp>
        <stp>[XIDA.xlsm]Financials!R95C8</stp>
        <stp>EQY_FUND_RELATIVE_PERIOD</stp>
        <stp>-9FY</stp>
        <stp>EQY_FUND_CRNCY</stp>
        <stp>USD</stp>
        <stp>EQY_CONSOLIDATED</stp>
        <stp>Y</stp>
        <stp>Fill=B</stp>
        <tr r="H95" s="8"/>
      </tp>
      <tp>
        <v>1039</v>
        <stp/>
        <stp>##V3_BDPV12</stp>
        <stp>AAPL US EQUITY</stp>
        <stp>CF_OTHER_INV_ACT</stp>
        <stp>[XIDA.xlsm]Financials!R95C9</stp>
        <stp>EQY_FUND_RELATIVE_PERIOD</stp>
        <stp>-8FY</stp>
        <stp>EQY_FUND_CRNCY</stp>
        <stp>USD</stp>
        <stp>EQY_CONSOLIDATED</stp>
        <stp>Y</stp>
        <stp>Fill=B</stp>
        <tr r="I95" s="8"/>
      </tp>
      <tp>
        <v>3708.7257234002586</v>
        <stp/>
        <stp>##V3_BDPV12</stp>
        <stp>BB CN EQUITY</stp>
        <stp>CRNCY_ADJ_MKT_CAP</stp>
        <stp>[XIDA.xlsm]Peers!R19C14</stp>
        <stp>EQY_FUND_CRNCY</stp>
        <stp>USD</stp>
        <tr r="N19" s="4"/>
        <tr r="N19" s="4"/>
      </tp>
      <tp t="e">
        <v>#N/A</v>
        <stp/>
        <stp>##V3_BDSV12</stp>
        <stp>AAPL US EQUITY</stp>
        <stp>TOP_20_HOLDERS_PUBLIC_FILINGS</stp>
        <stp>[XIDA.xlsm]DataH!R56C1</stp>
        <stp>TOP_HOLDERS_INST_TYPE_OVERRIDE</stp>
        <stp>TOP 20 ALL</stp>
        <stp>startcol=1</stp>
        <stp>endcol=1</stp>
        <stp>startrow=1</stp>
        <stp>endrow=20</stp>
        <stp>cols=1;rows=20</stp>
        <tr r="A56" s="16"/>
      </tp>
      <tp>
        <v>202848</v>
        <stp/>
        <stp>##V3_BDPV12</stp>
        <stp>AAPL US EQUITY</stp>
        <stp>CASH_AND_ST_INVESTMENTS</stp>
        <stp>[XIDA.xlsm]DataH!R13C2</stp>
        <stp>EQY_FUND_RELATIVE_PERIOD</stp>
        <stp>-0FQ</stp>
        <tr r="B13" s="16"/>
      </tp>
      <tp t="s">
        <v>#N/A Requesting Data...</v>
        <stp/>
        <stp>##V3_BDSV12</stp>
        <stp>AAPL US EQUITY</stp>
        <stp>BEST_CPS_BRK_GRID</stp>
        <stp>[XIDA.xlsm]DataH!R8C91</stp>
        <stp>BEST_FPERIOD_OVERRIDE</stp>
        <stp>1FQ</stp>
        <stp>STARTCOL=1</stp>
        <stp>ENDCOL=1</stp>
        <stp>EQY_FUND_CRNCY</stp>
        <stp>USD</stp>
        <stp>BEST_CONSOLIDATED_OVERRIDE</stp>
        <stp>C</stp>
        <tr r="CM8" s="16"/>
      </tp>
      <tp>
        <v>2.2934445306439102</v>
        <stp/>
        <stp>##V3_BDPV12</stp>
        <stp>AAPL US EQUITY</stp>
        <stp>BEST_DIV_YLD</stp>
        <stp>[XIDA.xlsm]Financials!R123C20</stp>
        <stp>BEST_FPERIOD_OVERRIDE</stp>
        <stp>3FY</stp>
        <stp>EQY_FUND_CRNCY</stp>
        <stp>USD</stp>
        <stp>BEST_CONSOLIDATED_OVERRIDE</stp>
        <stp>C</stp>
        <tr r="T123" s="8"/>
        <tr r="T123" s="8"/>
      </tp>
      <tp t="s">
        <v>Consumer Electronics</v>
        <stp/>
        <stp>##V3_BDPV12</stp>
        <stp>066570 KS EQUITY</stp>
        <stp>GICS_SUB_INDUSTRY_NAME</stp>
        <stp>[XIDA.xlsm]Peers!R21C8</stp>
        <tr r="H21" s="4"/>
      </tp>
      <tp t="s">
        <v>#N/A Invalid Security</v>
        <stp/>
        <stp>##V3_BDPV12</stp>
        <stp xml:space="preserve"> EQUITY</stp>
        <stp>CRNCY_ADJ_MKT_CAP</stp>
        <stp>[XIDA.xlsm]Peers!R112C14</stp>
        <stp>EQY_FUND_CRNCY</stp>
        <stp>USD</stp>
        <tr r="N112" s="4"/>
      </tp>
      <tp t="s">
        <v>#N/A Invalid Security</v>
        <stp/>
        <stp>##V3_BDPV12</stp>
        <stp xml:space="preserve"> EQUITY</stp>
        <stp>CRNCY_ADJ_MKT_CAP</stp>
        <stp>[XIDA.xlsm]Peers!R102C14</stp>
        <stp>EQY_FUND_CRNCY</stp>
        <stp>USD</stp>
        <tr r="N102" s="4"/>
      </tp>
      <tp t="s">
        <v>#N/A Invalid Security</v>
        <stp/>
        <stp>##V3_BDPV12</stp>
        <stp xml:space="preserve"> EQUITY</stp>
        <stp>CRNCY_ADJ_MKT_CAP</stp>
        <stp>[XIDA.xlsm]Peers!R132C14</stp>
        <stp>EQY_FUND_CRNCY</stp>
        <stp>USD</stp>
        <tr r="N132" s="4"/>
      </tp>
      <tp t="s">
        <v>#N/A Invalid Security</v>
        <stp/>
        <stp>##V3_BDPV12</stp>
        <stp xml:space="preserve"> EQUITY</stp>
        <stp>CRNCY_ADJ_MKT_CAP</stp>
        <stp>[XIDA.xlsm]Peers!R122C14</stp>
        <stp>EQY_FUND_CRNCY</stp>
        <stp>USD</stp>
        <tr r="N122" s="4"/>
      </tp>
      <tp t="s">
        <v>#N/A Invalid Security</v>
        <stp/>
        <stp>##V3_BDPV12</stp>
        <stp xml:space="preserve"> EQUITY</stp>
        <stp>CRNCY_ADJ_MKT_CAP</stp>
        <stp>[XIDA.xlsm]Peers!R152C14</stp>
        <stp>EQY_FUND_CRNCY</stp>
        <stp>USD</stp>
        <tr r="N152" s="4"/>
      </tp>
      <tp t="s">
        <v>#N/A Invalid Security</v>
        <stp/>
        <stp>##V3_BDPV12</stp>
        <stp xml:space="preserve"> EQUITY</stp>
        <stp>CRNCY_ADJ_MKT_CAP</stp>
        <stp>[XIDA.xlsm]Peers!R142C14</stp>
        <stp>EQY_FUND_CRNCY</stp>
        <stp>USD</stp>
        <tr r="N142" s="4"/>
      </tp>
      <tp t="s">
        <v>#N/A Invalid Security</v>
        <stp/>
        <stp>##V3_BDPV12</stp>
        <stp xml:space="preserve"> EQUITY</stp>
        <stp>CRNCY_ADJ_MKT_CAP</stp>
        <stp>[XIDA.xlsm]Peers!R172C14</stp>
        <stp>EQY_FUND_CRNCY</stp>
        <stp>USD</stp>
        <tr r="N172" s="4"/>
      </tp>
      <tp t="s">
        <v>#N/A Invalid Security</v>
        <stp/>
        <stp>##V3_BDPV12</stp>
        <stp xml:space="preserve"> EQUITY</stp>
        <stp>CRNCY_ADJ_MKT_CAP</stp>
        <stp>[XIDA.xlsm]Peers!R162C14</stp>
        <stp>EQY_FUND_CRNCY</stp>
        <stp>USD</stp>
        <tr r="N162" s="4"/>
      </tp>
      <tp t="s">
        <v>#N/A Invalid Security</v>
        <stp/>
        <stp>##V3_BDPV12</stp>
        <stp xml:space="preserve"> EQUITY</stp>
        <stp>CRNCY_ADJ_MKT_CAP</stp>
        <stp>[XIDA.xlsm]Peers!R192C14</stp>
        <stp>EQY_FUND_CRNCY</stp>
        <stp>USD</stp>
        <tr r="N192" s="4"/>
      </tp>
      <tp t="s">
        <v>#N/A Invalid Security</v>
        <stp/>
        <stp>##V3_BDPV12</stp>
        <stp xml:space="preserve"> EQUITY</stp>
        <stp>CRNCY_ADJ_MKT_CAP</stp>
        <stp>[XIDA.xlsm]Peers!R182C14</stp>
        <stp>EQY_FUND_CRNCY</stp>
        <stp>USD</stp>
        <tr r="N182" s="4"/>
      </tp>
      <tp>
        <v>14.220034176906177</v>
        <stp/>
        <stp>##V3_BDPV12</stp>
        <stp>AAPL US EQUITY</stp>
        <stp>PROF_MARGIN</stp>
        <stp>[XIDA.xlsm]Financials!R129C10</stp>
        <stp>EQY_FUND_RELATIVE_PERIOD</stp>
        <stp>-7FY</stp>
        <stp>EQY_FUND_CRNCY</stp>
        <stp>USD</stp>
        <stp>EQY_CONSOLIDATED</stp>
        <stp>Y</stp>
        <stp>Fill=0</stp>
        <tr r="J129" s="8"/>
      </tp>
      <tp>
        <v>16.32125043343736</v>
        <stp/>
        <stp>##V3_BDPV12</stp>
        <stp>AAPL US EQUITY</stp>
        <stp>PROF_MARGIN</stp>
        <stp>[XIDA.xlsm]Financials!R129C11</stp>
        <stp>EQY_FUND_RELATIVE_PERIOD</stp>
        <stp>-6FY</stp>
        <stp>EQY_FUND_CRNCY</stp>
        <stp>USD</stp>
        <stp>EQY_CONSOLIDATED</stp>
        <stp>Y</stp>
        <stp>Fill=0</stp>
        <tr r="K129" s="8"/>
      </tp>
      <tp>
        <v>19.19356718331197</v>
        <stp/>
        <stp>##V3_BDPV12</stp>
        <stp>AAPL US EQUITY</stp>
        <stp>PROF_MARGIN</stp>
        <stp>[XIDA.xlsm]Financials!R129C12</stp>
        <stp>EQY_FUND_RELATIVE_PERIOD</stp>
        <stp>-5FY</stp>
        <stp>EQY_FUND_CRNCY</stp>
        <stp>USD</stp>
        <stp>EQY_CONSOLIDATED</stp>
        <stp>Y</stp>
        <stp>Fill=0</stp>
        <tr r="L129" s="8"/>
      </tp>
      <tp>
        <v>21.484093522422384</v>
        <stp/>
        <stp>##V3_BDPV12</stp>
        <stp>AAPL US EQUITY</stp>
        <stp>PROF_MARGIN</stp>
        <stp>[XIDA.xlsm]Financials!R129C13</stp>
        <stp>EQY_FUND_RELATIVE_PERIOD</stp>
        <stp>-4FY</stp>
        <stp>EQY_FUND_CRNCY</stp>
        <stp>USD</stp>
        <stp>EQY_CONSOLIDATED</stp>
        <stp>Y</stp>
        <stp>Fill=0</stp>
        <tr r="M129" s="8"/>
      </tp>
      <tp>
        <v>23.946641539413761</v>
        <stp/>
        <stp>##V3_BDPV12</stp>
        <stp>AAPL US EQUITY</stp>
        <stp>PROF_MARGIN</stp>
        <stp>[XIDA.xlsm]Financials!R129C14</stp>
        <stp>EQY_FUND_RELATIVE_PERIOD</stp>
        <stp>-3FY</stp>
        <stp>EQY_FUND_CRNCY</stp>
        <stp>USD</stp>
        <stp>EQY_CONSOLIDATED</stp>
        <stp>Y</stp>
        <stp>Fill=0</stp>
        <tr r="N129" s="8"/>
      </tp>
      <tp>
        <v>26.665090602397324</v>
        <stp/>
        <stp>##V3_BDPV12</stp>
        <stp>AAPL US EQUITY</stp>
        <stp>PROF_MARGIN</stp>
        <stp>[XIDA.xlsm]Financials!R129C15</stp>
        <stp>EQY_FUND_RELATIVE_PERIOD</stp>
        <stp>-2FY</stp>
        <stp>EQY_FUND_CRNCY</stp>
        <stp>USD</stp>
        <stp>EQY_CONSOLIDATED</stp>
        <stp>Y</stp>
        <stp>Fill=0</stp>
        <tr r="O129" s="8"/>
      </tp>
      <tp>
        <v>21.670469837926394</v>
        <stp/>
        <stp>##V3_BDPV12</stp>
        <stp>AAPL US EQUITY</stp>
        <stp>PROF_MARGIN</stp>
        <stp>[XIDA.xlsm]Financials!R129C16</stp>
        <stp>EQY_FUND_RELATIVE_PERIOD</stp>
        <stp>-1FY</stp>
        <stp>EQY_FUND_CRNCY</stp>
        <stp>USD</stp>
        <stp>EQY_CONSOLIDATED</stp>
        <stp>Y</stp>
        <stp>Fill=0</stp>
        <tr r="P129" s="8"/>
      </tp>
      <tp>
        <v>21.614376760852323</v>
        <stp/>
        <stp>##V3_BDPV12</stp>
        <stp>AAPL US EQUITY</stp>
        <stp>PROF_MARGIN</stp>
        <stp>[XIDA.xlsm]Financials!R129C17</stp>
        <stp>EQY_FUND_RELATIVE_PERIOD</stp>
        <stp>-0FY</stp>
        <stp>EQY_FUND_CRNCY</stp>
        <stp>USD</stp>
        <stp>EQY_CONSOLIDATED</stp>
        <stp>Y</stp>
        <stp>Fill=0</stp>
        <tr r="Q129" s="8"/>
      </tp>
      <tp t="s">
        <v>#N/A N/A</v>
        <stp/>
        <stp>##V3_BDPV12</stp>
        <stp>AAPL US EQUITY</stp>
        <stp>CASH_AND_ST_INVESTMENTS</stp>
        <stp>[XIDA.xlsm]DataH!R13C3</stp>
        <stp>EQY_FUND_RELATIVE_PERIOD</stp>
        <stp>-0FS</stp>
        <tr r="C13" s="16"/>
      </tp>
      <tp>
        <v>3.55016</v>
        <stp/>
        <stp>##V3_BDHV12</stp>
        <stp>ALU FP EQUITY</stp>
        <stp>PX_LAST</stp>
        <stp>1/1/2015</stp>
        <stp>4/13/2015</stp>
        <stp>[XIDA.xlsm]PricesH!R4C7</stp>
        <stp>Dts=H</stp>
        <stp>FX=USD</stp>
        <stp>CDR=US</stp>
        <stp/>
        <stp>PER=CD</stp>
        <stp>cols=1;rows=69</stp>
        <tr r="G4" s="6"/>
      </tp>
      <tp>
        <v>0</v>
        <stp/>
        <stp>##V3_BDPV12</stp>
        <stp>AAPL US EQUITY</stp>
        <stp>TOT_DEBT_TO_TOT_EQY</stp>
        <stp>[XIDA.xlsm]Financials!R138C7</stp>
        <stp>EQY_FUND_RELATIVE_PERIOD</stp>
        <stp>-10FY</stp>
        <stp>EQY_FUND_CRNCY</stp>
        <stp>USD</stp>
        <stp>EQY_CONSOLIDATED</stp>
        <stp>Y</stp>
        <stp>Fill=0</stp>
        <tr r="G138" s="8"/>
      </tp>
      <tp>
        <v>1.9230023273855703</v>
        <stp/>
        <stp>##V3_BDPV12</stp>
        <stp>AAPL US EQUITY</stp>
        <stp>BEST_DIV_YLD</stp>
        <stp>[XIDA.xlsm]Overview!R38C9</stp>
        <stp>BEST_FPERIOD_OVERRIDE</stp>
        <stp>1FY</stp>
        <tr r="I38" s="3"/>
        <tr r="I38" s="3"/>
      </tp>
      <tp>
        <v>6742289.9368000003</v>
        <stp/>
        <stp>##V3_BDPV12</stp>
        <stp>066570 KS EQUITY</stp>
        <stp>CRNCY_ADJ_MKT_CAP</stp>
        <stp>[XIDA.xlsm]Peers!R21C13</stp>
        <tr r="M21" s="4"/>
        <tr r="M21" s="4"/>
      </tp>
      <tp>
        <v>716</v>
        <stp/>
        <stp>##V3_BDPV12</stp>
        <stp>AAPL US EQUITY</stp>
        <stp>BS_OTHER_CUR_ASSET</stp>
        <stp>[XIDA.xlsm]Financials!R53C7</stp>
        <stp>EQY_FUND_RELATIVE_PERIOD</stp>
        <stp>-10FY</stp>
        <stp>EQY_FUND_CRNCY</stp>
        <stp>USD</stp>
        <stp>EQY_CONSOLIDATED</stp>
        <stp>Y</stp>
        <stp>Fill=B</stp>
        <tr r="G53" s="8"/>
      </tp>
      <tp>
        <v>5368</v>
        <stp/>
        <stp>##V3_BDPV12</stp>
        <stp>AAPL US EQUITY</stp>
        <stp>BS_SH_CAP_AND_APIC</stp>
        <stp>[XIDA.xlsm]Financials!R74C10</stp>
        <stp>EQY_FUND_RELATIVE_PERIOD</stp>
        <stp>-7FY</stp>
        <stp>EQY_FUND_CRNCY</stp>
        <stp>USD</stp>
        <stp>EQY_CONSOLIDATED</stp>
        <stp>Y</stp>
        <stp>Fill=B</stp>
        <tr r="J74" s="8"/>
      </tp>
      <tp>
        <v>7177</v>
        <stp/>
        <stp>##V3_BDPV12</stp>
        <stp>AAPL US EQUITY</stp>
        <stp>BS_SH_CAP_AND_APIC</stp>
        <stp>[XIDA.xlsm]Financials!R74C11</stp>
        <stp>EQY_FUND_RELATIVE_PERIOD</stp>
        <stp>-6FY</stp>
        <stp>EQY_FUND_CRNCY</stp>
        <stp>USD</stp>
        <stp>EQY_CONSOLIDATED</stp>
        <stp>Y</stp>
        <stp>Fill=B</stp>
        <tr r="K74" s="8"/>
      </tp>
      <tp>
        <v>8210</v>
        <stp/>
        <stp>##V3_BDPV12</stp>
        <stp>AAPL US EQUITY</stp>
        <stp>BS_SH_CAP_AND_APIC</stp>
        <stp>[XIDA.xlsm]Financials!R74C12</stp>
        <stp>EQY_FUND_RELATIVE_PERIOD</stp>
        <stp>-5FY</stp>
        <stp>EQY_FUND_CRNCY</stp>
        <stp>USD</stp>
        <stp>EQY_CONSOLIDATED</stp>
        <stp>Y</stp>
        <stp>Fill=B</stp>
        <tr r="L74" s="8"/>
      </tp>
      <tp>
        <v>10668</v>
        <stp/>
        <stp>##V3_BDPV12</stp>
        <stp>AAPL US EQUITY</stp>
        <stp>BS_SH_CAP_AND_APIC</stp>
        <stp>[XIDA.xlsm]Financials!R74C13</stp>
        <stp>EQY_FUND_RELATIVE_PERIOD</stp>
        <stp>-4FY</stp>
        <stp>EQY_FUND_CRNCY</stp>
        <stp>USD</stp>
        <stp>EQY_CONSOLIDATED</stp>
        <stp>Y</stp>
        <stp>Fill=B</stp>
        <tr r="M74" s="8"/>
      </tp>
      <tp>
        <v>13331</v>
        <stp/>
        <stp>##V3_BDPV12</stp>
        <stp>AAPL US EQUITY</stp>
        <stp>BS_SH_CAP_AND_APIC</stp>
        <stp>[XIDA.xlsm]Financials!R74C14</stp>
        <stp>EQY_FUND_RELATIVE_PERIOD</stp>
        <stp>-3FY</stp>
        <stp>EQY_FUND_CRNCY</stp>
        <stp>USD</stp>
        <stp>EQY_CONSOLIDATED</stp>
        <stp>Y</stp>
        <stp>Fill=B</stp>
        <tr r="N74" s="8"/>
      </tp>
      <tp>
        <v>16422</v>
        <stp/>
        <stp>##V3_BDPV12</stp>
        <stp>AAPL US EQUITY</stp>
        <stp>BS_SH_CAP_AND_APIC</stp>
        <stp>[XIDA.xlsm]Financials!R74C15</stp>
        <stp>EQY_FUND_RELATIVE_PERIOD</stp>
        <stp>-2FY</stp>
        <stp>EQY_FUND_CRNCY</stp>
        <stp>USD</stp>
        <stp>EQY_CONSOLIDATED</stp>
        <stp>Y</stp>
        <stp>Fill=B</stp>
        <tr r="O74" s="8"/>
      </tp>
      <tp>
        <v>19764</v>
        <stp/>
        <stp>##V3_BDPV12</stp>
        <stp>AAPL US EQUITY</stp>
        <stp>BS_SH_CAP_AND_APIC</stp>
        <stp>[XIDA.xlsm]Financials!R74C16</stp>
        <stp>EQY_FUND_RELATIVE_PERIOD</stp>
        <stp>-1FY</stp>
        <stp>EQY_FUND_CRNCY</stp>
        <stp>USD</stp>
        <stp>EQY_CONSOLIDATED</stp>
        <stp>Y</stp>
        <stp>Fill=B</stp>
        <tr r="P74" s="8"/>
      </tp>
      <tp>
        <v>23313</v>
        <stp/>
        <stp>##V3_BDPV12</stp>
        <stp>AAPL US EQUITY</stp>
        <stp>BS_SH_CAP_AND_APIC</stp>
        <stp>[XIDA.xlsm]Financials!R74C17</stp>
        <stp>EQY_FUND_RELATIVE_PERIOD</stp>
        <stp>-0FY</stp>
        <stp>EQY_FUND_CRNCY</stp>
        <stp>USD</stp>
        <stp>EQY_CONSOLIDATED</stp>
        <stp>Y</stp>
        <stp>Fill=B</stp>
        <tr r="Q74" s="8"/>
      </tp>
      <tp t="s">
        <v>#N/A Invalid Security</v>
        <stp/>
        <stp>##V3_BDPV12</stp>
        <stp xml:space="preserve"> EQUITY</stp>
        <stp>CRNCY_ADJ_MKT_CAP</stp>
        <stp>[XIDA.xlsm]Peers!R113C14</stp>
        <stp>EQY_FUND_CRNCY</stp>
        <stp>USD</stp>
        <tr r="N113" s="4"/>
      </tp>
      <tp t="s">
        <v>#N/A Invalid Security</v>
        <stp/>
        <stp>##V3_BDPV12</stp>
        <stp xml:space="preserve"> EQUITY</stp>
        <stp>CRNCY_ADJ_MKT_CAP</stp>
        <stp>[XIDA.xlsm]Peers!R103C14</stp>
        <stp>EQY_FUND_CRNCY</stp>
        <stp>USD</stp>
        <tr r="N103" s="4"/>
      </tp>
      <tp t="s">
        <v>#N/A Invalid Security</v>
        <stp/>
        <stp>##V3_BDPV12</stp>
        <stp xml:space="preserve"> EQUITY</stp>
        <stp>CRNCY_ADJ_MKT_CAP</stp>
        <stp>[XIDA.xlsm]Peers!R133C14</stp>
        <stp>EQY_FUND_CRNCY</stp>
        <stp>USD</stp>
        <tr r="N133" s="4"/>
      </tp>
      <tp t="s">
        <v>#N/A Invalid Security</v>
        <stp/>
        <stp>##V3_BDPV12</stp>
        <stp xml:space="preserve"> EQUITY</stp>
        <stp>CRNCY_ADJ_MKT_CAP</stp>
        <stp>[XIDA.xlsm]Peers!R123C14</stp>
        <stp>EQY_FUND_CRNCY</stp>
        <stp>USD</stp>
        <tr r="N123" s="4"/>
      </tp>
      <tp t="s">
        <v>#N/A Invalid Security</v>
        <stp/>
        <stp>##V3_BDPV12</stp>
        <stp xml:space="preserve"> EQUITY</stp>
        <stp>CRNCY_ADJ_MKT_CAP</stp>
        <stp>[XIDA.xlsm]Peers!R153C14</stp>
        <stp>EQY_FUND_CRNCY</stp>
        <stp>USD</stp>
        <tr r="N153" s="4"/>
      </tp>
      <tp t="s">
        <v>#N/A Invalid Security</v>
        <stp/>
        <stp>##V3_BDPV12</stp>
        <stp xml:space="preserve"> EQUITY</stp>
        <stp>CRNCY_ADJ_MKT_CAP</stp>
        <stp>[XIDA.xlsm]Peers!R143C14</stp>
        <stp>EQY_FUND_CRNCY</stp>
        <stp>USD</stp>
        <tr r="N143" s="4"/>
      </tp>
      <tp t="s">
        <v>#N/A Invalid Security</v>
        <stp/>
        <stp>##V3_BDPV12</stp>
        <stp xml:space="preserve"> EQUITY</stp>
        <stp>CRNCY_ADJ_MKT_CAP</stp>
        <stp>[XIDA.xlsm]Peers!R173C14</stp>
        <stp>EQY_FUND_CRNCY</stp>
        <stp>USD</stp>
        <tr r="N173" s="4"/>
      </tp>
      <tp t="s">
        <v>#N/A Invalid Security</v>
        <stp/>
        <stp>##V3_BDPV12</stp>
        <stp xml:space="preserve"> EQUITY</stp>
        <stp>CRNCY_ADJ_MKT_CAP</stp>
        <stp>[XIDA.xlsm]Peers!R163C14</stp>
        <stp>EQY_FUND_CRNCY</stp>
        <stp>USD</stp>
        <tr r="N163" s="4"/>
      </tp>
      <tp t="s">
        <v>#N/A Invalid Security</v>
        <stp/>
        <stp>##V3_BDPV12</stp>
        <stp xml:space="preserve"> EQUITY</stp>
        <stp>CRNCY_ADJ_MKT_CAP</stp>
        <stp>[XIDA.xlsm]Peers!R193C14</stp>
        <stp>EQY_FUND_CRNCY</stp>
        <stp>USD</stp>
        <tr r="N193" s="4"/>
      </tp>
      <tp t="s">
        <v>#N/A Invalid Security</v>
        <stp/>
        <stp>##V3_BDPV12</stp>
        <stp xml:space="preserve"> EQUITY</stp>
        <stp>CRNCY_ADJ_MKT_CAP</stp>
        <stp>[XIDA.xlsm]Peers!R183C14</stp>
        <stp>EQY_FUND_CRNCY</stp>
        <stp>USD</stp>
        <tr r="N183" s="4"/>
      </tp>
      <tp>
        <v>17.930669704613884</v>
        <stp/>
        <stp>##V3_BDPV12</stp>
        <stp>AAPL US EQUITY</stp>
        <stp>OPER_MARGIN</stp>
        <stp>[XIDA.xlsm]Financials!R128C10</stp>
        <stp>EQY_FUND_RELATIVE_PERIOD</stp>
        <stp>-7FY</stp>
        <stp>EQY_FUND_CRNCY</stp>
        <stp>USD</stp>
        <stp>EQY_CONSOLIDATED</stp>
        <stp>Y</stp>
        <stp>Fill=0</stp>
        <tr r="J128" s="8"/>
      </tp>
      <tp>
        <v>22.210663892667572</v>
        <stp/>
        <stp>##V3_BDPV12</stp>
        <stp>AAPL US EQUITY</stp>
        <stp>OPER_MARGIN</stp>
        <stp>[XIDA.xlsm]Financials!R128C11</stp>
        <stp>EQY_FUND_RELATIVE_PERIOD</stp>
        <stp>-6FY</stp>
        <stp>EQY_FUND_CRNCY</stp>
        <stp>USD</stp>
        <stp>EQY_CONSOLIDATED</stp>
        <stp>Y</stp>
        <stp>Fill=0</stp>
        <tr r="K128" s="8"/>
      </tp>
      <tp>
        <v>27.362778230975408</v>
        <stp/>
        <stp>##V3_BDPV12</stp>
        <stp>AAPL US EQUITY</stp>
        <stp>OPER_MARGIN</stp>
        <stp>[XIDA.xlsm]Financials!R128C12</stp>
        <stp>EQY_FUND_RELATIVE_PERIOD</stp>
        <stp>-5FY</stp>
        <stp>EQY_FUND_CRNCY</stp>
        <stp>USD</stp>
        <stp>EQY_CONSOLIDATED</stp>
        <stp>Y</stp>
        <stp>Fill=0</stp>
        <tr r="L128" s="8"/>
      </tp>
      <tp>
        <v>28.18704484476811</v>
        <stp/>
        <stp>##V3_BDPV12</stp>
        <stp>AAPL US EQUITY</stp>
        <stp>OPER_MARGIN</stp>
        <stp>[XIDA.xlsm]Financials!R128C13</stp>
        <stp>EQY_FUND_RELATIVE_PERIOD</stp>
        <stp>-4FY</stp>
        <stp>EQY_FUND_CRNCY</stp>
        <stp>USD</stp>
        <stp>EQY_CONSOLIDATED</stp>
        <stp>Y</stp>
        <stp>Fill=0</stp>
        <tr r="M128" s="8"/>
      </tp>
      <tp>
        <v>31.215068961376087</v>
        <stp/>
        <stp>##V3_BDPV12</stp>
        <stp>AAPL US EQUITY</stp>
        <stp>OPER_MARGIN</stp>
        <stp>[XIDA.xlsm]Financials!R128C14</stp>
        <stp>EQY_FUND_RELATIVE_PERIOD</stp>
        <stp>-3FY</stp>
        <stp>EQY_FUND_CRNCY</stp>
        <stp>USD</stp>
        <stp>EQY_CONSOLIDATED</stp>
        <stp>Y</stp>
        <stp>Fill=0</stp>
        <tr r="N128" s="8"/>
      </tp>
      <tp>
        <v>35.295959311984056</v>
        <stp/>
        <stp>##V3_BDPV12</stp>
        <stp>AAPL US EQUITY</stp>
        <stp>OPER_MARGIN</stp>
        <stp>[XIDA.xlsm]Financials!R128C15</stp>
        <stp>EQY_FUND_RELATIVE_PERIOD</stp>
        <stp>-2FY</stp>
        <stp>EQY_FUND_CRNCY</stp>
        <stp>USD</stp>
        <stp>EQY_CONSOLIDATED</stp>
        <stp>Y</stp>
        <stp>Fill=0</stp>
        <tr r="O128" s="8"/>
      </tp>
      <tp>
        <v>28.669475162366158</v>
        <stp/>
        <stp>##V3_BDPV12</stp>
        <stp>AAPL US EQUITY</stp>
        <stp>OPER_MARGIN</stp>
        <stp>[XIDA.xlsm]Financials!R128C16</stp>
        <stp>EQY_FUND_RELATIVE_PERIOD</stp>
        <stp>-1FY</stp>
        <stp>EQY_FUND_CRNCY</stp>
        <stp>USD</stp>
        <stp>EQY_CONSOLIDATED</stp>
        <stp>Y</stp>
        <stp>Fill=0</stp>
        <tr r="P128" s="8"/>
      </tp>
      <tp>
        <v>28.722339232473537</v>
        <stp/>
        <stp>##V3_BDPV12</stp>
        <stp>AAPL US EQUITY</stp>
        <stp>OPER_MARGIN</stp>
        <stp>[XIDA.xlsm]Financials!R128C17</stp>
        <stp>EQY_FUND_RELATIVE_PERIOD</stp>
        <stp>-0FY</stp>
        <stp>EQY_FUND_CRNCY</stp>
        <stp>USD</stp>
        <stp>EQY_CONSOLIDATED</stp>
        <stp>Y</stp>
        <stp>Fill=0</stp>
        <tr r="Q128" s="8"/>
      </tp>
      <tp t="e">
        <v>#N/A</v>
        <stp/>
        <stp>##V3_BDSV12</stp>
        <stp>AAPL US EQUITY</stp>
        <stp>TOP_20_HOLDERS_PUBLIC_FILINGS</stp>
        <stp>[XIDA.xlsm]DataH!R56C3</stp>
        <stp>TOP_HOLDERS_INST_TYPE_OVERRIDE</stp>
        <stp>TOP 20 ALL</stp>
        <stp>startcol=6</stp>
        <stp>endcol=6</stp>
        <stp>startrow=1</stp>
        <stp>endrow=20</stp>
        <stp>cols=1;rows=20</stp>
        <tr r="C56" s="16"/>
      </tp>
      <tp>
        <v>134.54</v>
        <stp/>
        <stp>##V3_BDPV12</stp>
        <stp>AAPL US EQUITY</stp>
        <stp>INTERVAL_HIGH</stp>
        <stp>[XIDA.xlsm]Overview!R20C6</stp>
        <stp>MARKET_DATA_OVERRIDE</stp>
        <stp>PX_HIGH</stp>
        <stp>CALC_INTERVAL</stp>
        <stp>52W</stp>
        <stp>CRNCY</stp>
        <stp>USD</stp>
        <tr r="F20" s="3"/>
      </tp>
      <tp>
        <v>0</v>
        <stp/>
        <stp>##V3_BDPV12</stp>
        <stp>AAPL US EQUITY</stp>
        <stp>BS_PFD_EQY</stp>
        <stp>[XIDA.xlsm]Overview!R54C20</stp>
        <stp>FUND_PER</stp>
        <stp>Q</stp>
        <stp>EQY_FUND_CRNCY</stp>
        <stp>USD</stp>
        <stp>EQY_CONSOLIDATED</stp>
        <stp>Y</stp>
        <stp>Fill=0</stp>
        <tr r="T54" s="3"/>
      </tp>
      <tp t="s">
        <v>#N/A Requesting Data...</v>
        <stp/>
        <stp>##V3_BDSV12</stp>
        <stp>AAPL US EQUITY</stp>
        <stp>BEST_CPS_BRK_GRID</stp>
        <stp>[XIDA.xlsm]DataH!R8C93</stp>
        <stp>BEST_FPERIOD_OVERRIDE</stp>
        <stp>1FQ</stp>
        <stp>STARTCOL=6</stp>
        <stp>ENDCOL=6</stp>
        <stp>EQY_FUND_CRNCY</stp>
        <stp>USD</stp>
        <stp>BEST_CONSOLIDATED_OVERRIDE</stp>
        <stp>C</stp>
        <tr r="CO8" s="16"/>
      </tp>
      <tp>
        <v>60250952</v>
        <stp/>
        <stp>##V3_BDPV12</stp>
        <stp>AAPL US EQUITY</stp>
        <stp>SHORT_INT</stp>
        <stp>[XIDA.xlsm]Owners!R11C5</stp>
        <tr r="E11" s="14"/>
        <tr r="E11" s="14"/>
      </tp>
      <tp t="s">
        <v>#N/A Invalid Security</v>
        <stp/>
        <stp>##V3_BDPV12</stp>
        <stp xml:space="preserve"> EQUITY</stp>
        <stp>CRNCY_ADJ_MKT_CAP</stp>
        <stp>[XIDA.xlsm]Peers!R110C14</stp>
        <stp>EQY_FUND_CRNCY</stp>
        <stp>USD</stp>
        <tr r="N110" s="4"/>
      </tp>
      <tp t="s">
        <v>#N/A Invalid Security</v>
        <stp/>
        <stp>##V3_BDPV12</stp>
        <stp xml:space="preserve"> EQUITY</stp>
        <stp>CRNCY_ADJ_MKT_CAP</stp>
        <stp>[XIDA.xlsm]Peers!R100C14</stp>
        <stp>EQY_FUND_CRNCY</stp>
        <stp>USD</stp>
        <tr r="N100" s="4"/>
      </tp>
      <tp t="s">
        <v>#N/A Invalid Security</v>
        <stp/>
        <stp>##V3_BDPV12</stp>
        <stp xml:space="preserve"> EQUITY</stp>
        <stp>CRNCY_ADJ_MKT_CAP</stp>
        <stp>[XIDA.xlsm]Peers!R130C14</stp>
        <stp>EQY_FUND_CRNCY</stp>
        <stp>USD</stp>
        <tr r="N130" s="4"/>
      </tp>
      <tp t="s">
        <v>#N/A Invalid Security</v>
        <stp/>
        <stp>##V3_BDPV12</stp>
        <stp xml:space="preserve"> EQUITY</stp>
        <stp>CRNCY_ADJ_MKT_CAP</stp>
        <stp>[XIDA.xlsm]Peers!R120C14</stp>
        <stp>EQY_FUND_CRNCY</stp>
        <stp>USD</stp>
        <tr r="N120" s="4"/>
      </tp>
      <tp t="s">
        <v>#N/A Invalid Security</v>
        <stp/>
        <stp>##V3_BDPV12</stp>
        <stp xml:space="preserve"> EQUITY</stp>
        <stp>CRNCY_ADJ_MKT_CAP</stp>
        <stp>[XIDA.xlsm]Peers!R150C14</stp>
        <stp>EQY_FUND_CRNCY</stp>
        <stp>USD</stp>
        <tr r="N150" s="4"/>
      </tp>
      <tp t="s">
        <v>#N/A Invalid Security</v>
        <stp/>
        <stp>##V3_BDPV12</stp>
        <stp xml:space="preserve"> EQUITY</stp>
        <stp>CRNCY_ADJ_MKT_CAP</stp>
        <stp>[XIDA.xlsm]Peers!R140C14</stp>
        <stp>EQY_FUND_CRNCY</stp>
        <stp>USD</stp>
        <tr r="N140" s="4"/>
      </tp>
      <tp t="s">
        <v>#N/A Invalid Security</v>
        <stp/>
        <stp>##V3_BDPV12</stp>
        <stp xml:space="preserve"> EQUITY</stp>
        <stp>CRNCY_ADJ_MKT_CAP</stp>
        <stp>[XIDA.xlsm]Peers!R170C14</stp>
        <stp>EQY_FUND_CRNCY</stp>
        <stp>USD</stp>
        <tr r="N170" s="4"/>
      </tp>
      <tp t="s">
        <v>#N/A Invalid Security</v>
        <stp/>
        <stp>##V3_BDPV12</stp>
        <stp xml:space="preserve"> EQUITY</stp>
        <stp>CRNCY_ADJ_MKT_CAP</stp>
        <stp>[XIDA.xlsm]Peers!R160C14</stp>
        <stp>EQY_FUND_CRNCY</stp>
        <stp>USD</stp>
        <tr r="N160" s="4"/>
      </tp>
      <tp t="s">
        <v>#N/A Invalid Security</v>
        <stp/>
        <stp>##V3_BDPV12</stp>
        <stp xml:space="preserve"> EQUITY</stp>
        <stp>CRNCY_ADJ_MKT_CAP</stp>
        <stp>[XIDA.xlsm]Peers!R190C14</stp>
        <stp>EQY_FUND_CRNCY</stp>
        <stp>USD</stp>
        <tr r="N190" s="4"/>
      </tp>
      <tp t="s">
        <v>#N/A Invalid Security</v>
        <stp/>
        <stp>##V3_BDPV12</stp>
        <stp xml:space="preserve"> EQUITY</stp>
        <stp>CRNCY_ADJ_MKT_CAP</stp>
        <stp>[XIDA.xlsm]Peers!R180C14</stp>
        <stp>EQY_FUND_CRNCY</stp>
        <stp>USD</stp>
        <tr r="N180" s="4"/>
      </tp>
      <tp t="e">
        <v>#N/A</v>
        <stp/>
        <stp>##V3_BDSV12</stp>
        <stp>AAPL US EQUITY</stp>
        <stp>TOP_20_HOLDERS_PUBLIC_FILINGS</stp>
        <stp>[XIDA.xlsm]DataH!R56C2</stp>
        <stp>TOP_HOLDERS_INST_TYPE_OVERRIDE</stp>
        <stp>TOP 20 ALL</stp>
        <stp>startcol=4</stp>
        <stp>endcol=4</stp>
        <stp>startrow=1</stp>
        <stp>endrow=20</stp>
        <stp>cols=1;rows=20</stp>
        <tr r="B56" s="16"/>
      </tp>
      <tp>
        <v>92</v>
        <stp/>
        <stp>##V3_BDPV12</stp>
        <stp>AAPL US EQUITY</stp>
        <stp>INTERVAL_LOW</stp>
        <stp>[XIDA.xlsm]Overview!R21C6</stp>
        <stp>MARKET_DATA_OVERRIDE</stp>
        <stp>PX_LOW</stp>
        <stp>CALC_INTERVAL</stp>
        <stp>52W</stp>
        <stp>CRNCY</stp>
        <stp>USD</stp>
        <tr r="F21" s="3"/>
      </tp>
      <tp>
        <v>1.0801128483167317</v>
        <stp/>
        <stp>##V3_BDPV12</stp>
        <stp>AAPL US EQUITY</stp>
        <stp>CUR_RATIO</stp>
        <stp>[XIDA.xlsm]Overview!R51C8</stp>
        <stp>EQY_FUND_RELATIVE_PERIOD</stp>
        <stp>-0FY</stp>
        <stp>EQY_CONSOLIDATED</stp>
        <stp>Y</stp>
        <stp>Fill=-</stp>
        <tr r="H51" s="3"/>
      </tp>
      <tp>
        <v>1.6084376117268502</v>
        <stp/>
        <stp>##V3_BDPV12</stp>
        <stp>AAPL US EQUITY</stp>
        <stp>CUR_RATIO</stp>
        <stp>[XIDA.xlsm]Overview!R51C5</stp>
        <stp>EQY_FUND_RELATIVE_PERIOD</stp>
        <stp>-3FY</stp>
        <stp>EQY_CONSOLIDATED</stp>
        <stp>Y</stp>
        <stp>Fill=-</stp>
        <tr r="E51" s="3"/>
      </tp>
      <tp>
        <v>1.6786385084062485</v>
        <stp/>
        <stp>##V3_BDPV12</stp>
        <stp>AAPL US EQUITY</stp>
        <stp>CUR_RATIO</stp>
        <stp>[XIDA.xlsm]Overview!R51C7</stp>
        <stp>EQY_FUND_RELATIVE_PERIOD</stp>
        <stp>-1FY</stp>
        <stp>EQY_CONSOLIDATED</stp>
        <stp>Y</stp>
        <stp>Fill=-</stp>
        <tr r="G51" s="3"/>
      </tp>
      <tp>
        <v>1.4958486845519174</v>
        <stp/>
        <stp>##V3_BDPV12</stp>
        <stp>AAPL US EQUITY</stp>
        <stp>CUR_RATIO</stp>
        <stp>[XIDA.xlsm]Overview!R51C6</stp>
        <stp>EQY_FUND_RELATIVE_PERIOD</stp>
        <stp>-2FY</stp>
        <stp>EQY_CONSOLIDATED</stp>
        <stp>Y</stp>
        <stp>Fill=-</stp>
        <tr r="F51" s="3"/>
      </tp>
      <tp t="s">
        <v>#N/A Requesting Data...</v>
        <stp/>
        <stp>##V3_BDSV12</stp>
        <stp>AAPL US EQUITY</stp>
        <stp>BEST_EPS_BRK_GRID</stp>
        <stp>[XIDA.xlsm]DataH!R8C50</stp>
        <stp>BEST_FPERIOD_OVERRIDE</stp>
        <stp>3FQ</stp>
        <stp>STARTCOL=4</stp>
        <stp>ENDCOL=4</stp>
        <stp>EQY_FUND_CRNCY</stp>
        <stp>USD</stp>
        <stp>BEST_CONSOLIDATED_OVERRIDE</stp>
        <stp>C</stp>
        <tr r="AX8" s="16"/>
      </tp>
      <tp t="s">
        <v>#N/A Requesting Data...</v>
        <stp/>
        <stp>##V3_BDSV12</stp>
        <stp>AAPL US EQUITY</stp>
        <stp>BEST_CPS_BRK_GRID</stp>
        <stp>[XIDA.xlsm]DataH!R8C92</stp>
        <stp>BEST_FPERIOD_OVERRIDE</stp>
        <stp>1FQ</stp>
        <stp>STARTCOL=4</stp>
        <stp>ENDCOL=4</stp>
        <stp>EQY_FUND_CRNCY</stp>
        <stp>USD</stp>
        <stp>BEST_CONSOLIDATED_OVERRIDE</stp>
        <stp>C</stp>
        <tr r="CN8" s="16"/>
      </tp>
      <tp t="s">
        <v>#N/A Invalid Security</v>
        <stp/>
        <stp>##V3_BDPV12</stp>
        <stp xml:space="preserve"> EQUITY</stp>
        <stp>CRNCY_ADJ_MKT_CAP</stp>
        <stp>[XIDA.xlsm]Peers!R111C14</stp>
        <stp>EQY_FUND_CRNCY</stp>
        <stp>USD</stp>
        <tr r="N111" s="4"/>
      </tp>
      <tp t="s">
        <v>#N/A Invalid Security</v>
        <stp/>
        <stp>##V3_BDPV12</stp>
        <stp xml:space="preserve"> EQUITY</stp>
        <stp>CRNCY_ADJ_MKT_CAP</stp>
        <stp>[XIDA.xlsm]Peers!R101C14</stp>
        <stp>EQY_FUND_CRNCY</stp>
        <stp>USD</stp>
        <tr r="N101" s="4"/>
      </tp>
      <tp t="s">
        <v>#N/A Invalid Security</v>
        <stp/>
        <stp>##V3_BDPV12</stp>
        <stp xml:space="preserve"> EQUITY</stp>
        <stp>CRNCY_ADJ_MKT_CAP</stp>
        <stp>[XIDA.xlsm]Peers!R131C14</stp>
        <stp>EQY_FUND_CRNCY</stp>
        <stp>USD</stp>
        <tr r="N131" s="4"/>
      </tp>
      <tp t="s">
        <v>#N/A Invalid Security</v>
        <stp/>
        <stp>##V3_BDPV12</stp>
        <stp xml:space="preserve"> EQUITY</stp>
        <stp>CRNCY_ADJ_MKT_CAP</stp>
        <stp>[XIDA.xlsm]Peers!R121C14</stp>
        <stp>EQY_FUND_CRNCY</stp>
        <stp>USD</stp>
        <tr r="N121" s="4"/>
      </tp>
      <tp t="s">
        <v>#N/A Invalid Security</v>
        <stp/>
        <stp>##V3_BDPV12</stp>
        <stp xml:space="preserve"> EQUITY</stp>
        <stp>CRNCY_ADJ_MKT_CAP</stp>
        <stp>[XIDA.xlsm]Peers!R151C14</stp>
        <stp>EQY_FUND_CRNCY</stp>
        <stp>USD</stp>
        <tr r="N151" s="4"/>
      </tp>
      <tp t="s">
        <v>#N/A Invalid Security</v>
        <stp/>
        <stp>##V3_BDPV12</stp>
        <stp xml:space="preserve"> EQUITY</stp>
        <stp>CRNCY_ADJ_MKT_CAP</stp>
        <stp>[XIDA.xlsm]Peers!R141C14</stp>
        <stp>EQY_FUND_CRNCY</stp>
        <stp>USD</stp>
        <tr r="N141" s="4"/>
      </tp>
      <tp t="s">
        <v>#N/A Invalid Security</v>
        <stp/>
        <stp>##V3_BDPV12</stp>
        <stp xml:space="preserve"> EQUITY</stp>
        <stp>CRNCY_ADJ_MKT_CAP</stp>
        <stp>[XIDA.xlsm]Peers!R171C14</stp>
        <stp>EQY_FUND_CRNCY</stp>
        <stp>USD</stp>
        <tr r="N171" s="4"/>
      </tp>
      <tp t="s">
        <v>#N/A Invalid Security</v>
        <stp/>
        <stp>##V3_BDPV12</stp>
        <stp xml:space="preserve"> EQUITY</stp>
        <stp>CRNCY_ADJ_MKT_CAP</stp>
        <stp>[XIDA.xlsm]Peers!R161C14</stp>
        <stp>EQY_FUND_CRNCY</stp>
        <stp>USD</stp>
        <tr r="N161" s="4"/>
      </tp>
      <tp t="s">
        <v>#N/A Invalid Security</v>
        <stp/>
        <stp>##V3_BDPV12</stp>
        <stp xml:space="preserve"> EQUITY</stp>
        <stp>CRNCY_ADJ_MKT_CAP</stp>
        <stp>[XIDA.xlsm]Peers!R191C14</stp>
        <stp>EQY_FUND_CRNCY</stp>
        <stp>USD</stp>
        <tr r="N191" s="4"/>
      </tp>
      <tp t="s">
        <v>#N/A Invalid Security</v>
        <stp/>
        <stp>##V3_BDPV12</stp>
        <stp xml:space="preserve"> EQUITY</stp>
        <stp>CRNCY_ADJ_MKT_CAP</stp>
        <stp>[XIDA.xlsm]Peers!R181C14</stp>
        <stp>EQY_FUND_CRNCY</stp>
        <stp>USD</stp>
        <tr r="N181" s="4"/>
      </tp>
      <tp t="e">
        <v>#N/A</v>
        <stp/>
        <stp>##V3_BDSV12</stp>
        <stp>AAPL US EQUITY</stp>
        <stp>TOP_20_HOLDERS_PUBLIC_FILINGS</stp>
        <stp>[XIDA.xlsm]DataH!R56C5</stp>
        <stp>TOP_HOLDERS_INST_TYPE_OVERRIDE</stp>
        <stp>TOP 20 ALL</stp>
        <stp>startcol=5</stp>
        <stp>endcol=5</stp>
        <stp>startrow=1</stp>
        <stp>endrow=20</stp>
        <stp>cols=1;rows=20</stp>
        <tr r="E56" s="16"/>
      </tp>
      <tp>
        <v>3.0872841002081688</v>
        <stp/>
        <stp>##V3_BDPV12</stp>
        <stp>AAPL US EQUITY</stp>
        <stp>PX_TO_SALES_RATIO</stp>
        <stp>[XIDA.xlsm]Financials!R121C8</stp>
        <stp>EQY_FUND_RELATIVE_PERIOD</stp>
        <stp>-9FY</stp>
        <stp>EQY_FUND_CRNCY</stp>
        <stp>USD</stp>
        <stp>EQY_CONSOLIDATED</stp>
        <stp>Y</stp>
        <stp>Fill=B</stp>
        <tr r="H121" s="8"/>
      </tp>
      <tp>
        <v>3.3639961087237897</v>
        <stp/>
        <stp>##V3_BDPV12</stp>
        <stp>AAPL US EQUITY</stp>
        <stp>PX_TO_SALES_RATIO</stp>
        <stp>[XIDA.xlsm]Financials!R121C9</stp>
        <stp>EQY_FUND_RELATIVE_PERIOD</stp>
        <stp>-8FY</stp>
        <stp>EQY_FUND_CRNCY</stp>
        <stp>USD</stp>
        <stp>EQY_CONSOLIDATED</stp>
        <stp>Y</stp>
        <stp>Fill=B</stp>
        <tr r="I121" s="8"/>
      </tp>
      <tp>
        <v>276</v>
        <stp/>
        <stp>##V3_BDPV12</stp>
        <stp>AAPL US EQUITY</stp>
        <stp>CF_NET_INC</stp>
        <stp>[XIDA.xlsm]Financials!R85C7</stp>
        <stp>EQY_FUND_RELATIVE_PERIOD</stp>
        <stp>-10FY</stp>
        <stp>EQY_FUND_CRNCY</stp>
        <stp>USD</stp>
        <stp>EQY_CONSOLIDATED</stp>
        <stp>Y</stp>
        <stp>Fill=B</stp>
        <tr r="G85" s="8"/>
      </tp>
      <tp>
        <v>0</v>
        <stp/>
        <stp>##V3_BDPV12</stp>
        <stp>AAPL US EQUITY</stp>
        <stp>CF_INCR_ST_BORROW</stp>
        <stp>[XIDA.xlsm]Financials!R99C10</stp>
        <stp>EQY_FUND_RELATIVE_PERIOD</stp>
        <stp>-7FY</stp>
        <stp>EQY_FUND_CRNCY</stp>
        <stp>USD</stp>
        <stp>EQY_CONSOLIDATED</stp>
        <stp>Y</stp>
        <stp>Fill=B</stp>
        <tr r="J99" s="8"/>
      </tp>
      <tp>
        <v>0</v>
        <stp/>
        <stp>##V3_BDPV12</stp>
        <stp>AAPL US EQUITY</stp>
        <stp>CF_INCR_ST_BORROW</stp>
        <stp>[XIDA.xlsm]Financials!R99C11</stp>
        <stp>EQY_FUND_RELATIVE_PERIOD</stp>
        <stp>-6FY</stp>
        <stp>EQY_FUND_CRNCY</stp>
        <stp>USD</stp>
        <stp>EQY_CONSOLIDATED</stp>
        <stp>Y</stp>
        <stp>Fill=B</stp>
        <tr r="K99" s="8"/>
      </tp>
      <tp>
        <v>0</v>
        <stp/>
        <stp>##V3_BDPV12</stp>
        <stp>AAPL US EQUITY</stp>
        <stp>CF_INCR_ST_BORROW</stp>
        <stp>[XIDA.xlsm]Financials!R99C12</stp>
        <stp>EQY_FUND_RELATIVE_PERIOD</stp>
        <stp>-5FY</stp>
        <stp>EQY_FUND_CRNCY</stp>
        <stp>USD</stp>
        <stp>EQY_CONSOLIDATED</stp>
        <stp>Y</stp>
        <stp>Fill=B</stp>
        <tr r="L99" s="8"/>
      </tp>
      <tp>
        <v>0</v>
        <stp/>
        <stp>##V3_BDPV12</stp>
        <stp>AAPL US EQUITY</stp>
        <stp>CF_INCR_ST_BORROW</stp>
        <stp>[XIDA.xlsm]Financials!R99C13</stp>
        <stp>EQY_FUND_RELATIVE_PERIOD</stp>
        <stp>-4FY</stp>
        <stp>EQY_FUND_CRNCY</stp>
        <stp>USD</stp>
        <stp>EQY_CONSOLIDATED</stp>
        <stp>Y</stp>
        <stp>Fill=B</stp>
        <tr r="M99" s="8"/>
      </tp>
      <tp>
        <v>0</v>
        <stp/>
        <stp>##V3_BDPV12</stp>
        <stp>AAPL US EQUITY</stp>
        <stp>CF_INCR_ST_BORROW</stp>
        <stp>[XIDA.xlsm]Financials!R99C14</stp>
        <stp>EQY_FUND_RELATIVE_PERIOD</stp>
        <stp>-3FY</stp>
        <stp>EQY_FUND_CRNCY</stp>
        <stp>USD</stp>
        <stp>EQY_CONSOLIDATED</stp>
        <stp>Y</stp>
        <stp>Fill=B</stp>
        <tr r="N99" s="8"/>
      </tp>
      <tp>
        <v>0</v>
        <stp/>
        <stp>##V3_BDPV12</stp>
        <stp>AAPL US EQUITY</stp>
        <stp>CF_INCR_ST_BORROW</stp>
        <stp>[XIDA.xlsm]Financials!R99C15</stp>
        <stp>EQY_FUND_RELATIVE_PERIOD</stp>
        <stp>-2FY</stp>
        <stp>EQY_FUND_CRNCY</stp>
        <stp>USD</stp>
        <stp>EQY_CONSOLIDATED</stp>
        <stp>Y</stp>
        <stp>Fill=B</stp>
        <tr r="O99" s="8"/>
      </tp>
      <tp>
        <v>0</v>
        <stp/>
        <stp>##V3_BDPV12</stp>
        <stp>AAPL US EQUITY</stp>
        <stp>CF_INCR_ST_BORROW</stp>
        <stp>[XIDA.xlsm]Financials!R99C16</stp>
        <stp>EQY_FUND_RELATIVE_PERIOD</stp>
        <stp>-1FY</stp>
        <stp>EQY_FUND_CRNCY</stp>
        <stp>USD</stp>
        <stp>EQY_CONSOLIDATED</stp>
        <stp>Y</stp>
        <stp>Fill=B</stp>
        <tr r="P99" s="8"/>
      </tp>
      <tp>
        <v>6306</v>
        <stp/>
        <stp>##V3_BDPV12</stp>
        <stp>AAPL US EQUITY</stp>
        <stp>CF_INCR_ST_BORROW</stp>
        <stp>[XIDA.xlsm]Financials!R99C17</stp>
        <stp>EQY_FUND_RELATIVE_PERIOD</stp>
        <stp>-0FY</stp>
        <stp>EQY_FUND_CRNCY</stp>
        <stp>USD</stp>
        <stp>EQY_CONSOLIDATED</stp>
        <stp>Y</stp>
        <stp>Fill=B</stp>
        <tr r="Q99" s="8"/>
      </tp>
      <tp>
        <v>16426</v>
        <stp/>
        <stp>##V3_BDPV12</stp>
        <stp>AAPL US EQUITY</stp>
        <stp>IS_COGS_TO_FE_AND_PP_AND_G</stp>
        <stp>[XIDA.xlsm]Financials!R15C10</stp>
        <stp>EQY_FUND_RELATIVE_PERIOD</stp>
        <stp>-7FY</stp>
        <stp>EQY_FUND_CRNCY</stp>
        <stp>USD</stp>
        <stp>EQY_CONSOLIDATED</stp>
        <stp>Y</stp>
        <stp>Fill=B</stp>
        <tr r="J15" s="8"/>
      </tp>
      <tp>
        <v>24294</v>
        <stp/>
        <stp>##V3_BDPV12</stp>
        <stp>AAPL US EQUITY</stp>
        <stp>IS_COGS_TO_FE_AND_PP_AND_G</stp>
        <stp>[XIDA.xlsm]Financials!R15C11</stp>
        <stp>EQY_FUND_RELATIVE_PERIOD</stp>
        <stp>-6FY</stp>
        <stp>EQY_FUND_CRNCY</stp>
        <stp>USD</stp>
        <stp>EQY_CONSOLIDATED</stp>
        <stp>Y</stp>
        <stp>Fill=B</stp>
        <tr r="K15" s="8"/>
      </tp>
      <tp>
        <v>25683</v>
        <stp/>
        <stp>##V3_BDPV12</stp>
        <stp>AAPL US EQUITY</stp>
        <stp>IS_COGS_TO_FE_AND_PP_AND_G</stp>
        <stp>[XIDA.xlsm]Financials!R15C12</stp>
        <stp>EQY_FUND_RELATIVE_PERIOD</stp>
        <stp>-5FY</stp>
        <stp>EQY_FUND_CRNCY</stp>
        <stp>USD</stp>
        <stp>EQY_CONSOLIDATED</stp>
        <stp>Y</stp>
        <stp>Fill=B</stp>
        <tr r="L15" s="8"/>
      </tp>
      <tp>
        <v>39541</v>
        <stp/>
        <stp>##V3_BDPV12</stp>
        <stp>AAPL US EQUITY</stp>
        <stp>IS_COGS_TO_FE_AND_PP_AND_G</stp>
        <stp>[XIDA.xlsm]Financials!R15C13</stp>
        <stp>EQY_FUND_RELATIVE_PERIOD</stp>
        <stp>-4FY</stp>
        <stp>EQY_FUND_CRNCY</stp>
        <stp>USD</stp>
        <stp>EQY_CONSOLIDATED</stp>
        <stp>Y</stp>
        <stp>Fill=B</stp>
        <tr r="M15" s="8"/>
      </tp>
      <tp>
        <v>64431</v>
        <stp/>
        <stp>##V3_BDPV12</stp>
        <stp>AAPL US EQUITY</stp>
        <stp>IS_COGS_TO_FE_AND_PP_AND_G</stp>
        <stp>[XIDA.xlsm]Financials!R15C14</stp>
        <stp>EQY_FUND_RELATIVE_PERIOD</stp>
        <stp>-3FY</stp>
        <stp>EQY_FUND_CRNCY</stp>
        <stp>USD</stp>
        <stp>EQY_CONSOLIDATED</stp>
        <stp>Y</stp>
        <stp>Fill=B</stp>
        <tr r="N15" s="8"/>
      </tp>
      <tp>
        <v>87846</v>
        <stp/>
        <stp>##V3_BDPV12</stp>
        <stp>AAPL US EQUITY</stp>
        <stp>IS_COGS_TO_FE_AND_PP_AND_G</stp>
        <stp>[XIDA.xlsm]Financials!R15C15</stp>
        <stp>EQY_FUND_RELATIVE_PERIOD</stp>
        <stp>-2FY</stp>
        <stp>EQY_FUND_CRNCY</stp>
        <stp>USD</stp>
        <stp>EQY_CONSOLIDATED</stp>
        <stp>Y</stp>
        <stp>Fill=B</stp>
        <tr r="O15" s="8"/>
      </tp>
      <tp>
        <v>106606</v>
        <stp/>
        <stp>##V3_BDPV12</stp>
        <stp>AAPL US EQUITY</stp>
        <stp>IS_COGS_TO_FE_AND_PP_AND_G</stp>
        <stp>[XIDA.xlsm]Financials!R15C16</stp>
        <stp>EQY_FUND_RELATIVE_PERIOD</stp>
        <stp>-1FY</stp>
        <stp>EQY_FUND_CRNCY</stp>
        <stp>USD</stp>
        <stp>EQY_CONSOLIDATED</stp>
        <stp>Y</stp>
        <stp>Fill=B</stp>
        <tr r="P15" s="8"/>
      </tp>
      <tp>
        <v>112258</v>
        <stp/>
        <stp>##V3_BDPV12</stp>
        <stp>AAPL US EQUITY</stp>
        <stp>IS_COGS_TO_FE_AND_PP_AND_G</stp>
        <stp>[XIDA.xlsm]Financials!R15C17</stp>
        <stp>EQY_FUND_RELATIVE_PERIOD</stp>
        <stp>-0FY</stp>
        <stp>EQY_FUND_CRNCY</stp>
        <stp>USD</stp>
        <stp>EQY_CONSOLIDATED</stp>
        <stp>Y</stp>
        <stp>Fill=B</stp>
        <tr r="Q15" s="8"/>
      </tp>
      <tp>
        <v>895</v>
        <stp/>
        <stp>##V3_BDPV12</stp>
        <stp>AAPL US EQUITY</stp>
        <stp>BS_ACCT_NOTE_RCV</stp>
        <stp>[XIDA.xlsm]Financials!R51C8</stp>
        <stp>EQY_FUND_RELATIVE_PERIOD</stp>
        <stp>-9FY</stp>
        <stp>EQY_FUND_CRNCY</stp>
        <stp>USD</stp>
        <stp>EQY_CONSOLIDATED</stp>
        <stp>Y</stp>
        <stp>Fill=B</stp>
        <tr r="H51" s="8"/>
      </tp>
      <tp>
        <v>1252</v>
        <stp/>
        <stp>##V3_BDPV12</stp>
        <stp>AAPL US EQUITY</stp>
        <stp>BS_ACCT_NOTE_RCV</stp>
        <stp>[XIDA.xlsm]Financials!R51C9</stp>
        <stp>EQY_FUND_RELATIVE_PERIOD</stp>
        <stp>-8FY</stp>
        <stp>EQY_FUND_CRNCY</stp>
        <stp>USD</stp>
        <stp>EQY_CONSOLIDATED</stp>
        <stp>Y</stp>
        <stp>Fill=B</stp>
        <tr r="I51" s="8"/>
      </tp>
      <tp>
        <v>99.945549999999997</v>
        <stp/>
        <stp>##V3_BDPV12</stp>
        <stp>AAPL US EQUITY</stp>
        <stp>EQY_FREE_FLOAT_PCT</stp>
        <stp>[XIDA.xlsm]Owners!R10C5</stp>
        <tr r="E10" s="14"/>
        <tr r="E10" s="14"/>
      </tp>
      <tp t="s">
        <v>#N/A Invalid Security</v>
        <stp/>
        <stp>##V3_BDPV12</stp>
        <stp xml:space="preserve"> EQUITY</stp>
        <stp>CRNCY_ADJ_MKT_CAP</stp>
        <stp>[XIDA.xlsm]Peers!R116C14</stp>
        <stp>EQY_FUND_CRNCY</stp>
        <stp>USD</stp>
        <tr r="N116" s="4"/>
      </tp>
      <tp t="s">
        <v>#N/A Invalid Security</v>
        <stp/>
        <stp>##V3_BDPV12</stp>
        <stp xml:space="preserve"> EQUITY</stp>
        <stp>CRNCY_ADJ_MKT_CAP</stp>
        <stp>[XIDA.xlsm]Peers!R106C14</stp>
        <stp>EQY_FUND_CRNCY</stp>
        <stp>USD</stp>
        <tr r="N106" s="4"/>
      </tp>
      <tp t="s">
        <v>#N/A Invalid Security</v>
        <stp/>
        <stp>##V3_BDPV12</stp>
        <stp xml:space="preserve"> EQUITY</stp>
        <stp>CRNCY_ADJ_MKT_CAP</stp>
        <stp>[XIDA.xlsm]Peers!R136C14</stp>
        <stp>EQY_FUND_CRNCY</stp>
        <stp>USD</stp>
        <tr r="N136" s="4"/>
      </tp>
      <tp t="s">
        <v>#N/A Invalid Security</v>
        <stp/>
        <stp>##V3_BDPV12</stp>
        <stp xml:space="preserve"> EQUITY</stp>
        <stp>CRNCY_ADJ_MKT_CAP</stp>
        <stp>[XIDA.xlsm]Peers!R126C14</stp>
        <stp>EQY_FUND_CRNCY</stp>
        <stp>USD</stp>
        <tr r="N126" s="4"/>
      </tp>
      <tp t="s">
        <v>#N/A Invalid Security</v>
        <stp/>
        <stp>##V3_BDPV12</stp>
        <stp xml:space="preserve"> EQUITY</stp>
        <stp>CRNCY_ADJ_MKT_CAP</stp>
        <stp>[XIDA.xlsm]Peers!R156C14</stp>
        <stp>EQY_FUND_CRNCY</stp>
        <stp>USD</stp>
        <tr r="N156" s="4"/>
      </tp>
      <tp t="s">
        <v>#N/A Invalid Security</v>
        <stp/>
        <stp>##V3_BDPV12</stp>
        <stp xml:space="preserve"> EQUITY</stp>
        <stp>CRNCY_ADJ_MKT_CAP</stp>
        <stp>[XIDA.xlsm]Peers!R146C14</stp>
        <stp>EQY_FUND_CRNCY</stp>
        <stp>USD</stp>
        <tr r="N146" s="4"/>
      </tp>
      <tp t="s">
        <v>#N/A Invalid Security</v>
        <stp/>
        <stp>##V3_BDPV12</stp>
        <stp xml:space="preserve"> EQUITY</stp>
        <stp>CRNCY_ADJ_MKT_CAP</stp>
        <stp>[XIDA.xlsm]Peers!R176C14</stp>
        <stp>EQY_FUND_CRNCY</stp>
        <stp>USD</stp>
        <tr r="N176" s="4"/>
      </tp>
      <tp t="s">
        <v>#N/A Invalid Security</v>
        <stp/>
        <stp>##V3_BDPV12</stp>
        <stp xml:space="preserve"> EQUITY</stp>
        <stp>CRNCY_ADJ_MKT_CAP</stp>
        <stp>[XIDA.xlsm]Peers!R166C14</stp>
        <stp>EQY_FUND_CRNCY</stp>
        <stp>USD</stp>
        <tr r="N166" s="4"/>
      </tp>
      <tp t="s">
        <v>#N/A Invalid Security</v>
        <stp/>
        <stp>##V3_BDPV12</stp>
        <stp xml:space="preserve"> EQUITY</stp>
        <stp>CRNCY_ADJ_MKT_CAP</stp>
        <stp>[XIDA.xlsm]Peers!R196C14</stp>
        <stp>EQY_FUND_CRNCY</stp>
        <stp>USD</stp>
        <tr r="N196" s="4"/>
      </tp>
      <tp t="s">
        <v>#N/A Invalid Security</v>
        <stp/>
        <stp>##V3_BDPV12</stp>
        <stp xml:space="preserve"> EQUITY</stp>
        <stp>CRNCY_ADJ_MKT_CAP</stp>
        <stp>[XIDA.xlsm]Peers!R186C14</stp>
        <stp>EQY_FUND_CRNCY</stp>
        <stp>USD</stp>
        <tr r="N186" s="4"/>
      </tp>
      <tp t="s">
        <v>BLACKBERRY LTD</v>
        <stp/>
        <stp>##V3_BDPV12</stp>
        <stp>BB CN EQUITY</stp>
        <stp>NAME</stp>
        <stp>[XIDA.xlsm]Peers!R19C5</stp>
        <tr r="E19" s="4"/>
      </tp>
      <tp>
        <v>76.687898089171981</v>
        <stp/>
        <stp>##V3_BDPV12</stp>
        <stp>AAPL US EQUITY</stp>
        <stp>INVENT_TURN</stp>
        <stp>[XIDA.xlsm]Financials!R144C7</stp>
        <stp>EQY_FUND_RELATIVE_PERIOD</stp>
        <stp>-10FY</stp>
        <stp>EQY_FUND_CRNCY</stp>
        <stp>USD</stp>
        <stp>EQY_CONSOLIDATED</stp>
        <stp>Y</stp>
        <stp>Fill=B</stp>
        <tr r="G144" s="8"/>
      </tp>
      <tp t="s">
        <v>Technology Hardware, Storage &amp;</v>
        <stp/>
        <stp>##V3_BDPV12</stp>
        <stp>005930 KS EQUITY</stp>
        <stp>GICS_SUB_INDUSTRY_NAME</stp>
        <stp>[XIDA.xlsm]Peers!R18C8</stp>
        <tr r="H18" s="4"/>
      </tp>
      <tp t="s">
        <v>#N/A Invalid Security</v>
        <stp/>
        <stp>##V3_BDPV12</stp>
        <stp xml:space="preserve"> EQUITY</stp>
        <stp>CRNCY_ADJ_MKT_CAP</stp>
        <stp>[XIDA.xlsm]Peers!R117C14</stp>
        <stp>EQY_FUND_CRNCY</stp>
        <stp>USD</stp>
        <tr r="N117" s="4"/>
      </tp>
      <tp t="s">
        <v>#N/A Invalid Security</v>
        <stp/>
        <stp>##V3_BDPV12</stp>
        <stp xml:space="preserve"> EQUITY</stp>
        <stp>CRNCY_ADJ_MKT_CAP</stp>
        <stp>[XIDA.xlsm]Peers!R107C14</stp>
        <stp>EQY_FUND_CRNCY</stp>
        <stp>USD</stp>
        <tr r="N107" s="4"/>
      </tp>
      <tp t="s">
        <v>#N/A Invalid Security</v>
        <stp/>
        <stp>##V3_BDPV12</stp>
        <stp xml:space="preserve"> EQUITY</stp>
        <stp>CRNCY_ADJ_MKT_CAP</stp>
        <stp>[XIDA.xlsm]Peers!R137C14</stp>
        <stp>EQY_FUND_CRNCY</stp>
        <stp>USD</stp>
        <tr r="N137" s="4"/>
      </tp>
      <tp t="s">
        <v>#N/A Invalid Security</v>
        <stp/>
        <stp>##V3_BDPV12</stp>
        <stp xml:space="preserve"> EQUITY</stp>
        <stp>CRNCY_ADJ_MKT_CAP</stp>
        <stp>[XIDA.xlsm]Peers!R127C14</stp>
        <stp>EQY_FUND_CRNCY</stp>
        <stp>USD</stp>
        <tr r="N127" s="4"/>
      </tp>
      <tp t="s">
        <v>#N/A Invalid Security</v>
        <stp/>
        <stp>##V3_BDPV12</stp>
        <stp xml:space="preserve"> EQUITY</stp>
        <stp>CRNCY_ADJ_MKT_CAP</stp>
        <stp>[XIDA.xlsm]Peers!R157C14</stp>
        <stp>EQY_FUND_CRNCY</stp>
        <stp>USD</stp>
        <tr r="N157" s="4"/>
      </tp>
      <tp t="s">
        <v>#N/A Invalid Security</v>
        <stp/>
        <stp>##V3_BDPV12</stp>
        <stp xml:space="preserve"> EQUITY</stp>
        <stp>CRNCY_ADJ_MKT_CAP</stp>
        <stp>[XIDA.xlsm]Peers!R147C14</stp>
        <stp>EQY_FUND_CRNCY</stp>
        <stp>USD</stp>
        <tr r="N147" s="4"/>
      </tp>
      <tp t="s">
        <v>#N/A Invalid Security</v>
        <stp/>
        <stp>##V3_BDPV12</stp>
        <stp xml:space="preserve"> EQUITY</stp>
        <stp>CRNCY_ADJ_MKT_CAP</stp>
        <stp>[XIDA.xlsm]Peers!R177C14</stp>
        <stp>EQY_FUND_CRNCY</stp>
        <stp>USD</stp>
        <tr r="N177" s="4"/>
      </tp>
      <tp t="s">
        <v>#N/A Invalid Security</v>
        <stp/>
        <stp>##V3_BDPV12</stp>
        <stp xml:space="preserve"> EQUITY</stp>
        <stp>CRNCY_ADJ_MKT_CAP</stp>
        <stp>[XIDA.xlsm]Peers!R167C14</stp>
        <stp>EQY_FUND_CRNCY</stp>
        <stp>USD</stp>
        <tr r="N167" s="4"/>
      </tp>
      <tp t="s">
        <v>#N/A Invalid Security</v>
        <stp/>
        <stp>##V3_BDPV12</stp>
        <stp xml:space="preserve"> EQUITY</stp>
        <stp>CRNCY_ADJ_MKT_CAP</stp>
        <stp>[XIDA.xlsm]Peers!R197C14</stp>
        <stp>EQY_FUND_CRNCY</stp>
        <stp>USD</stp>
        <tr r="N197" s="4"/>
      </tp>
      <tp t="s">
        <v>#N/A Invalid Security</v>
        <stp/>
        <stp>##V3_BDPV12</stp>
        <stp xml:space="preserve"> EQUITY</stp>
        <stp>CRNCY_ADJ_MKT_CAP</stp>
        <stp>[XIDA.xlsm]Peers!R187C14</stp>
        <stp>EQY_FUND_CRNCY</stp>
        <stp>USD</stp>
        <tr r="N187" s="4"/>
      </tp>
      <tp t="e">
        <v>#N/A</v>
        <stp/>
        <stp>##V3_BDSV12</stp>
        <stp>AAPL US EQUITY</stp>
        <stp>TOP_20_HOLDERS_PUBLIC_FILINGS</stp>
        <stp>[XIDA.xlsm]DataH!R56C7</stp>
        <stp>TOP_HOLDERS_INST_TYPE_OVERRIDE</stp>
        <stp>TOP 20 ALL</stp>
        <stp>startcol=3</stp>
        <stp>endcol=3</stp>
        <stp>startrow=1</stp>
        <stp>endrow=20</stp>
        <stp>cols=1;rows=20</stp>
        <tr r="G56" s="16"/>
      </tp>
      <tp>
        <v>111.44</v>
        <stp/>
        <stp>##V3_BDHV12</stp>
        <stp>AAPL US EQUITY</stp>
        <stp>PX_HIGH</stp>
        <stp>1/1/2015</stp>
        <stp>4/13/2015</stp>
        <stp>[XIDA.xlsm]Indices!R10C25</stp>
        <stp>FX=USD</stp>
        <stp>CDR=US</stp>
        <stp/>
        <stp>Per=CD</stp>
        <stp>Dts=H</stp>
        <stp>cols=1;rows=69</stp>
        <tr r="Y10" s="5"/>
      </tp>
      <tp>
        <v>155239</v>
        <stp/>
        <stp>##V3_BDPV12</stp>
        <stp>AAPL US EQUITY</stp>
        <stp>CASH_AND_ST_INVESTMENTS</stp>
        <stp>[XIDA.xlsm]DataH!R13C4</stp>
        <stp>EQY_FUND_RELATIVE_PERIOD</stp>
        <stp>-0FY</stp>
        <tr r="D13" s="16"/>
      </tp>
      <tp t="s">
        <v>#N/A Requesting Data...</v>
        <stp/>
        <stp>##V3_BDSV12</stp>
        <stp>AAPL US EQUITY</stp>
        <stp>BEST_DPS_BRK_GRID</stp>
        <stp>[XIDA.xlsm]DataH!R8C97</stp>
        <stp>BEST_FPERIOD_OVERRIDE</stp>
        <stp>1FQ</stp>
        <stp>STARTCOL=4</stp>
        <stp>ENDCOL=4</stp>
        <stp>EQY_FUND_CRNCY</stp>
        <stp>USD</stp>
        <stp>BEST_CONSOLIDATED_OVERRIDE</stp>
        <stp>C</stp>
        <tr r="CS8" s="16"/>
      </tp>
      <tp t="s">
        <v>#N/A Requesting Data...</v>
        <stp/>
        <stp>##V3_BDSV12</stp>
        <stp>AAPL US EQUITY</stp>
        <stp>BEST_EPS_BRK_GRID</stp>
        <stp>[XIDA.xlsm]DataH!R8C47</stp>
        <stp>BEST_FPERIOD_OVERRIDE</stp>
        <stp>1FQ</stp>
        <stp>STARTCOL=4</stp>
        <stp>ENDCOL=4</stp>
        <stp>EQY_FUND_CRNCY</stp>
        <stp>USD</stp>
        <stp>BEST_CONSOLIDATED_OVERRIDE</stp>
        <stp>C</stp>
        <tr r="AU8" s="16"/>
      </tp>
      <tp t="s">
        <v>#N/A Requesting Data...</v>
        <stp/>
        <stp>##V3_BDSV12</stp>
        <stp>AAPL US EQUITY</stp>
        <stp>BEST_CPS_BRK_GRID</stp>
        <stp>[XIDA.xlsm]DataH!R8C95</stp>
        <stp>BEST_FPERIOD_OVERRIDE</stp>
        <stp>3FQ</stp>
        <stp>STARTCOL=4</stp>
        <stp>ENDCOL=4</stp>
        <stp>EQY_FUND_CRNCY</stp>
        <stp>USD</stp>
        <stp>BEST_CONSOLIDATED_OVERRIDE</stp>
        <stp>C</stp>
        <tr r="CQ8" s="16"/>
      </tp>
      <tp>
        <v>1298</v>
        <stp/>
        <stp>##V3_BDPV12</stp>
        <stp>AAPL US EQUITY</stp>
        <stp>BS_GROSS_FIX_ASSET</stp>
        <stp>[XIDA.xlsm]Financials!R57C7</stp>
        <stp>EQY_FUND_RELATIVE_PERIOD</stp>
        <stp>-10FY</stp>
        <stp>EQY_FUND_CRNCY</stp>
        <stp>USD</stp>
        <stp>EQY_CONSOLIDATED</stp>
        <stp>Y</stp>
        <stp>Fill=B</stp>
        <tr r="G57" s="8"/>
      </tp>
      <tp>
        <v>0</v>
        <stp/>
        <stp>##V3_BDPV12</stp>
        <stp>AAPL US EQUITY</stp>
        <stp>BS_PFD_EQY</stp>
        <stp>[XIDA.xlsm]Financials!R72C10</stp>
        <stp>EQY_FUND_RELATIVE_PERIOD</stp>
        <stp>-7FY</stp>
        <stp>EQY_FUND_CRNCY</stp>
        <stp>USD</stp>
        <stp>EQY_CONSOLIDATED</stp>
        <stp>Y</stp>
        <stp>Fill=B</stp>
        <tr r="J72" s="8"/>
      </tp>
      <tp>
        <v>0</v>
        <stp/>
        <stp>##V3_BDPV12</stp>
        <stp>AAPL US EQUITY</stp>
        <stp>BS_PFD_EQY</stp>
        <stp>[XIDA.xlsm]Financials!R72C11</stp>
        <stp>EQY_FUND_RELATIVE_PERIOD</stp>
        <stp>-6FY</stp>
        <stp>EQY_FUND_CRNCY</stp>
        <stp>USD</stp>
        <stp>EQY_CONSOLIDATED</stp>
        <stp>Y</stp>
        <stp>Fill=B</stp>
        <tr r="K72" s="8"/>
      </tp>
      <tp>
        <v>0</v>
        <stp/>
        <stp>##V3_BDPV12</stp>
        <stp>AAPL US EQUITY</stp>
        <stp>BS_PFD_EQY</stp>
        <stp>[XIDA.xlsm]Financials!R72C12</stp>
        <stp>EQY_FUND_RELATIVE_PERIOD</stp>
        <stp>-5FY</stp>
        <stp>EQY_FUND_CRNCY</stp>
        <stp>USD</stp>
        <stp>EQY_CONSOLIDATED</stp>
        <stp>Y</stp>
        <stp>Fill=B</stp>
        <tr r="L72" s="8"/>
      </tp>
      <tp>
        <v>0</v>
        <stp/>
        <stp>##V3_BDPV12</stp>
        <stp>AAPL US EQUITY</stp>
        <stp>BS_PFD_EQY</stp>
        <stp>[XIDA.xlsm]Financials!R72C13</stp>
        <stp>EQY_FUND_RELATIVE_PERIOD</stp>
        <stp>-4FY</stp>
        <stp>EQY_FUND_CRNCY</stp>
        <stp>USD</stp>
        <stp>EQY_CONSOLIDATED</stp>
        <stp>Y</stp>
        <stp>Fill=B</stp>
        <tr r="M72" s="8"/>
      </tp>
      <tp>
        <v>0</v>
        <stp/>
        <stp>##V3_BDPV12</stp>
        <stp>AAPL US EQUITY</stp>
        <stp>BS_PFD_EQY</stp>
        <stp>[XIDA.xlsm]Financials!R72C14</stp>
        <stp>EQY_FUND_RELATIVE_PERIOD</stp>
        <stp>-3FY</stp>
        <stp>EQY_FUND_CRNCY</stp>
        <stp>USD</stp>
        <stp>EQY_CONSOLIDATED</stp>
        <stp>Y</stp>
        <stp>Fill=B</stp>
        <tr r="N72" s="8"/>
      </tp>
      <tp>
        <v>0</v>
        <stp/>
        <stp>##V3_BDPV12</stp>
        <stp>AAPL US EQUITY</stp>
        <stp>BS_PFD_EQY</stp>
        <stp>[XIDA.xlsm]Financials!R72C15</stp>
        <stp>EQY_FUND_RELATIVE_PERIOD</stp>
        <stp>-2FY</stp>
        <stp>EQY_FUND_CRNCY</stp>
        <stp>USD</stp>
        <stp>EQY_CONSOLIDATED</stp>
        <stp>Y</stp>
        <stp>Fill=B</stp>
        <tr r="O72" s="8"/>
      </tp>
      <tp>
        <v>0</v>
        <stp/>
        <stp>##V3_BDPV12</stp>
        <stp>AAPL US EQUITY</stp>
        <stp>BS_PFD_EQY</stp>
        <stp>[XIDA.xlsm]Financials!R72C16</stp>
        <stp>EQY_FUND_RELATIVE_PERIOD</stp>
        <stp>-1FY</stp>
        <stp>EQY_FUND_CRNCY</stp>
        <stp>USD</stp>
        <stp>EQY_CONSOLIDATED</stp>
        <stp>Y</stp>
        <stp>Fill=B</stp>
        <tr r="P72" s="8"/>
      </tp>
      <tp>
        <v>0</v>
        <stp/>
        <stp>##V3_BDPV12</stp>
        <stp>AAPL US EQUITY</stp>
        <stp>BS_PFD_EQY</stp>
        <stp>[XIDA.xlsm]Financials!R72C17</stp>
        <stp>EQY_FUND_RELATIVE_PERIOD</stp>
        <stp>-0FY</stp>
        <stp>EQY_FUND_CRNCY</stp>
        <stp>USD</stp>
        <stp>EQY_CONSOLIDATED</stp>
        <stp>Y</stp>
        <stp>Fill=B</stp>
        <tr r="Q72" s="8"/>
      </tp>
      <tp t="s">
        <v>#N/A Invalid Security</v>
        <stp/>
        <stp>##V3_BDPV12</stp>
        <stp xml:space="preserve"> EQUITY</stp>
        <stp>CRNCY_ADJ_MKT_CAP</stp>
        <stp>[XIDA.xlsm]Peers!R114C14</stp>
        <stp>EQY_FUND_CRNCY</stp>
        <stp>USD</stp>
        <tr r="N114" s="4"/>
      </tp>
      <tp t="s">
        <v>#N/A Invalid Security</v>
        <stp/>
        <stp>##V3_BDPV12</stp>
        <stp xml:space="preserve"> EQUITY</stp>
        <stp>CRNCY_ADJ_MKT_CAP</stp>
        <stp>[XIDA.xlsm]Peers!R104C14</stp>
        <stp>EQY_FUND_CRNCY</stp>
        <stp>USD</stp>
        <tr r="N104" s="4"/>
      </tp>
      <tp t="s">
        <v>#N/A Invalid Security</v>
        <stp/>
        <stp>##V3_BDPV12</stp>
        <stp xml:space="preserve"> EQUITY</stp>
        <stp>CRNCY_ADJ_MKT_CAP</stp>
        <stp>[XIDA.xlsm]Peers!R134C14</stp>
        <stp>EQY_FUND_CRNCY</stp>
        <stp>USD</stp>
        <tr r="N134" s="4"/>
      </tp>
      <tp t="s">
        <v>#N/A Invalid Security</v>
        <stp/>
        <stp>##V3_BDPV12</stp>
        <stp xml:space="preserve"> EQUITY</stp>
        <stp>CRNCY_ADJ_MKT_CAP</stp>
        <stp>[XIDA.xlsm]Peers!R124C14</stp>
        <stp>EQY_FUND_CRNCY</stp>
        <stp>USD</stp>
        <tr r="N124" s="4"/>
      </tp>
      <tp t="s">
        <v>#N/A Invalid Security</v>
        <stp/>
        <stp>##V3_BDPV12</stp>
        <stp xml:space="preserve"> EQUITY</stp>
        <stp>CRNCY_ADJ_MKT_CAP</stp>
        <stp>[XIDA.xlsm]Peers!R154C14</stp>
        <stp>EQY_FUND_CRNCY</stp>
        <stp>USD</stp>
        <tr r="N154" s="4"/>
      </tp>
      <tp t="s">
        <v>#N/A Invalid Security</v>
        <stp/>
        <stp>##V3_BDPV12</stp>
        <stp xml:space="preserve"> EQUITY</stp>
        <stp>CRNCY_ADJ_MKT_CAP</stp>
        <stp>[XIDA.xlsm]Peers!R144C14</stp>
        <stp>EQY_FUND_CRNCY</stp>
        <stp>USD</stp>
        <tr r="N144" s="4"/>
      </tp>
      <tp t="s">
        <v>#N/A Invalid Security</v>
        <stp/>
        <stp>##V3_BDPV12</stp>
        <stp xml:space="preserve"> EQUITY</stp>
        <stp>CRNCY_ADJ_MKT_CAP</stp>
        <stp>[XIDA.xlsm]Peers!R174C14</stp>
        <stp>EQY_FUND_CRNCY</stp>
        <stp>USD</stp>
        <tr r="N174" s="4"/>
      </tp>
      <tp t="s">
        <v>#N/A Invalid Security</v>
        <stp/>
        <stp>##V3_BDPV12</stp>
        <stp xml:space="preserve"> EQUITY</stp>
        <stp>CRNCY_ADJ_MKT_CAP</stp>
        <stp>[XIDA.xlsm]Peers!R164C14</stp>
        <stp>EQY_FUND_CRNCY</stp>
        <stp>USD</stp>
        <tr r="N164" s="4"/>
      </tp>
      <tp t="s">
        <v>#N/A Invalid Security</v>
        <stp/>
        <stp>##V3_BDPV12</stp>
        <stp xml:space="preserve"> EQUITY</stp>
        <stp>CRNCY_ADJ_MKT_CAP</stp>
        <stp>[XIDA.xlsm]Peers!R194C14</stp>
        <stp>EQY_FUND_CRNCY</stp>
        <stp>USD</stp>
        <tr r="N194" s="4"/>
      </tp>
      <tp t="s">
        <v>#N/A Invalid Security</v>
        <stp/>
        <stp>##V3_BDPV12</stp>
        <stp xml:space="preserve"> EQUITY</stp>
        <stp>CRNCY_ADJ_MKT_CAP</stp>
        <stp>[XIDA.xlsm]Peers!R184C14</stp>
        <stp>EQY_FUND_CRNCY</stp>
        <stp>USD</stp>
        <tr r="N184" s="4"/>
      </tp>
      <tp t="e">
        <v>#N/A</v>
        <stp/>
        <stp>##V3_BDSV12</stp>
        <stp>AAPL US EQUITY</stp>
        <stp>TOP_20_HOLDERS_PUBLIC_FILINGS</stp>
        <stp>[XIDA.xlsm]DataH!R56C6</stp>
        <stp>TOP_HOLDERS_INST_TYPE_OVERRIDE</stp>
        <stp>TOP 20 ALL</stp>
        <stp>startcol=7</stp>
        <stp>endcol=7</stp>
        <stp>startrow=1</stp>
        <stp>endrow=20</stp>
        <stp>cols=1;rows=20</stp>
        <tr r="F56" s="16"/>
      </tp>
      <tp t="s">
        <v>#N/A Requesting Data...</v>
        <stp/>
        <stp>##V3_BDSV12</stp>
        <stp>AAPL US EQUITY</stp>
        <stp>BEST_CPS_BRK_GRID</stp>
        <stp>[XIDA.xlsm]DataH!R8C94</stp>
        <stp>BEST_FPERIOD_OVERRIDE</stp>
        <stp>3FQ</stp>
        <stp>STARTCOL=1</stp>
        <stp>ENDCOL=1</stp>
        <stp>EQY_FUND_CRNCY</stp>
        <stp>USD</stp>
        <stp>BEST_CONSOLIDATED_OVERRIDE</stp>
        <stp>C</stp>
        <tr r="CP8" s="16"/>
      </tp>
      <tp t="s">
        <v>Broker</v>
        <stp/>
        <stp>##V3_BDSV12</stp>
        <stp>AAPL US EQUITY</stp>
        <stp>BEST_EPS_BRK_GRID</stp>
        <stp>[XIDA.xlsm]DataH!R8C46</stp>
        <stp>BEST_FPERIOD_OVERRIDE</stp>
        <stp>1FQ</stp>
        <stp>STARTCOL=1</stp>
        <stp>ENDCOL=1</stp>
        <stp>EQY_FUND_CRNCY</stp>
        <stp>USD</stp>
        <stp>BEST_CONSOLIDATED_OVERRIDE</stp>
        <stp>C</stp>
        <tr r="AT8" s="16"/>
      </tp>
      <tp t="s">
        <v>#N/A Requesting Data...</v>
        <stp/>
        <stp>##V3_BDSV12</stp>
        <stp>AAPL US EQUITY</stp>
        <stp>BEST_DPS_BRK_GRID</stp>
        <stp>[XIDA.xlsm]DataH!R8C96</stp>
        <stp>BEST_FPERIOD_OVERRIDE</stp>
        <stp>1FQ</stp>
        <stp>STARTCOL=1</stp>
        <stp>ENDCOL=1</stp>
        <stp>EQY_FUND_CRNCY</stp>
        <stp>USD</stp>
        <stp>BEST_CONSOLIDATED_OVERRIDE</stp>
        <stp>C</stp>
        <tr r="CR8" s="16"/>
      </tp>
      <tp>
        <v>3495</v>
        <stp/>
        <stp>##V3_BDPV12</stp>
        <stp>AAPL US EQUITY</stp>
        <stp>IS_INC_BEF_XO_ITEM</stp>
        <stp>[XIDA.xlsm]Financials!R29C10</stp>
        <stp>EQY_FUND_RELATIVE_PERIOD</stp>
        <stp>-7FY</stp>
        <stp>EQY_FUND_CRNCY</stp>
        <stp>USD</stp>
        <stp>EQY_CONSOLIDATED</stp>
        <stp>Y</stp>
        <stp>Fill=B</stp>
        <tr r="J29" s="8"/>
      </tp>
      <tp>
        <v>6119</v>
        <stp/>
        <stp>##V3_BDPV12</stp>
        <stp>AAPL US EQUITY</stp>
        <stp>IS_INC_BEF_XO_ITEM</stp>
        <stp>[XIDA.xlsm]Financials!R29C11</stp>
        <stp>EQY_FUND_RELATIVE_PERIOD</stp>
        <stp>-6FY</stp>
        <stp>EQY_FUND_CRNCY</stp>
        <stp>USD</stp>
        <stp>EQY_CONSOLIDATED</stp>
        <stp>Y</stp>
        <stp>Fill=B</stp>
        <tr r="K29" s="8"/>
      </tp>
      <tp>
        <v>8235</v>
        <stp/>
        <stp>##V3_BDPV12</stp>
        <stp>AAPL US EQUITY</stp>
        <stp>IS_INC_BEF_XO_ITEM</stp>
        <stp>[XIDA.xlsm]Financials!R29C12</stp>
        <stp>EQY_FUND_RELATIVE_PERIOD</stp>
        <stp>-5FY</stp>
        <stp>EQY_FUND_CRNCY</stp>
        <stp>USD</stp>
        <stp>EQY_CONSOLIDATED</stp>
        <stp>Y</stp>
        <stp>Fill=B</stp>
        <tr r="L29" s="8"/>
      </tp>
      <tp>
        <v>14013</v>
        <stp/>
        <stp>##V3_BDPV12</stp>
        <stp>AAPL US EQUITY</stp>
        <stp>IS_INC_BEF_XO_ITEM</stp>
        <stp>[XIDA.xlsm]Financials!R29C13</stp>
        <stp>EQY_FUND_RELATIVE_PERIOD</stp>
        <stp>-4FY</stp>
        <stp>EQY_FUND_CRNCY</stp>
        <stp>USD</stp>
        <stp>EQY_CONSOLIDATED</stp>
        <stp>Y</stp>
        <stp>Fill=B</stp>
        <tr r="M29" s="8"/>
      </tp>
      <tp>
        <v>25922</v>
        <stp/>
        <stp>##V3_BDPV12</stp>
        <stp>AAPL US EQUITY</stp>
        <stp>IS_INC_BEF_XO_ITEM</stp>
        <stp>[XIDA.xlsm]Financials!R29C14</stp>
        <stp>EQY_FUND_RELATIVE_PERIOD</stp>
        <stp>-3FY</stp>
        <stp>EQY_FUND_CRNCY</stp>
        <stp>USD</stp>
        <stp>EQY_CONSOLIDATED</stp>
        <stp>Y</stp>
        <stp>Fill=B</stp>
        <tr r="N29" s="8"/>
      </tp>
      <tp>
        <v>41733</v>
        <stp/>
        <stp>##V3_BDPV12</stp>
        <stp>AAPL US EQUITY</stp>
        <stp>IS_INC_BEF_XO_ITEM</stp>
        <stp>[XIDA.xlsm]Financials!R29C15</stp>
        <stp>EQY_FUND_RELATIVE_PERIOD</stp>
        <stp>-2FY</stp>
        <stp>EQY_FUND_CRNCY</stp>
        <stp>USD</stp>
        <stp>EQY_CONSOLIDATED</stp>
        <stp>Y</stp>
        <stp>Fill=B</stp>
        <tr r="O29" s="8"/>
      </tp>
      <tp>
        <v>37037</v>
        <stp/>
        <stp>##V3_BDPV12</stp>
        <stp>AAPL US EQUITY</stp>
        <stp>IS_INC_BEF_XO_ITEM</stp>
        <stp>[XIDA.xlsm]Financials!R29C16</stp>
        <stp>EQY_FUND_RELATIVE_PERIOD</stp>
        <stp>-1FY</stp>
        <stp>EQY_FUND_CRNCY</stp>
        <stp>USD</stp>
        <stp>EQY_CONSOLIDATED</stp>
        <stp>Y</stp>
        <stp>Fill=B</stp>
        <tr r="P29" s="8"/>
      </tp>
      <tp>
        <v>39510</v>
        <stp/>
        <stp>##V3_BDPV12</stp>
        <stp>AAPL US EQUITY</stp>
        <stp>IS_INC_BEF_XO_ITEM</stp>
        <stp>[XIDA.xlsm]Financials!R29C17</stp>
        <stp>EQY_FUND_RELATIVE_PERIOD</stp>
        <stp>-0FY</stp>
        <stp>EQY_FUND_CRNCY</stp>
        <stp>USD</stp>
        <stp>EQY_CONSOLIDATED</stp>
        <stp>Y</stp>
        <stp>Fill=B</stp>
        <tr r="Q29" s="8"/>
      </tp>
      <tp t="s">
        <v>#N/A Invalid Security</v>
        <stp/>
        <stp>##V3_BDPV12</stp>
        <stp xml:space="preserve"> EQUITY</stp>
        <stp>CRNCY_ADJ_MKT_CAP</stp>
        <stp>[XIDA.xlsm]Peers!R115C14</stp>
        <stp>EQY_FUND_CRNCY</stp>
        <stp>USD</stp>
        <tr r="N115" s="4"/>
      </tp>
      <tp t="s">
        <v>#N/A Invalid Security</v>
        <stp/>
        <stp>##V3_BDPV12</stp>
        <stp xml:space="preserve"> EQUITY</stp>
        <stp>CRNCY_ADJ_MKT_CAP</stp>
        <stp>[XIDA.xlsm]Peers!R105C14</stp>
        <stp>EQY_FUND_CRNCY</stp>
        <stp>USD</stp>
        <tr r="N105" s="4"/>
      </tp>
      <tp t="s">
        <v>#N/A Invalid Security</v>
        <stp/>
        <stp>##V3_BDPV12</stp>
        <stp xml:space="preserve"> EQUITY</stp>
        <stp>CRNCY_ADJ_MKT_CAP</stp>
        <stp>[XIDA.xlsm]Peers!R135C14</stp>
        <stp>EQY_FUND_CRNCY</stp>
        <stp>USD</stp>
        <tr r="N135" s="4"/>
      </tp>
      <tp t="s">
        <v>#N/A Invalid Security</v>
        <stp/>
        <stp>##V3_BDPV12</stp>
        <stp xml:space="preserve"> EQUITY</stp>
        <stp>CRNCY_ADJ_MKT_CAP</stp>
        <stp>[XIDA.xlsm]Peers!R125C14</stp>
        <stp>EQY_FUND_CRNCY</stp>
        <stp>USD</stp>
        <tr r="N125" s="4"/>
      </tp>
      <tp t="s">
        <v>#N/A Invalid Security</v>
        <stp/>
        <stp>##V3_BDPV12</stp>
        <stp xml:space="preserve"> EQUITY</stp>
        <stp>CRNCY_ADJ_MKT_CAP</stp>
        <stp>[XIDA.xlsm]Peers!R155C14</stp>
        <stp>EQY_FUND_CRNCY</stp>
        <stp>USD</stp>
        <tr r="N155" s="4"/>
      </tp>
      <tp t="s">
        <v>#N/A Invalid Security</v>
        <stp/>
        <stp>##V3_BDPV12</stp>
        <stp xml:space="preserve"> EQUITY</stp>
        <stp>CRNCY_ADJ_MKT_CAP</stp>
        <stp>[XIDA.xlsm]Peers!R145C14</stp>
        <stp>EQY_FUND_CRNCY</stp>
        <stp>USD</stp>
        <tr r="N145" s="4"/>
      </tp>
      <tp t="s">
        <v>#N/A Invalid Security</v>
        <stp/>
        <stp>##V3_BDPV12</stp>
        <stp xml:space="preserve"> EQUITY</stp>
        <stp>CRNCY_ADJ_MKT_CAP</stp>
        <stp>[XIDA.xlsm]Peers!R175C14</stp>
        <stp>EQY_FUND_CRNCY</stp>
        <stp>USD</stp>
        <tr r="N175" s="4"/>
      </tp>
      <tp t="s">
        <v>#N/A Invalid Security</v>
        <stp/>
        <stp>##V3_BDPV12</stp>
        <stp xml:space="preserve"> EQUITY</stp>
        <stp>CRNCY_ADJ_MKT_CAP</stp>
        <stp>[XIDA.xlsm]Peers!R165C14</stp>
        <stp>EQY_FUND_CRNCY</stp>
        <stp>USD</stp>
        <tr r="N165" s="4"/>
      </tp>
      <tp t="s">
        <v>#N/A Invalid Security</v>
        <stp/>
        <stp>##V3_BDPV12</stp>
        <stp xml:space="preserve"> EQUITY</stp>
        <stp>CRNCY_ADJ_MKT_CAP</stp>
        <stp>[XIDA.xlsm]Peers!R195C14</stp>
        <stp>EQY_FUND_CRNCY</stp>
        <stp>USD</stp>
        <tr r="N195" s="4"/>
      </tp>
      <tp t="s">
        <v>#N/A Invalid Security</v>
        <stp/>
        <stp>##V3_BDPV12</stp>
        <stp xml:space="preserve"> EQUITY</stp>
        <stp>CRNCY_ADJ_MKT_CAP</stp>
        <stp>[XIDA.xlsm]Peers!R185C14</stp>
        <stp>EQY_FUND_CRNCY</stp>
        <stp>USD</stp>
        <tr r="N185" s="4"/>
      </tp>
    </main>
    <main first="bloomberg.rtd">
      <tp t="e">
        <v>#N/A</v>
        <stp/>
        <stp>##V3_BDPV12</stp>
        <stp xml:space="preserve"> EQUITY</stp>
        <stp>BEST_PX_SALES_RATIO</stp>
        <stp>[XIDA.xlsm]DataH!R52C14</stp>
        <stp>BEST_FPERIOD_OVERRIDE</stp>
        <stp>17BC</stp>
        <stp>EQY_CONSOLIDATED</stp>
        <stp>Y</stp>
        <tr r="N52" s="16"/>
      </tp>
      <tp t="e">
        <v>#N/A</v>
        <stp/>
        <stp>##V3_BDPV12</stp>
        <stp xml:space="preserve"> EQUITY</stp>
        <stp>BEST_PX_SALES_RATIO</stp>
        <stp>[XIDA.xlsm]DataH!R31C12</stp>
        <stp>BEST_FPERIOD_OVERRIDE</stp>
        <stp>15BC</stp>
        <stp>EQY_CONSOLIDATED</stp>
        <stp>Y</stp>
        <tr r="L31" s="16"/>
      </tp>
      <tp t="e">
        <v>#N/A</v>
        <stp/>
        <stp>##V3_BDPV12</stp>
        <stp xml:space="preserve"> EQUITY</stp>
        <stp>BEST_PX_SALES_RATIO</stp>
        <stp>[XIDA.xlsm]DataH!R32C12</stp>
        <stp>BEST_FPERIOD_OVERRIDE</stp>
        <stp>15BC</stp>
        <stp>EQY_CONSOLIDATED</stp>
        <stp>Y</stp>
        <tr r="L32" s="16"/>
      </tp>
      <tp t="e">
        <v>#N/A</v>
        <stp/>
        <stp>##V3_BDPV12</stp>
        <stp xml:space="preserve"> EQUITY</stp>
        <stp>BEST_PX_SALES_RATIO</stp>
        <stp>[XIDA.xlsm]DataH!R50C14</stp>
        <stp>BEST_FPERIOD_OVERRIDE</stp>
        <stp>17BC</stp>
        <stp>EQY_CONSOLIDATED</stp>
        <stp>Y</stp>
        <tr r="N50" s="16"/>
      </tp>
      <tp t="e">
        <v>#N/A</v>
        <stp/>
        <stp>##V3_BDPV12</stp>
        <stp xml:space="preserve"> EQUITY</stp>
        <stp>BEST_PX_SALES_RATIO</stp>
        <stp>[XIDA.xlsm]DataH!R33C12</stp>
        <stp>BEST_FPERIOD_OVERRIDE</stp>
        <stp>15BC</stp>
        <stp>EQY_CONSOLIDATED</stp>
        <stp>Y</stp>
        <tr r="L33" s="16"/>
      </tp>
      <tp t="e">
        <v>#N/A</v>
        <stp/>
        <stp>##V3_BDPV12</stp>
        <stp xml:space="preserve"> EQUITY</stp>
        <stp>BEST_PX_SALES_RATIO</stp>
        <stp>[XIDA.xlsm]DataH!R51C14</stp>
        <stp>BEST_FPERIOD_OVERRIDE</stp>
        <stp>17BC</stp>
        <stp>EQY_CONSOLIDATED</stp>
        <stp>Y</stp>
        <tr r="N51" s="16"/>
      </tp>
      <tp t="e">
        <v>#N/A</v>
        <stp/>
        <stp>##V3_BDPV12</stp>
        <stp xml:space="preserve"> EQUITY</stp>
        <stp>BEST_PX_SALES_RATIO</stp>
        <stp>[XIDA.xlsm]DataH!R34C12</stp>
        <stp>BEST_FPERIOD_OVERRIDE</stp>
        <stp>15BC</stp>
        <stp>EQY_CONSOLIDATED</stp>
        <stp>Y</stp>
        <tr r="L34" s="16"/>
      </tp>
      <tp t="e">
        <v>#N/A</v>
        <stp/>
        <stp>##V3_BDPV12</stp>
        <stp xml:space="preserve"> EQUITY</stp>
        <stp>BEST_PX_SALES_RATIO</stp>
        <stp>[XIDA.xlsm]DataH!R35C12</stp>
        <stp>BEST_FPERIOD_OVERRIDE</stp>
        <stp>15BC</stp>
        <stp>EQY_CONSOLIDATED</stp>
        <stp>Y</stp>
        <tr r="L35" s="16"/>
      </tp>
      <tp t="e">
        <v>#N/A</v>
        <stp/>
        <stp>##V3_BDPV12</stp>
        <stp xml:space="preserve"> EQUITY</stp>
        <stp>BEST_PX_SALES_RATIO</stp>
        <stp>[XIDA.xlsm]DataH!R36C12</stp>
        <stp>BEST_FPERIOD_OVERRIDE</stp>
        <stp>15BC</stp>
        <stp>EQY_CONSOLIDATED</stp>
        <stp>Y</stp>
        <tr r="L36" s="16"/>
      </tp>
      <tp t="e">
        <v>#N/A</v>
        <stp/>
        <stp>##V3_BDPV12</stp>
        <stp xml:space="preserve"> EQUITY</stp>
        <stp>BEST_PX_SALES_RATIO</stp>
        <stp>[XIDA.xlsm]DataH!R37C12</stp>
        <stp>BEST_FPERIOD_OVERRIDE</stp>
        <stp>15BC</stp>
        <stp>EQY_CONSOLIDATED</stp>
        <stp>Y</stp>
        <tr r="L37" s="16"/>
      </tp>
      <tp t="e">
        <v>#N/A</v>
        <stp/>
        <stp>##V3_BDPV12</stp>
        <stp xml:space="preserve"> EQUITY</stp>
        <stp>BEST_PX_SALES_RATIO</stp>
        <stp>[XIDA.xlsm]DataH!R38C12</stp>
        <stp>BEST_FPERIOD_OVERRIDE</stp>
        <stp>15BC</stp>
        <stp>EQY_CONSOLIDATED</stp>
        <stp>Y</stp>
        <tr r="L38" s="16"/>
      </tp>
      <tp t="e">
        <v>#N/A</v>
        <stp/>
        <stp>##V3_BDPV12</stp>
        <stp xml:space="preserve"> EQUITY</stp>
        <stp>BEST_PX_SALES_RATIO</stp>
        <stp>[XIDA.xlsm]DataH!R39C12</stp>
        <stp>BEST_FPERIOD_OVERRIDE</stp>
        <stp>15BC</stp>
        <stp>EQY_CONSOLIDATED</stp>
        <stp>Y</stp>
        <tr r="L39" s="16"/>
      </tp>
      <tp t="s">
        <v>#N/A Requesting Data...</v>
        <stp/>
        <stp>##V3_BDSV12</stp>
        <stp>AAPL US EQUITY</stp>
        <stp>BEST_SALES_BRK_GRID</stp>
        <stp>[XIDA.xlsm]DataH!R8C60</stp>
        <stp>BEST_FPERIOD_OVERRIDE</stp>
        <stp>3FQ</stp>
        <stp>STARTCOL=4</stp>
        <stp>ENDCOL=4</stp>
        <stp>EQY_FUND_CRNCY</stp>
        <stp>USD</stp>
        <stp>BEST_CONSOLIDATED_OVERRIDE</stp>
        <stp>C</stp>
        <tr r="BH8" s="16"/>
      </tp>
      <tp t="s">
        <v>SPX</v>
        <stp/>
        <stp>##V3_BDPV12</stp>
        <stp>AAPL US EQUITY</stp>
        <stp>REL_INDEX</stp>
        <stp>[XIDA.xlsm]ControlsH!R3C2</stp>
        <tr r="B3" s="2"/>
      </tp>
      <tp>
        <v>427</v>
        <stp/>
        <stp>##V3_BDPV12</stp>
        <stp>AAPL US EQUITY</stp>
        <stp>CF_INCR_CAP_STOCK</stp>
        <stp>[XIDA.xlsm]Financials!R102C7</stp>
        <stp>EQY_FUND_RELATIVE_PERIOD</stp>
        <stp>-10FY</stp>
        <stp>EQY_FUND_CRNCY</stp>
        <stp>USD</stp>
        <stp>EQY_CONSOLIDATED</stp>
        <stp>Y</stp>
        <stp>Fill=B</stp>
        <tr r="G102" s="8"/>
      </tp>
      <tp>
        <v>0</v>
        <stp/>
        <stp>##V3_BDPV12</stp>
        <stp>AAPL US EQUITY</stp>
        <stp>CF_DECR_INVEST</stp>
        <stp>[XIDA.xlsm]Financials!R94C8</stp>
        <stp>EQY_FUND_RELATIVE_PERIOD</stp>
        <stp>-9FY</stp>
        <stp>EQY_FUND_CRNCY</stp>
        <stp>USD</stp>
        <stp>EQY_CONSOLIDATED</stp>
        <stp>Y</stp>
        <stp>Fill=B</stp>
        <tr r="H94" s="8"/>
      </tp>
      <tp>
        <v>0</v>
        <stp/>
        <stp>##V3_BDPV12</stp>
        <stp>AAPL US EQUITY</stp>
        <stp>CF_DECR_INVEST</stp>
        <stp>[XIDA.xlsm]Financials!R94C9</stp>
        <stp>EQY_FUND_RELATIVE_PERIOD</stp>
        <stp>-8FY</stp>
        <stp>EQY_FUND_CRNCY</stp>
        <stp>USD</stp>
        <stp>EQY_CONSOLIDATED</stp>
        <stp>Y</stp>
        <stp>Fill=B</stp>
        <tr r="I94" s="8"/>
      </tp>
      <tp>
        <v>0</v>
        <stp/>
        <stp>##V3_BDPV12</stp>
        <stp>AAPL US EQUITY</stp>
        <stp>CF_INCR_INVEST</stp>
        <stp>[XIDA.xlsm]Financials!R93C8</stp>
        <stp>EQY_FUND_RELATIVE_PERIOD</stp>
        <stp>-9FY</stp>
        <stp>EQY_FUND_CRNCY</stp>
        <stp>USD</stp>
        <stp>EQY_CONSOLIDATED</stp>
        <stp>Y</stp>
        <stp>Fill=B</stp>
        <tr r="H93" s="8"/>
      </tp>
      <tp>
        <v>-25</v>
        <stp/>
        <stp>##V3_BDPV12</stp>
        <stp>AAPL US EQUITY</stp>
        <stp>CF_INCR_INVEST</stp>
        <stp>[XIDA.xlsm]Financials!R93C9</stp>
        <stp>EQY_FUND_RELATIVE_PERIOD</stp>
        <stp>-8FY</stp>
        <stp>EQY_FUND_CRNCY</stp>
        <stp>USD</stp>
        <stp>EQY_CONSOLIDATED</stp>
        <stp>Y</stp>
        <stp>Fill=B</stp>
        <tr r="I93" s="8"/>
      </tp>
      <tp>
        <v>2.3938432768532594</v>
        <stp/>
        <stp>##V3_BDPV12</stp>
        <stp>AAPL US EQUITY</stp>
        <stp>BEST_PX_SALES_RATIO</stp>
        <stp>[XIDA.xlsm]Overview!R36C10</stp>
        <stp>BEST_FPERIOD_OVERRIDE</stp>
        <stp>2FY</stp>
        <stp>BEST_CONSOLIDATED_OVERRIDE</stp>
        <stp>C</stp>
        <stp>Fill=-</stp>
        <tr r="J36" s="3"/>
      </tp>
      <tp>
        <v>2.2834608371302694</v>
        <stp/>
        <stp>##V3_BDPV12</stp>
        <stp>AAPL US EQUITY</stp>
        <stp>BEST_PX_SALES_RATIO</stp>
        <stp>[XIDA.xlsm]Overview!R36C11</stp>
        <stp>BEST_FPERIOD_OVERRIDE</stp>
        <stp>3FY</stp>
        <stp>BEST_CONSOLIDATED_OVERRIDE</stp>
        <stp>C</stp>
        <stp>Fill=-</stp>
        <tr r="K36" s="3"/>
      </tp>
      <tp t="e">
        <v>#N/A</v>
        <stp/>
        <stp>##V3_BDPV12</stp>
        <stp xml:space="preserve"> EQUITY</stp>
        <stp>BEST_PX_SALES_RATIO</stp>
        <stp>[XIDA.xlsm]DataH!R33C13</stp>
        <stp>BEST_FPERIOD_OVERRIDE</stp>
        <stp>16BC</stp>
        <stp>EQY_CONSOLIDATED</stp>
        <stp>Y</stp>
        <tr r="M33" s="16"/>
      </tp>
      <tp t="e">
        <v>#N/A</v>
        <stp/>
        <stp>##V3_BDPV12</stp>
        <stp xml:space="preserve"> EQUITY</stp>
        <stp>BEST_PX_SALES_RATIO</stp>
        <stp>[XIDA.xlsm]DataH!R42C14</stp>
        <stp>BEST_FPERIOD_OVERRIDE</stp>
        <stp>17BC</stp>
        <stp>EQY_CONSOLIDATED</stp>
        <stp>Y</stp>
        <tr r="N42" s="16"/>
      </tp>
      <tp t="e">
        <v>#N/A</v>
        <stp/>
        <stp>##V3_BDPV12</stp>
        <stp xml:space="preserve"> EQUITY</stp>
        <stp>BEST_PX_SALES_RATIO</stp>
        <stp>[XIDA.xlsm]DataH!R32C13</stp>
        <stp>BEST_FPERIOD_OVERRIDE</stp>
        <stp>16BC</stp>
        <stp>EQY_CONSOLIDATED</stp>
        <stp>Y</stp>
        <tr r="M32" s="16"/>
      </tp>
      <tp t="e">
        <v>#N/A</v>
        <stp/>
        <stp>##V3_BDPV12</stp>
        <stp xml:space="preserve"> EQUITY</stp>
        <stp>BEST_PX_SALES_RATIO</stp>
        <stp>[XIDA.xlsm]DataH!R43C14</stp>
        <stp>BEST_FPERIOD_OVERRIDE</stp>
        <stp>17BC</stp>
        <stp>EQY_CONSOLIDATED</stp>
        <stp>Y</stp>
        <tr r="N43" s="16"/>
      </tp>
      <tp t="e">
        <v>#N/A</v>
        <stp/>
        <stp>##V3_BDPV12</stp>
        <stp xml:space="preserve"> EQUITY</stp>
        <stp>BEST_PX_SALES_RATIO</stp>
        <stp>[XIDA.xlsm]DataH!R31C13</stp>
        <stp>BEST_FPERIOD_OVERRIDE</stp>
        <stp>16BC</stp>
        <stp>EQY_CONSOLIDATED</stp>
        <stp>Y</stp>
        <tr r="M31" s="16"/>
      </tp>
      <tp t="e">
        <v>#N/A</v>
        <stp/>
        <stp>##V3_BDPV12</stp>
        <stp xml:space="preserve"> EQUITY</stp>
        <stp>BEST_PX_SALES_RATIO</stp>
        <stp>[XIDA.xlsm]DataH!R40C14</stp>
        <stp>BEST_FPERIOD_OVERRIDE</stp>
        <stp>17BC</stp>
        <stp>EQY_CONSOLIDATED</stp>
        <stp>Y</stp>
        <tr r="N40" s="16"/>
      </tp>
      <tp t="e">
        <v>#N/A</v>
        <stp/>
        <stp>##V3_BDPV12</stp>
        <stp xml:space="preserve"> EQUITY</stp>
        <stp>BEST_PX_SALES_RATIO</stp>
        <stp>[XIDA.xlsm]DataH!R41C14</stp>
        <stp>BEST_FPERIOD_OVERRIDE</stp>
        <stp>17BC</stp>
        <stp>EQY_CONSOLIDATED</stp>
        <stp>Y</stp>
        <tr r="N41" s="16"/>
      </tp>
      <tp t="e">
        <v>#N/A</v>
        <stp/>
        <stp>##V3_BDPV12</stp>
        <stp xml:space="preserve"> EQUITY</stp>
        <stp>BEST_PX_SALES_RATIO</stp>
        <stp>[XIDA.xlsm]DataH!R37C13</stp>
        <stp>BEST_FPERIOD_OVERRIDE</stp>
        <stp>16BC</stp>
        <stp>EQY_CONSOLIDATED</stp>
        <stp>Y</stp>
        <tr r="M37" s="16"/>
      </tp>
      <tp t="e">
        <v>#N/A</v>
        <stp/>
        <stp>##V3_BDPV12</stp>
        <stp xml:space="preserve"> EQUITY</stp>
        <stp>BEST_PX_SALES_RATIO</stp>
        <stp>[XIDA.xlsm]DataH!R46C14</stp>
        <stp>BEST_FPERIOD_OVERRIDE</stp>
        <stp>17BC</stp>
        <stp>EQY_CONSOLIDATED</stp>
        <stp>Y</stp>
        <tr r="N46" s="16"/>
      </tp>
      <tp t="e">
        <v>#N/A</v>
        <stp/>
        <stp>##V3_BDPV12</stp>
        <stp xml:space="preserve"> EQUITY</stp>
        <stp>BEST_PX_SALES_RATIO</stp>
        <stp>[XIDA.xlsm]DataH!R36C13</stp>
        <stp>BEST_FPERIOD_OVERRIDE</stp>
        <stp>16BC</stp>
        <stp>EQY_CONSOLIDATED</stp>
        <stp>Y</stp>
        <tr r="M36" s="16"/>
      </tp>
      <tp t="e">
        <v>#N/A</v>
        <stp/>
        <stp>##V3_BDPV12</stp>
        <stp xml:space="preserve"> EQUITY</stp>
        <stp>BEST_PX_SALES_RATIO</stp>
        <stp>[XIDA.xlsm]DataH!R47C14</stp>
        <stp>BEST_FPERIOD_OVERRIDE</stp>
        <stp>17BC</stp>
        <stp>EQY_CONSOLIDATED</stp>
        <stp>Y</stp>
        <tr r="N47" s="16"/>
      </tp>
      <tp t="e">
        <v>#N/A</v>
        <stp/>
        <stp>##V3_BDPV12</stp>
        <stp xml:space="preserve"> EQUITY</stp>
        <stp>BEST_PX_SALES_RATIO</stp>
        <stp>[XIDA.xlsm]DataH!R35C13</stp>
        <stp>BEST_FPERIOD_OVERRIDE</stp>
        <stp>16BC</stp>
        <stp>EQY_CONSOLIDATED</stp>
        <stp>Y</stp>
        <tr r="M35" s="16"/>
      </tp>
      <tp t="e">
        <v>#N/A</v>
        <stp/>
        <stp>##V3_BDPV12</stp>
        <stp xml:space="preserve"> EQUITY</stp>
        <stp>BEST_PX_SALES_RATIO</stp>
        <stp>[XIDA.xlsm]DataH!R44C14</stp>
        <stp>BEST_FPERIOD_OVERRIDE</stp>
        <stp>17BC</stp>
        <stp>EQY_CONSOLIDATED</stp>
        <stp>Y</stp>
        <tr r="N44" s="16"/>
      </tp>
      <tp t="e">
        <v>#N/A</v>
        <stp/>
        <stp>##V3_BDPV12</stp>
        <stp xml:space="preserve"> EQUITY</stp>
        <stp>BEST_PX_SALES_RATIO</stp>
        <stp>[XIDA.xlsm]DataH!R34C13</stp>
        <stp>BEST_FPERIOD_OVERRIDE</stp>
        <stp>16BC</stp>
        <stp>EQY_CONSOLIDATED</stp>
        <stp>Y</stp>
        <tr r="M34" s="16"/>
      </tp>
      <tp t="e">
        <v>#N/A</v>
        <stp/>
        <stp>##V3_BDPV12</stp>
        <stp xml:space="preserve"> EQUITY</stp>
        <stp>BEST_PX_SALES_RATIO</stp>
        <stp>[XIDA.xlsm]DataH!R45C14</stp>
        <stp>BEST_FPERIOD_OVERRIDE</stp>
        <stp>17BC</stp>
        <stp>EQY_CONSOLIDATED</stp>
        <stp>Y</stp>
        <tr r="N45" s="16"/>
      </tp>
      <tp t="e">
        <v>#N/A</v>
        <stp/>
        <stp>##V3_BDPV12</stp>
        <stp xml:space="preserve"> EQUITY</stp>
        <stp>BEST_PX_SALES_RATIO</stp>
        <stp>[XIDA.xlsm]DataH!R39C13</stp>
        <stp>BEST_FPERIOD_OVERRIDE</stp>
        <stp>16BC</stp>
        <stp>EQY_CONSOLIDATED</stp>
        <stp>Y</stp>
        <tr r="M39" s="16"/>
      </tp>
      <tp t="e">
        <v>#N/A</v>
        <stp/>
        <stp>##V3_BDPV12</stp>
        <stp xml:space="preserve"> EQUITY</stp>
        <stp>BEST_PX_SALES_RATIO</stp>
        <stp>[XIDA.xlsm]DataH!R48C14</stp>
        <stp>BEST_FPERIOD_OVERRIDE</stp>
        <stp>17BC</stp>
        <stp>EQY_CONSOLIDATED</stp>
        <stp>Y</stp>
        <tr r="N48" s="16"/>
      </tp>
      <tp t="e">
        <v>#N/A</v>
        <stp/>
        <stp>##V3_BDPV12</stp>
        <stp xml:space="preserve"> EQUITY</stp>
        <stp>BEST_PX_SALES_RATIO</stp>
        <stp>[XIDA.xlsm]DataH!R38C13</stp>
        <stp>BEST_FPERIOD_OVERRIDE</stp>
        <stp>16BC</stp>
        <stp>EQY_CONSOLIDATED</stp>
        <stp>Y</stp>
        <tr r="M38" s="16"/>
      </tp>
      <tp t="e">
        <v>#N/A</v>
        <stp/>
        <stp>##V3_BDPV12</stp>
        <stp xml:space="preserve"> EQUITY</stp>
        <stp>BEST_PX_SALES_RATIO</stp>
        <stp>[XIDA.xlsm]DataH!R49C14</stp>
        <stp>BEST_FPERIOD_OVERRIDE</stp>
        <stp>17BC</stp>
        <stp>EQY_CONSOLIDATED</stp>
        <stp>Y</stp>
        <tr r="N49" s="16"/>
      </tp>
      <tp t="s">
        <v>APPLE INC</v>
        <stp/>
        <stp>##V3_BDPV12</stp>
        <stp>AAPL US EQUITY</stp>
        <stp>NAME</stp>
        <stp>[XIDA.xlsm]Overview!R7C2</stp>
        <tr r="B7" s="3"/>
      </tp>
      <tp t="s">
        <v>1-408-996-1010</v>
        <stp/>
        <stp>##V3_BDPV12</stp>
        <stp>AAPL US EQUITY</stp>
        <stp>COMPANY_TEL_NUMBER</stp>
        <stp>[XIDA.xlsm]Overview!R15C5</stp>
        <tr r="E15" s="3"/>
      </tp>
      <tp t="s">
        <v>005930 KS</v>
        <stp/>
        <stp>##V3_BDSV12</stp>
        <stp>AAPL US EQUITY</stp>
        <stp>BLOOMBERG_PEERS</stp>
        <stp>[XIDA.xlsm]ControlsH!R21C8</stp>
        <stp>StartRow=1</stp>
        <stp>EndRow=30</stp>
        <stp>cols=1;rows=7</stp>
        <tr r="H21" s="2"/>
      </tp>
      <tp>
        <v>62.904505887044678</v>
        <stp/>
        <stp>##V3_BDPV12</stp>
        <stp>AAPL US EQUITY</stp>
        <stp>EQY_INST_PCT_SH_OUT</stp>
        <stp>[XIDA.xlsm]Owners!R14C5</stp>
        <tr r="E14" s="14"/>
        <tr r="E14" s="14"/>
      </tp>
      <tp>
        <v>601</v>
        <stp/>
        <stp>##V3_BDPV12</stp>
        <stp>AAPL US EQUITY</stp>
        <stp>BS_OTHER_LT_LIABILITIES</stp>
        <stp>[XIDA.xlsm]Financials!R69C8</stp>
        <stp>EQY_FUND_RELATIVE_PERIOD</stp>
        <stp>-9FY</stp>
        <stp>EQY_FUND_CRNCY</stp>
        <stp>USD</stp>
        <stp>EQY_CONSOLIDATED</stp>
        <stp>Y</stp>
        <stp>Fill=B</stp>
        <tr r="H69" s="8"/>
      </tp>
      <tp>
        <v>750</v>
        <stp/>
        <stp>##V3_BDPV12</stp>
        <stp>AAPL US EQUITY</stp>
        <stp>BS_OTHER_LT_LIABILITIES</stp>
        <stp>[XIDA.xlsm]Financials!R69C9</stp>
        <stp>EQY_FUND_RELATIVE_PERIOD</stp>
        <stp>-8FY</stp>
        <stp>EQY_FUND_CRNCY</stp>
        <stp>USD</stp>
        <stp>EQY_CONSOLIDATED</stp>
        <stp>Y</stp>
        <stp>Fill=B</stp>
        <tr r="I69" s="8"/>
      </tp>
      <tp>
        <v>0.503</v>
        <stp/>
        <stp>##V3_BDPV12</stp>
        <stp>AAPL US EQUITY</stp>
        <stp>BEST_DPS</stp>
        <stp>[XIDA.xlsm]DataH!R4C100</stp>
        <stp>BEST_FPERIOD_OVERRIDE</stp>
        <stp>3FQ</stp>
        <stp>BEST_DATA_SOURCE_OVERRIDE</stp>
        <stp>BLI</stp>
        <stp>EQY_FUND_CRNCY</stp>
        <stp>USD</stp>
        <stp>BEST_CONSOLIDATED_OVERRIDE</stp>
        <stp>C</stp>
        <tr r="CV4" s="16"/>
      </tp>
      <tp>
        <v>0.51300000000000001</v>
        <stp/>
        <stp>##V3_BDPV12</stp>
        <stp>AAPL US EQUITY</stp>
        <stp>BEST_DPS</stp>
        <stp>[XIDA.xlsm]DataH!R3C100</stp>
        <stp>BEST_FPERIOD_OVERRIDE</stp>
        <stp>3FQ</stp>
        <stp>BEST_DATA_SOURCE_OVERRIDE</stp>
        <stp>BST</stp>
        <stp>EQY_FUND_CRNCY</stp>
        <stp>USD</stp>
        <stp>BEST_CONSOLIDATED_OVERRIDE</stp>
        <stp>C</stp>
        <tr r="CV3" s="16"/>
      </tp>
      <tp>
        <v>0.51300000000000001</v>
        <stp/>
        <stp>##V3_BDPV12</stp>
        <stp>AAPL US EQUITY</stp>
        <stp>BEST_DPS</stp>
        <stp>[XIDA.xlsm]DataH!R5C100</stp>
        <stp>BEST_FPERIOD_OVERRIDE</stp>
        <stp>3FQ</stp>
        <stp>BEST_DATA_SOURCE_OVERRIDE</stp>
        <stp>BPE</stp>
        <stp>EQY_FUND_CRNCY</stp>
        <stp>USD</stp>
        <stp>BEST_CONSOLIDATED_OVERRIDE</stp>
        <stp>C</stp>
        <tr r="CV5" s="16"/>
      </tp>
      <tp>
        <v>-3249</v>
        <stp/>
        <stp>##V3_BDPV12</stp>
        <stp>AAPL US EQUITY</stp>
        <stp>CF_CASH_FROM_INV_ACT</stp>
        <stp>[XIDA.xlsm]Financials!R96C10</stp>
        <stp>EQY_FUND_RELATIVE_PERIOD</stp>
        <stp>-7FY</stp>
        <stp>EQY_FUND_CRNCY</stp>
        <stp>USD</stp>
        <stp>EQY_CONSOLIDATED</stp>
        <stp>Y</stp>
        <stp>Fill=B</stp>
        <tr r="J96" s="8"/>
      </tp>
      <tp>
        <v>-8189</v>
        <stp/>
        <stp>##V3_BDPV12</stp>
        <stp>AAPL US EQUITY</stp>
        <stp>CF_CASH_FROM_INV_ACT</stp>
        <stp>[XIDA.xlsm]Financials!R96C11</stp>
        <stp>EQY_FUND_RELATIVE_PERIOD</stp>
        <stp>-6FY</stp>
        <stp>EQY_FUND_CRNCY</stp>
        <stp>USD</stp>
        <stp>EQY_CONSOLIDATED</stp>
        <stp>Y</stp>
        <stp>Fill=B</stp>
        <tr r="K96" s="8"/>
      </tp>
      <tp>
        <v>-17434</v>
        <stp/>
        <stp>##V3_BDPV12</stp>
        <stp>AAPL US EQUITY</stp>
        <stp>CF_CASH_FROM_INV_ACT</stp>
        <stp>[XIDA.xlsm]Financials!R96C12</stp>
        <stp>EQY_FUND_RELATIVE_PERIOD</stp>
        <stp>-5FY</stp>
        <stp>EQY_FUND_CRNCY</stp>
        <stp>USD</stp>
        <stp>EQY_CONSOLIDATED</stp>
        <stp>Y</stp>
        <stp>Fill=B</stp>
        <tr r="L96" s="8"/>
      </tp>
      <tp>
        <v>-13854</v>
        <stp/>
        <stp>##V3_BDPV12</stp>
        <stp>AAPL US EQUITY</stp>
        <stp>CF_CASH_FROM_INV_ACT</stp>
        <stp>[XIDA.xlsm]Financials!R96C13</stp>
        <stp>EQY_FUND_RELATIVE_PERIOD</stp>
        <stp>-4FY</stp>
        <stp>EQY_FUND_CRNCY</stp>
        <stp>USD</stp>
        <stp>EQY_CONSOLIDATED</stp>
        <stp>Y</stp>
        <stp>Fill=B</stp>
        <tr r="M96" s="8"/>
      </tp>
      <tp>
        <v>-40419</v>
        <stp/>
        <stp>##V3_BDPV12</stp>
        <stp>AAPL US EQUITY</stp>
        <stp>CF_CASH_FROM_INV_ACT</stp>
        <stp>[XIDA.xlsm]Financials!R96C14</stp>
        <stp>EQY_FUND_RELATIVE_PERIOD</stp>
        <stp>-3FY</stp>
        <stp>EQY_FUND_CRNCY</stp>
        <stp>USD</stp>
        <stp>EQY_CONSOLIDATED</stp>
        <stp>Y</stp>
        <stp>Fill=B</stp>
        <tr r="N96" s="8"/>
      </tp>
      <tp>
        <v>-48227</v>
        <stp/>
        <stp>##V3_BDPV12</stp>
        <stp>AAPL US EQUITY</stp>
        <stp>CF_CASH_FROM_INV_ACT</stp>
        <stp>[XIDA.xlsm]Financials!R96C15</stp>
        <stp>EQY_FUND_RELATIVE_PERIOD</stp>
        <stp>-2FY</stp>
        <stp>EQY_FUND_CRNCY</stp>
        <stp>USD</stp>
        <stp>EQY_CONSOLIDATED</stp>
        <stp>Y</stp>
        <stp>Fill=B</stp>
        <tr r="O96" s="8"/>
      </tp>
      <tp>
        <v>-33774</v>
        <stp/>
        <stp>##V3_BDPV12</stp>
        <stp>AAPL US EQUITY</stp>
        <stp>CF_CASH_FROM_INV_ACT</stp>
        <stp>[XIDA.xlsm]Financials!R96C16</stp>
        <stp>EQY_FUND_RELATIVE_PERIOD</stp>
        <stp>-1FY</stp>
        <stp>EQY_FUND_CRNCY</stp>
        <stp>USD</stp>
        <stp>EQY_CONSOLIDATED</stp>
        <stp>Y</stp>
        <stp>Fill=B</stp>
        <tr r="P96" s="8"/>
      </tp>
      <tp>
        <v>-22579</v>
        <stp/>
        <stp>##V3_BDPV12</stp>
        <stp>AAPL US EQUITY</stp>
        <stp>CF_CASH_FROM_INV_ACT</stp>
        <stp>[XIDA.xlsm]Financials!R96C17</stp>
        <stp>EQY_FUND_RELATIVE_PERIOD</stp>
        <stp>-0FY</stp>
        <stp>EQY_FUND_CRNCY</stp>
        <stp>USD</stp>
        <stp>EQY_CONSOLIDATED</stp>
        <stp>Y</stp>
        <stp>Fill=B</stp>
        <tr r="Q96" s="8"/>
      </tp>
      <tp t="e">
        <v>#N/A</v>
        <stp/>
        <stp>##V3_BDPV12</stp>
        <stp xml:space="preserve"> EQUITY</stp>
        <stp>BEST_PX_SALES_RATIO</stp>
        <stp>[XIDA.xlsm]DataH!R36C10</stp>
        <stp>BEST_FPERIOD_OVERRIDE</stp>
        <stp>13BC</stp>
        <stp>EQY_CONSOLIDATED</stp>
        <stp>Y</stp>
        <tr r="J36" s="16"/>
      </tp>
      <tp t="e">
        <v>#N/A</v>
        <stp/>
        <stp>##V3_BDPV12</stp>
        <stp xml:space="preserve"> EQUITY</stp>
        <stp>BEST_PX_SALES_RATIO</stp>
        <stp>[XIDA.xlsm]DataH!R37C10</stp>
        <stp>BEST_FPERIOD_OVERRIDE</stp>
        <stp>13BC</stp>
        <stp>EQY_CONSOLIDATED</stp>
        <stp>Y</stp>
        <tr r="J37" s="16"/>
      </tp>
      <tp t="e">
        <v>#N/A</v>
        <stp/>
        <stp>##V3_BDPV12</stp>
        <stp xml:space="preserve"> EQUITY</stp>
        <stp>BEST_PX_SALES_RATIO</stp>
        <stp>[XIDA.xlsm]DataH!R34C10</stp>
        <stp>BEST_FPERIOD_OVERRIDE</stp>
        <stp>13BC</stp>
        <stp>EQY_CONSOLIDATED</stp>
        <stp>Y</stp>
        <tr r="J34" s="16"/>
      </tp>
      <tp t="e">
        <v>#N/A</v>
        <stp/>
        <stp>##V3_BDPV12</stp>
        <stp xml:space="preserve"> EQUITY</stp>
        <stp>BEST_PX_SALES_RATIO</stp>
        <stp>[XIDA.xlsm]DataH!R35C10</stp>
        <stp>BEST_FPERIOD_OVERRIDE</stp>
        <stp>13BC</stp>
        <stp>EQY_CONSOLIDATED</stp>
        <stp>Y</stp>
        <tr r="J35" s="16"/>
      </tp>
      <tp t="e">
        <v>#N/A</v>
        <stp/>
        <stp>##V3_BDPV12</stp>
        <stp xml:space="preserve"> EQUITY</stp>
        <stp>BEST_PX_SALES_RATIO</stp>
        <stp>[XIDA.xlsm]DataH!R32C10</stp>
        <stp>BEST_FPERIOD_OVERRIDE</stp>
        <stp>13BC</stp>
        <stp>EQY_CONSOLIDATED</stp>
        <stp>Y</stp>
        <tr r="J32" s="16"/>
      </tp>
      <tp t="e">
        <v>#N/A</v>
        <stp/>
        <stp>##V3_BDPV12</stp>
        <stp xml:space="preserve"> EQUITY</stp>
        <stp>BEST_PX_SALES_RATIO</stp>
        <stp>[XIDA.xlsm]DataH!R33C10</stp>
        <stp>BEST_FPERIOD_OVERRIDE</stp>
        <stp>13BC</stp>
        <stp>EQY_CONSOLIDATED</stp>
        <stp>Y</stp>
        <tr r="J33" s="16"/>
      </tp>
      <tp t="e">
        <v>#N/A</v>
        <stp/>
        <stp>##V3_BDPV12</stp>
        <stp xml:space="preserve"> EQUITY</stp>
        <stp>BEST_PX_SALES_RATIO</stp>
        <stp>[XIDA.xlsm]DataH!R31C10</stp>
        <stp>BEST_FPERIOD_OVERRIDE</stp>
        <stp>13BC</stp>
        <stp>EQY_CONSOLIDATED</stp>
        <stp>Y</stp>
        <tr r="J31" s="16"/>
      </tp>
      <tp>
        <v>0.90854172018050083</v>
        <stp/>
        <stp>##V3_BDPV12</stp>
        <stp>AAPL US EQUITY</stp>
        <stp>TANG_BOOK_VAL_PER_SH</stp>
        <stp>[XIDA.xlsm]Financials!R82C7</stp>
        <stp>EQY_FUND_RELATIVE_PERIOD</stp>
        <stp>-10FY</stp>
        <stp>EQY_FUND_CRNCY</stp>
        <stp>USD</stp>
        <stp>EQY_CONSOLIDATED</stp>
        <stp>Y</stp>
        <stp>Fill=B</stp>
        <tr r="G82" s="8"/>
      </tp>
      <tp t="e">
        <v>#N/A</v>
        <stp/>
        <stp>##V3_BDPV12</stp>
        <stp xml:space="preserve"> EQUITY</stp>
        <stp>BEST_PX_SALES_RATIO</stp>
        <stp>[XIDA.xlsm]DataH!R38C10</stp>
        <stp>BEST_FPERIOD_OVERRIDE</stp>
        <stp>13BC</stp>
        <stp>EQY_CONSOLIDATED</stp>
        <stp>Y</stp>
        <tr r="J38" s="16"/>
      </tp>
      <tp t="e">
        <v>#N/A</v>
        <stp/>
        <stp>##V3_BDPV12</stp>
        <stp xml:space="preserve"> EQUITY</stp>
        <stp>BEST_PX_SALES_RATIO</stp>
        <stp>[XIDA.xlsm]DataH!R39C10</stp>
        <stp>BEST_FPERIOD_OVERRIDE</stp>
        <stp>13BC</stp>
        <stp>EQY_CONSOLIDATED</stp>
        <stp>Y</stp>
        <tr r="J39" s="16"/>
      </tp>
      <tp>
        <v>2.6324626865671643</v>
        <stp/>
        <stp>##V3_BDPV12</stp>
        <stp>AAPL US EQUITY</stp>
        <stp>CUR_RATIO</stp>
        <stp>[XIDA.xlsm]Financials!R134C7</stp>
        <stp>EQY_FUND_RELATIVE_PERIOD</stp>
        <stp>-10FY</stp>
        <stp>EQY_FUND_CRNCY</stp>
        <stp>USD</stp>
        <stp>EQY_CONSOLIDATED</stp>
        <stp>Y</stp>
        <stp>Fill=B</stp>
        <tr r="G134" s="8"/>
      </tp>
      <tp>
        <v>-4.3311339999999996</v>
        <stp/>
        <stp>##V3_BDPV12</stp>
        <stp>BB CN EQUITY</stp>
        <stp>CUST_TRR_RETURN_HOLDING_PER</stp>
        <stp>[XIDA.xlsm]DataH!R24C6</stp>
        <stp>CUST_TRR_START_DT</stp>
        <stp>20150724</stp>
        <stp>CUST_TRR_END_DT</stp>
        <stp>20150824</stp>
        <stp>CUST_TRR_CRNCY</stp>
        <stp>USD</stp>
        <tr r="F24" s="16"/>
      </tp>
      <tp>
        <v>2.6280137772675087</v>
        <stp/>
        <stp>##V3_BDPV12</stp>
        <stp>AAPL US EQUITY</stp>
        <stp>QUICK_RATIO</stp>
        <stp>[XIDA.xlsm]Financials!R135C8</stp>
        <stp>EQY_FUND_RELATIVE_PERIOD</stp>
        <stp>-9FY</stp>
        <stp>EQY_FUND_CRNCY</stp>
        <stp>USD</stp>
        <stp>EQY_CONSOLIDATED</stp>
        <stp>Y</stp>
        <stp>Fill=B</stp>
        <tr r="H135" s="8"/>
      </tp>
      <tp>
        <v>1.7558337196723846</v>
        <stp/>
        <stp>##V3_BDPV12</stp>
        <stp>AAPL US EQUITY</stp>
        <stp>QUICK_RATIO</stp>
        <stp>[XIDA.xlsm]Financials!R135C9</stp>
        <stp>EQY_FUND_RELATIVE_PERIOD</stp>
        <stp>-8FY</stp>
        <stp>EQY_FUND_CRNCY</stp>
        <stp>USD</stp>
        <stp>EQY_CONSOLIDATED</stp>
        <stp>Y</stp>
        <stp>Fill=B</stp>
        <tr r="I135" s="8"/>
      </tp>
      <tp t="e">
        <v>#N/A</v>
        <stp/>
        <stp>##V3_BDPV12</stp>
        <stp xml:space="preserve"> EQUITY</stp>
        <stp>BEST_PX_SALES_RATIO</stp>
        <stp>[XIDA.xlsm]DataH!R31C11</stp>
        <stp>BEST_FPERIOD_OVERRIDE</stp>
        <stp>14BC</stp>
        <stp>EQY_CONSOLIDATED</stp>
        <stp>Y</stp>
        <tr r="K31" s="16"/>
      </tp>
      <tp t="e">
        <v>#N/A</v>
        <stp/>
        <stp>##V3_BDPV12</stp>
        <stp xml:space="preserve"> EQUITY</stp>
        <stp>BEST_PX_SALES_RATIO</stp>
        <stp>[XIDA.xlsm]DataH!R33C11</stp>
        <stp>BEST_FPERIOD_OVERRIDE</stp>
        <stp>14BC</stp>
        <stp>EQY_CONSOLIDATED</stp>
        <stp>Y</stp>
        <tr r="K33" s="16"/>
      </tp>
      <tp t="e">
        <v>#N/A</v>
        <stp/>
        <stp>##V3_BDPV12</stp>
        <stp xml:space="preserve"> EQUITY</stp>
        <stp>BEST_PX_SALES_RATIO</stp>
        <stp>[XIDA.xlsm]DataH!R32C11</stp>
        <stp>BEST_FPERIOD_OVERRIDE</stp>
        <stp>14BC</stp>
        <stp>EQY_CONSOLIDATED</stp>
        <stp>Y</stp>
        <tr r="K32" s="16"/>
      </tp>
      <tp t="e">
        <v>#N/A</v>
        <stp/>
        <stp>##V3_BDPV12</stp>
        <stp xml:space="preserve"> EQUITY</stp>
        <stp>BEST_PX_SALES_RATIO</stp>
        <stp>[XIDA.xlsm]DataH!R35C11</stp>
        <stp>BEST_FPERIOD_OVERRIDE</stp>
        <stp>14BC</stp>
        <stp>EQY_CONSOLIDATED</stp>
        <stp>Y</stp>
        <tr r="K35" s="16"/>
      </tp>
      <tp t="e">
        <v>#N/A</v>
        <stp/>
        <stp>##V3_BDPV12</stp>
        <stp xml:space="preserve"> EQUITY</stp>
        <stp>BEST_PX_SALES_RATIO</stp>
        <stp>[XIDA.xlsm]DataH!R34C11</stp>
        <stp>BEST_FPERIOD_OVERRIDE</stp>
        <stp>14BC</stp>
        <stp>EQY_CONSOLIDATED</stp>
        <stp>Y</stp>
        <tr r="K34" s="16"/>
      </tp>
      <tp t="e">
        <v>#N/A</v>
        <stp/>
        <stp>##V3_BDPV12</stp>
        <stp xml:space="preserve"> EQUITY</stp>
        <stp>BEST_PX_SALES_RATIO</stp>
        <stp>[XIDA.xlsm]DataH!R37C11</stp>
        <stp>BEST_FPERIOD_OVERRIDE</stp>
        <stp>14BC</stp>
        <stp>EQY_CONSOLIDATED</stp>
        <stp>Y</stp>
        <tr r="K37" s="16"/>
      </tp>
      <tp t="e">
        <v>#N/A</v>
        <stp/>
        <stp>##V3_BDPV12</stp>
        <stp xml:space="preserve"> EQUITY</stp>
        <stp>BEST_PX_SALES_RATIO</stp>
        <stp>[XIDA.xlsm]DataH!R36C11</stp>
        <stp>BEST_FPERIOD_OVERRIDE</stp>
        <stp>14BC</stp>
        <stp>EQY_CONSOLIDATED</stp>
        <stp>Y</stp>
        <tr r="K36" s="16"/>
      </tp>
      <tp t="e">
        <v>#N/A</v>
        <stp/>
        <stp>##V3_BDPV12</stp>
        <stp xml:space="preserve"> EQUITY</stp>
        <stp>BEST_PX_SALES_RATIO</stp>
        <stp>[XIDA.xlsm]DataH!R39C11</stp>
        <stp>BEST_FPERIOD_OVERRIDE</stp>
        <stp>14BC</stp>
        <stp>EQY_CONSOLIDATED</stp>
        <stp>Y</stp>
        <tr r="K39" s="16"/>
      </tp>
      <tp t="e">
        <v>#N/A</v>
        <stp/>
        <stp>##V3_BDPV12</stp>
        <stp xml:space="preserve"> EQUITY</stp>
        <stp>BEST_PX_SALES_RATIO</stp>
        <stp>[XIDA.xlsm]DataH!R38C11</stp>
        <stp>BEST_FPERIOD_OVERRIDE</stp>
        <stp>14BC</stp>
        <stp>EQY_CONSOLIDATED</stp>
        <stp>Y</stp>
        <tr r="K38" s="16"/>
      </tp>
      <tp>
        <v>136590.45360425272</v>
        <stp/>
        <stp>##V3_BDPV12</stp>
        <stp>005930 KS EQUITY</stp>
        <stp>CRNCY_ADJ_MKT_CAP</stp>
        <stp>[XIDA.xlsm]Peers!R18C14</stp>
        <stp>EQY_FUND_CRNCY</stp>
        <stp>USD</stp>
        <tr r="N18" s="4"/>
        <tr r="N18" s="4"/>
      </tp>
      <tp>
        <v>-13.67845</v>
        <stp/>
        <stp>##V3_BDPV12</stp>
        <stp>CSCO US EQUITY</stp>
        <stp>CUST_TRR_RETURN_HOLDING_PER</stp>
        <stp>[XIDA.xlsm]DataH!R28C7</stp>
        <stp>CUST_TRR_START_DT</stp>
        <stp>20150224</stp>
        <stp>CUST_TRR_END_DT</stp>
        <stp>20150824</stp>
        <stp>CUST_TRR_CRNCY</stp>
        <stp>USD</stp>
        <tr r="G28" s="16"/>
      </tp>
      <tp>
        <v>29.021606489124974</v>
        <stp/>
        <stp>##V3_BDPV12</stp>
        <stp>AAPL US EQUITY</stp>
        <stp>GROSS_MARGIN</stp>
        <stp>[XIDA.xlsm]Financials!R126C8</stp>
        <stp>EQY_FUND_RELATIVE_PERIOD</stp>
        <stp>-9FY</stp>
        <stp>EQY_FUND_CRNCY</stp>
        <stp>USD</stp>
        <stp>EQY_CONSOLIDATED</stp>
        <stp>Y</stp>
        <stp>Fill=0</stp>
        <tr r="H126" s="8"/>
      </tp>
      <tp>
        <v>28.982655966865135</v>
        <stp/>
        <stp>##V3_BDPV12</stp>
        <stp>AAPL US EQUITY</stp>
        <stp>GROSS_MARGIN</stp>
        <stp>[XIDA.xlsm]Financials!R126C9</stp>
        <stp>EQY_FUND_RELATIVE_PERIOD</stp>
        <stp>-8FY</stp>
        <stp>EQY_FUND_CRNCY</stp>
        <stp>USD</stp>
        <stp>EQY_CONSOLIDATED</stp>
        <stp>Y</stp>
        <stp>Fill=0</stp>
        <tr r="I126" s="8"/>
      </tp>
      <tp>
        <v>3.947846889952153</v>
        <stp/>
        <stp>##V3_BDPV12</stp>
        <stp>AAPL US EQUITY</stp>
        <stp>ACCOUNTS_PAYABLE_TURNOVER</stp>
        <stp>[XIDA.xlsm]Financials!R143C10</stp>
        <stp>EQY_FUND_RELATIVE_PERIOD</stp>
        <stp>-7FY</stp>
        <stp>EQY_FUND_CRNCY</stp>
        <stp>USD</stp>
        <stp>EQY_CONSOLIDATED</stp>
        <stp>Y</stp>
        <stp>Fill=B</stp>
        <tr r="J143" s="8"/>
      </tp>
      <tp>
        <v>4.6629170638703528</v>
        <stp/>
        <stp>##V3_BDPV12</stp>
        <stp>AAPL US EQUITY</stp>
        <stp>ACCOUNTS_PAYABLE_TURNOVER</stp>
        <stp>[XIDA.xlsm]Financials!R143C11</stp>
        <stp>EQY_FUND_RELATIVE_PERIOD</stp>
        <stp>-6FY</stp>
        <stp>EQY_FUND_CRNCY</stp>
        <stp>USD</stp>
        <stp>EQY_CONSOLIDATED</stp>
        <stp>Y</stp>
        <stp>Fill=B</stp>
        <tr r="K143" s="8"/>
      </tp>
      <tp>
        <v>4.6091178850822772</v>
        <stp/>
        <stp>##V3_BDPV12</stp>
        <stp>AAPL US EQUITY</stp>
        <stp>ACCOUNTS_PAYABLE_TURNOVER</stp>
        <stp>[XIDA.xlsm]Financials!R143C12</stp>
        <stp>EQY_FUND_RELATIVE_PERIOD</stp>
        <stp>-5FY</stp>
        <stp>EQY_FUND_CRNCY</stp>
        <stp>USD</stp>
        <stp>EQY_CONSOLIDATED</stp>
        <stp>Y</stp>
        <stp>Fill=B</stp>
        <tr r="L143" s="8"/>
      </tp>
      <tp>
        <v>4.5568801089918258</v>
        <stp/>
        <stp>##V3_BDPV12</stp>
        <stp>AAPL US EQUITY</stp>
        <stp>ACCOUNTS_PAYABLE_TURNOVER</stp>
        <stp>[XIDA.xlsm]Financials!R143C13</stp>
        <stp>EQY_FUND_RELATIVE_PERIOD</stp>
        <stp>-4FY</stp>
        <stp>EQY_FUND_CRNCY</stp>
        <stp>USD</stp>
        <stp>EQY_CONSOLIDATED</stp>
        <stp>Y</stp>
        <stp>Fill=B</stp>
        <tr r="M143" s="8"/>
      </tp>
      <tp>
        <v>4.8152512477952492</v>
        <stp/>
        <stp>##V3_BDPV12</stp>
        <stp>AAPL US EQUITY</stp>
        <stp>ACCOUNTS_PAYABLE_TURNOVER</stp>
        <stp>[XIDA.xlsm]Financials!R143C14</stp>
        <stp>EQY_FUND_RELATIVE_PERIOD</stp>
        <stp>-3FY</stp>
        <stp>EQY_FUND_CRNCY</stp>
        <stp>USD</stp>
        <stp>EQY_CONSOLIDATED</stp>
        <stp>Y</stp>
        <stp>Fill=B</stp>
        <tr r="N143" s="8"/>
      </tp>
      <tp>
        <v>4.9074761918060714</v>
        <stp/>
        <stp>##V3_BDPV12</stp>
        <stp>AAPL US EQUITY</stp>
        <stp>ACCOUNTS_PAYABLE_TURNOVER</stp>
        <stp>[XIDA.xlsm]Financials!R143C15</stp>
        <stp>EQY_FUND_RELATIVE_PERIOD</stp>
        <stp>-2FY</stp>
        <stp>EQY_FUND_CRNCY</stp>
        <stp>USD</stp>
        <stp>EQY_CONSOLIDATED</stp>
        <stp>Y</stp>
        <stp>Fill=B</stp>
        <tr r="O143" s="8"/>
      </tp>
      <tp>
        <v>4.9413899223737996</v>
        <stp/>
        <stp>##V3_BDPV12</stp>
        <stp>AAPL US EQUITY</stp>
        <stp>ACCOUNTS_PAYABLE_TURNOVER</stp>
        <stp>[XIDA.xlsm]Financials!R143C16</stp>
        <stp>EQY_FUND_RELATIVE_PERIOD</stp>
        <stp>-1FY</stp>
        <stp>EQY_FUND_CRNCY</stp>
        <stp>USD</stp>
        <stp>EQY_CONSOLIDATED</stp>
        <stp>Y</stp>
        <stp>Fill=B</stp>
        <tr r="P143" s="8"/>
      </tp>
      <tp>
        <v>4.2845727983562583</v>
        <stp/>
        <stp>##V3_BDPV12</stp>
        <stp>AAPL US EQUITY</stp>
        <stp>ACCOUNTS_PAYABLE_TURNOVER</stp>
        <stp>[XIDA.xlsm]Financials!R143C17</stp>
        <stp>EQY_FUND_RELATIVE_PERIOD</stp>
        <stp>-0FY</stp>
        <stp>EQY_FUND_CRNCY</stp>
        <stp>USD</stp>
        <stp>EQY_CONSOLIDATED</stp>
        <stp>Y</stp>
        <stp>Fill=B</stp>
        <tr r="Q143" s="8"/>
      </tp>
      <tp>
        <v>26.765000000000001</v>
        <stp/>
        <stp>##V3_BDPV12</stp>
        <stp>AAPL US EQUITY</stp>
        <stp>BEST_BPS</stp>
        <stp>[XIDA.xlsm]DataH!R4C105</stp>
        <stp>BEST_FPERIOD_OVERRIDE</stp>
        <stp>3FQ</stp>
        <stp>BEST_DATA_SOURCE_OVERRIDE</stp>
        <stp>BLI</stp>
        <stp>EQY_FUND_CRNCY</stp>
        <stp>USD</stp>
        <stp>BEST_CONSOLIDATED_OVERRIDE</stp>
        <stp>C</stp>
        <tr r="DA4" s="16"/>
      </tp>
      <tp>
        <v>25.234999999999999</v>
        <stp/>
        <stp>##V3_BDPV12</stp>
        <stp>AAPL US EQUITY</stp>
        <stp>BEST_BPS</stp>
        <stp>[XIDA.xlsm]DataH!R4C103</stp>
        <stp>BEST_FPERIOD_OVERRIDE</stp>
        <stp>2FQ</stp>
        <stp>BEST_DATA_SOURCE_OVERRIDE</stp>
        <stp>BLI</stp>
        <stp>EQY_FUND_CRNCY</stp>
        <stp>USD</stp>
        <stp>BEST_CONSOLIDATED_OVERRIDE</stp>
        <stp>C</stp>
        <tr r="CY4" s="16"/>
      </tp>
      <tp>
        <v>22.7</v>
        <stp/>
        <stp>##V3_BDPV12</stp>
        <stp>AAPL US EQUITY</stp>
        <stp>BEST_BPS</stp>
        <stp>[XIDA.xlsm]DataH!R4C102</stp>
        <stp>BEST_FPERIOD_OVERRIDE</stp>
        <stp>1FQ</stp>
        <stp>BEST_DATA_SOURCE_OVERRIDE</stp>
        <stp>BLI</stp>
        <stp>EQY_FUND_CRNCY</stp>
        <stp>USD</stp>
        <stp>BEST_CONSOLIDATED_OVERRIDE</stp>
        <stp>C</stp>
        <tr r="CX4" s="16"/>
      </tp>
      <tp>
        <v>0</v>
        <stp/>
        <stp>##V3_BDPV12</stp>
        <stp>AAPL US EQUITY</stp>
        <stp>BS_LT_INVEST</stp>
        <stp>[XIDA.xlsm]Financials!R56C10</stp>
        <stp>EQY_FUND_RELATIVE_PERIOD</stp>
        <stp>-7FY</stp>
        <stp>EQY_FUND_CRNCY</stp>
        <stp>USD</stp>
        <stp>EQY_CONSOLIDATED</stp>
        <stp>Y</stp>
        <stp>Fill=B</stp>
        <tr r="J56" s="8"/>
      </tp>
      <tp>
        <v>2379</v>
        <stp/>
        <stp>##V3_BDPV12</stp>
        <stp>AAPL US EQUITY</stp>
        <stp>BS_LT_INVEST</stp>
        <stp>[XIDA.xlsm]Financials!R56C11</stp>
        <stp>EQY_FUND_RELATIVE_PERIOD</stp>
        <stp>-6FY</stp>
        <stp>EQY_FUND_CRNCY</stp>
        <stp>USD</stp>
        <stp>EQY_CONSOLIDATED</stp>
        <stp>Y</stp>
        <stp>Fill=B</stp>
        <tr r="K56" s="8"/>
      </tp>
      <tp>
        <v>10528</v>
        <stp/>
        <stp>##V3_BDPV12</stp>
        <stp>AAPL US EQUITY</stp>
        <stp>BS_LT_INVEST</stp>
        <stp>[XIDA.xlsm]Financials!R56C12</stp>
        <stp>EQY_FUND_RELATIVE_PERIOD</stp>
        <stp>-5FY</stp>
        <stp>EQY_FUND_CRNCY</stp>
        <stp>USD</stp>
        <stp>EQY_CONSOLIDATED</stp>
        <stp>Y</stp>
        <stp>Fill=B</stp>
        <tr r="L56" s="8"/>
      </tp>
      <tp>
        <v>25391</v>
        <stp/>
        <stp>##V3_BDPV12</stp>
        <stp>AAPL US EQUITY</stp>
        <stp>BS_LT_INVEST</stp>
        <stp>[XIDA.xlsm]Financials!R56C13</stp>
        <stp>EQY_FUND_RELATIVE_PERIOD</stp>
        <stp>-4FY</stp>
        <stp>EQY_FUND_CRNCY</stp>
        <stp>USD</stp>
        <stp>EQY_CONSOLIDATED</stp>
        <stp>Y</stp>
        <stp>Fill=B</stp>
        <tr r="M56" s="8"/>
      </tp>
      <tp>
        <v>55618</v>
        <stp/>
        <stp>##V3_BDPV12</stp>
        <stp>AAPL US EQUITY</stp>
        <stp>BS_LT_INVEST</stp>
        <stp>[XIDA.xlsm]Financials!R56C14</stp>
        <stp>EQY_FUND_RELATIVE_PERIOD</stp>
        <stp>-3FY</stp>
        <stp>EQY_FUND_CRNCY</stp>
        <stp>USD</stp>
        <stp>EQY_CONSOLIDATED</stp>
        <stp>Y</stp>
        <stp>Fill=B</stp>
        <tr r="N56" s="8"/>
      </tp>
      <tp>
        <v>92122</v>
        <stp/>
        <stp>##V3_BDPV12</stp>
        <stp>AAPL US EQUITY</stp>
        <stp>BS_LT_INVEST</stp>
        <stp>[XIDA.xlsm]Financials!R56C15</stp>
        <stp>EQY_FUND_RELATIVE_PERIOD</stp>
        <stp>-2FY</stp>
        <stp>EQY_FUND_CRNCY</stp>
        <stp>USD</stp>
        <stp>EQY_CONSOLIDATED</stp>
        <stp>Y</stp>
        <stp>Fill=B</stp>
        <tr r="O56" s="8"/>
      </tp>
      <tp>
        <v>106215</v>
        <stp/>
        <stp>##V3_BDPV12</stp>
        <stp>AAPL US EQUITY</stp>
        <stp>BS_LT_INVEST</stp>
        <stp>[XIDA.xlsm]Financials!R56C16</stp>
        <stp>EQY_FUND_RELATIVE_PERIOD</stp>
        <stp>-1FY</stp>
        <stp>EQY_FUND_CRNCY</stp>
        <stp>USD</stp>
        <stp>EQY_CONSOLIDATED</stp>
        <stp>Y</stp>
        <stp>Fill=B</stp>
        <tr r="P56" s="8"/>
      </tp>
      <tp>
        <v>130162</v>
        <stp/>
        <stp>##V3_BDPV12</stp>
        <stp>AAPL US EQUITY</stp>
        <stp>BS_LT_INVEST</stp>
        <stp>[XIDA.xlsm]Financials!R56C17</stp>
        <stp>EQY_FUND_RELATIVE_PERIOD</stp>
        <stp>-0FY</stp>
        <stp>EQY_FUND_CRNCY</stp>
        <stp>USD</stp>
        <stp>EQY_CONSOLIDATED</stp>
        <stp>Y</stp>
        <stp>Fill=B</stp>
        <tr r="Q56" s="8"/>
      </tp>
      <tp>
        <v>25.756</v>
        <stp/>
        <stp>##V3_BDPV12</stp>
        <stp>AAPL US EQUITY</stp>
        <stp>BEST_BPS</stp>
        <stp>[XIDA.xlsm]DataH!R3C105</stp>
        <stp>BEST_FPERIOD_OVERRIDE</stp>
        <stp>3FQ</stp>
        <stp>BEST_DATA_SOURCE_OVERRIDE</stp>
        <stp>BST</stp>
        <stp>EQY_FUND_CRNCY</stp>
        <stp>USD</stp>
        <stp>BEST_CONSOLIDATED_OVERRIDE</stp>
        <stp>C</stp>
        <tr r="DA3" s="16"/>
      </tp>
      <tp>
        <v>22.634</v>
        <stp/>
        <stp>##V3_BDPV12</stp>
        <stp>AAPL US EQUITY</stp>
        <stp>BEST_BPS</stp>
        <stp>[XIDA.xlsm]DataH!R3C102</stp>
        <stp>BEST_FPERIOD_OVERRIDE</stp>
        <stp>1FQ</stp>
        <stp>BEST_DATA_SOURCE_OVERRIDE</stp>
        <stp>BST</stp>
        <stp>EQY_FUND_CRNCY</stp>
        <stp>USD</stp>
        <stp>BEST_CONSOLIDATED_OVERRIDE</stp>
        <stp>C</stp>
        <tr r="CX3" s="16"/>
      </tp>
      <tp>
        <v>24.66</v>
        <stp/>
        <stp>##V3_BDPV12</stp>
        <stp>AAPL US EQUITY</stp>
        <stp>BEST_BPS</stp>
        <stp>[XIDA.xlsm]DataH!R3C103</stp>
        <stp>BEST_FPERIOD_OVERRIDE</stp>
        <stp>2FQ</stp>
        <stp>BEST_DATA_SOURCE_OVERRIDE</stp>
        <stp>BST</stp>
        <stp>EQY_FUND_CRNCY</stp>
        <stp>USD</stp>
        <stp>BEST_CONSOLIDATED_OVERRIDE</stp>
        <stp>C</stp>
        <tr r="CY3" s="16"/>
      </tp>
      <tp>
        <v>9.5829445122388925</v>
        <stp/>
        <stp>##V3_BDPV12</stp>
        <stp>AAPL US EQUITY</stp>
        <stp>PROF_MARGIN</stp>
        <stp>[XIDA.xlsm]Financials!R129C8</stp>
        <stp>EQY_FUND_RELATIVE_PERIOD</stp>
        <stp>-9FY</stp>
        <stp>EQY_FUND_CRNCY</stp>
        <stp>USD</stp>
        <stp>EQY_CONSOLIDATED</stp>
        <stp>Y</stp>
        <stp>Fill=0</stp>
        <tr r="H129" s="8"/>
      </tp>
      <tp>
        <v>10.297696091120891</v>
        <stp/>
        <stp>##V3_BDPV12</stp>
        <stp>AAPL US EQUITY</stp>
        <stp>PROF_MARGIN</stp>
        <stp>[XIDA.xlsm]Financials!R129C9</stp>
        <stp>EQY_FUND_RELATIVE_PERIOD</stp>
        <stp>-8FY</stp>
        <stp>EQY_FUND_CRNCY</stp>
        <stp>USD</stp>
        <stp>EQY_CONSOLIDATED</stp>
        <stp>Y</stp>
        <stp>Fill=0</stp>
        <tr r="I129" s="8"/>
      </tp>
      <tp>
        <v>24.66</v>
        <stp/>
        <stp>##V3_BDPV12</stp>
        <stp>AAPL US EQUITY</stp>
        <stp>BEST_BPS</stp>
        <stp>[XIDA.xlsm]DataH!R5C103</stp>
        <stp>BEST_FPERIOD_OVERRIDE</stp>
        <stp>2FQ</stp>
        <stp>BEST_DATA_SOURCE_OVERRIDE</stp>
        <stp>BPE</stp>
        <stp>EQY_FUND_CRNCY</stp>
        <stp>USD</stp>
        <stp>BEST_CONSOLIDATED_OVERRIDE</stp>
        <stp>C</stp>
        <tr r="CY5" s="16"/>
      </tp>
      <tp>
        <v>22.634</v>
        <stp/>
        <stp>##V3_BDPV12</stp>
        <stp>AAPL US EQUITY</stp>
        <stp>BEST_BPS</stp>
        <stp>[XIDA.xlsm]DataH!R5C102</stp>
        <stp>BEST_FPERIOD_OVERRIDE</stp>
        <stp>1FQ</stp>
        <stp>BEST_DATA_SOURCE_OVERRIDE</stp>
        <stp>BPE</stp>
        <stp>EQY_FUND_CRNCY</stp>
        <stp>USD</stp>
        <stp>BEST_CONSOLIDATED_OVERRIDE</stp>
        <stp>C</stp>
        <tr r="CX5" s="16"/>
      </tp>
      <tp>
        <v>25.756</v>
        <stp/>
        <stp>##V3_BDPV12</stp>
        <stp>AAPL US EQUITY</stp>
        <stp>BEST_BPS</stp>
        <stp>[XIDA.xlsm]DataH!R5C105</stp>
        <stp>BEST_FPERIOD_OVERRIDE</stp>
        <stp>3FQ</stp>
        <stp>BEST_DATA_SOURCE_OVERRIDE</stp>
        <stp>BPE</stp>
        <stp>EQY_FUND_CRNCY</stp>
        <stp>USD</stp>
        <stp>BEST_CONSOLIDATED_OVERRIDE</stp>
        <stp>C</stp>
        <tr r="DA5" s="16"/>
      </tp>
      <tp t="e">
        <v>#N/A</v>
        <stp/>
        <stp>##V3_BDPV12</stp>
        <stp xml:space="preserve"> EQUITY</stp>
        <stp>BEST_PX_SALES_RATIO</stp>
        <stp>[XIDA.xlsm]DataH!R41C11</stp>
        <stp>BEST_FPERIOD_OVERRIDE</stp>
        <stp>14BC</stp>
        <stp>EQY_CONSOLIDATED</stp>
        <stp>Y</stp>
        <tr r="K41" s="16"/>
      </tp>
      <tp t="e">
        <v>#N/A</v>
        <stp/>
        <stp>##V3_BDPV12</stp>
        <stp xml:space="preserve"> EQUITY</stp>
        <stp>BEST_PX_SALES_RATIO</stp>
        <stp>[XIDA.xlsm]DataH!R40C11</stp>
        <stp>BEST_FPERIOD_OVERRIDE</stp>
        <stp>14BC</stp>
        <stp>EQY_CONSOLIDATED</stp>
        <stp>Y</stp>
        <tr r="K40" s="16"/>
      </tp>
      <tp t="e">
        <v>#N/A</v>
        <stp/>
        <stp>##V3_BDPV12</stp>
        <stp xml:space="preserve"> EQUITY</stp>
        <stp>BEST_PX_SALES_RATIO</stp>
        <stp>[XIDA.xlsm]DataH!R43C11</stp>
        <stp>BEST_FPERIOD_OVERRIDE</stp>
        <stp>14BC</stp>
        <stp>EQY_CONSOLIDATED</stp>
        <stp>Y</stp>
        <tr r="K43" s="16"/>
      </tp>
      <tp t="e">
        <v>#N/A</v>
        <stp/>
        <stp>##V3_BDPV12</stp>
        <stp xml:space="preserve"> EQUITY</stp>
        <stp>BEST_PX_SALES_RATIO</stp>
        <stp>[XIDA.xlsm]DataH!R42C11</stp>
        <stp>BEST_FPERIOD_OVERRIDE</stp>
        <stp>14BC</stp>
        <stp>EQY_CONSOLIDATED</stp>
        <stp>Y</stp>
        <tr r="K42" s="16"/>
      </tp>
      <tp t="e">
        <v>#N/A</v>
        <stp/>
        <stp>##V3_BDPV12</stp>
        <stp xml:space="preserve"> EQUITY</stp>
        <stp>BEST_PX_SALES_RATIO</stp>
        <stp>[XIDA.xlsm]DataH!R45C11</stp>
        <stp>BEST_FPERIOD_OVERRIDE</stp>
        <stp>14BC</stp>
        <stp>EQY_CONSOLIDATED</stp>
        <stp>Y</stp>
        <tr r="K45" s="16"/>
      </tp>
      <tp t="e">
        <v>#N/A</v>
        <stp/>
        <stp>##V3_BDPV12</stp>
        <stp xml:space="preserve"> EQUITY</stp>
        <stp>BEST_PX_SALES_RATIO</stp>
        <stp>[XIDA.xlsm]DataH!R52C10</stp>
        <stp>BEST_FPERIOD_OVERRIDE</stp>
        <stp>13BC</stp>
        <stp>EQY_CONSOLIDATED</stp>
        <stp>Y</stp>
        <tr r="J52" s="16"/>
      </tp>
      <tp t="e">
        <v>#N/A</v>
        <stp/>
        <stp>##V3_BDPV12</stp>
        <stp xml:space="preserve"> EQUITY</stp>
        <stp>BEST_PX_SALES_RATIO</stp>
        <stp>[XIDA.xlsm]DataH!R44C11</stp>
        <stp>BEST_FPERIOD_OVERRIDE</stp>
        <stp>14BC</stp>
        <stp>EQY_CONSOLIDATED</stp>
        <stp>Y</stp>
        <tr r="K44" s="16"/>
      </tp>
      <tp t="e">
        <v>#N/A</v>
        <stp/>
        <stp>##V3_BDPV12</stp>
        <stp xml:space="preserve"> EQUITY</stp>
        <stp>BEST_PX_SALES_RATIO</stp>
        <stp>[XIDA.xlsm]DataH!R47C11</stp>
        <stp>BEST_FPERIOD_OVERRIDE</stp>
        <stp>14BC</stp>
        <stp>EQY_CONSOLIDATED</stp>
        <stp>Y</stp>
        <tr r="K47" s="16"/>
      </tp>
      <tp t="e">
        <v>#N/A</v>
        <stp/>
        <stp>##V3_BDPV12</stp>
        <stp xml:space="preserve"> EQUITY</stp>
        <stp>BEST_PX_SALES_RATIO</stp>
        <stp>[XIDA.xlsm]DataH!R50C10</stp>
        <stp>BEST_FPERIOD_OVERRIDE</stp>
        <stp>13BC</stp>
        <stp>EQY_CONSOLIDATED</stp>
        <stp>Y</stp>
        <tr r="J50" s="16"/>
      </tp>
      <tp t="e">
        <v>#N/A</v>
        <stp/>
        <stp>##V3_BDPV12</stp>
        <stp xml:space="preserve"> EQUITY</stp>
        <stp>BEST_PX_SALES_RATIO</stp>
        <stp>[XIDA.xlsm]DataH!R46C11</stp>
        <stp>BEST_FPERIOD_OVERRIDE</stp>
        <stp>14BC</stp>
        <stp>EQY_CONSOLIDATED</stp>
        <stp>Y</stp>
        <tr r="K46" s="16"/>
      </tp>
      <tp t="e">
        <v>#N/A</v>
        <stp/>
        <stp>##V3_BDPV12</stp>
        <stp xml:space="preserve"> EQUITY</stp>
        <stp>BEST_PX_SALES_RATIO</stp>
        <stp>[XIDA.xlsm]DataH!R51C10</stp>
        <stp>BEST_FPERIOD_OVERRIDE</stp>
        <stp>13BC</stp>
        <stp>EQY_CONSOLIDATED</stp>
        <stp>Y</stp>
        <tr r="J51" s="16"/>
      </tp>
      <tp t="e">
        <v>#N/A</v>
        <stp/>
        <stp>##V3_BDPV12</stp>
        <stp xml:space="preserve"> EQUITY</stp>
        <stp>BEST_PX_SALES_RATIO</stp>
        <stp>[XIDA.xlsm]DataH!R49C11</stp>
        <stp>BEST_FPERIOD_OVERRIDE</stp>
        <stp>14BC</stp>
        <stp>EQY_CONSOLIDATED</stp>
        <stp>Y</stp>
        <tr r="K49" s="16"/>
      </tp>
      <tp t="e">
        <v>#N/A</v>
        <stp/>
        <stp>##V3_BDPV12</stp>
        <stp xml:space="preserve"> EQUITY</stp>
        <stp>BEST_PX_SALES_RATIO</stp>
        <stp>[XIDA.xlsm]DataH!R48C11</stp>
        <stp>BEST_FPERIOD_OVERRIDE</stp>
        <stp>14BC</stp>
        <stp>EQY_CONSOLIDATED</stp>
        <stp>Y</stp>
        <tr r="K48" s="16"/>
      </tp>
      <tp>
        <v>5.3571428571428568E-2</v>
        <stp/>
        <stp>##V3_BDPV12</stp>
        <stp>AAPL US EQUITY</stp>
        <stp>IS_COMP_EPS_ADJUSTED</stp>
        <stp>[XIDA.xlsm]Financials!R36C7</stp>
        <stp>EQY_FUND_RELATIVE_PERIOD</stp>
        <stp>-10FY</stp>
        <stp>EQY_FUND_CRNCY</stp>
        <stp>USD</stp>
        <stp>EQY_CONSOLIDATED</stp>
        <stp>Y</stp>
        <stp>Fill=B</stp>
        <tr r="G36" s="8"/>
      </tp>
      <tp t="s">
        <v>#N/A Requesting Data...</v>
        <stp/>
        <stp>##V3_BDSV12</stp>
        <stp>AAPL US EQUITY</stp>
        <stp>BEST_SALES_BRK_GRID</stp>
        <stp>[XIDA.xlsm]DataH!R8C56</stp>
        <stp>BEST_FPERIOD_OVERRIDE</stp>
        <stp>1FQ</stp>
        <stp>STARTCOL=1</stp>
        <stp>ENDCOL=1</stp>
        <stp>EQY_FUND_CRNCY</stp>
        <stp>USD</stp>
        <stp>BEST_CONSOLIDATED_OVERRIDE</stp>
        <stp>C</stp>
        <tr r="BD8" s="16"/>
      </tp>
      <tp t="s">
        <v>#N/A Requesting Data...</v>
        <stp/>
        <stp>##V3_BDSV12</stp>
        <stp>AAPL US EQUITY</stp>
        <stp>BEST_NET_INC_GAAP_BRK_GRID</stp>
        <stp>[XIDA.xlsm]DataH!R8C88</stp>
        <stp>BEST_FPERIOD_OVERRIDE</stp>
        <stp>1FQ</stp>
        <stp>STARTCOL=6</stp>
        <stp>ENDCOL=6</stp>
        <stp>EQY_FUND_CRNCY</stp>
        <stp>USD</stp>
        <stp>BEST_CONSOLIDATED_OVERRIDE</stp>
        <stp>C</stp>
        <tr r="CJ8" s="16"/>
      </tp>
      <tp>
        <v>7466</v>
        <stp/>
        <stp>##V3_BDPV12</stp>
        <stp>AAPL US EQUITY</stp>
        <stp>TOT_SHRHLDR_EQY</stp>
        <stp>[XIDA.xlsm]Financials!R77C8</stp>
        <stp>EQY_FUND_RELATIVE_PERIOD</stp>
        <stp>-9FY</stp>
        <stp>EQY_FUND_CRNCY</stp>
        <stp>USD</stp>
        <stp>EQY_CONSOLIDATED</stp>
        <stp>Y</stp>
        <stp>Fill=B</stp>
        <tr r="H77" s="8"/>
      </tp>
      <tp>
        <v>9984</v>
        <stp/>
        <stp>##V3_BDPV12</stp>
        <stp>AAPL US EQUITY</stp>
        <stp>TOT_SHRHLDR_EQY</stp>
        <stp>[XIDA.xlsm]Financials!R77C9</stp>
        <stp>EQY_FUND_RELATIVE_PERIOD</stp>
        <stp>-8FY</stp>
        <stp>EQY_FUND_CRNCY</stp>
        <stp>USD</stp>
        <stp>EQY_CONSOLIDATED</stp>
        <stp>Y</stp>
        <stp>Fill=B</stp>
        <tr r="I77" s="8"/>
      </tp>
      <tp>
        <v>0</v>
        <stp/>
        <stp>##V3_BDPV12</stp>
        <stp>AAPL US EQUITY</stp>
        <stp>CF_INCR_LT_BORROW</stp>
        <stp>[XIDA.xlsm]Financials!R100C10</stp>
        <stp>EQY_FUND_RELATIVE_PERIOD</stp>
        <stp>-7FY</stp>
        <stp>EQY_FUND_CRNCY</stp>
        <stp>USD</stp>
        <stp>EQY_CONSOLIDATED</stp>
        <stp>Y</stp>
        <stp>Fill=B</stp>
        <tr r="J100" s="8"/>
      </tp>
      <tp>
        <v>0</v>
        <stp/>
        <stp>##V3_BDPV12</stp>
        <stp>AAPL US EQUITY</stp>
        <stp>CF_INCR_LT_BORROW</stp>
        <stp>[XIDA.xlsm]Financials!R100C11</stp>
        <stp>EQY_FUND_RELATIVE_PERIOD</stp>
        <stp>-6FY</stp>
        <stp>EQY_FUND_CRNCY</stp>
        <stp>USD</stp>
        <stp>EQY_CONSOLIDATED</stp>
        <stp>Y</stp>
        <stp>Fill=B</stp>
        <tr r="K100" s="8"/>
      </tp>
      <tp>
        <v>0</v>
        <stp/>
        <stp>##V3_BDPV12</stp>
        <stp>AAPL US EQUITY</stp>
        <stp>CF_INCR_LT_BORROW</stp>
        <stp>[XIDA.xlsm]Financials!R100C12</stp>
        <stp>EQY_FUND_RELATIVE_PERIOD</stp>
        <stp>-5FY</stp>
        <stp>EQY_FUND_CRNCY</stp>
        <stp>USD</stp>
        <stp>EQY_CONSOLIDATED</stp>
        <stp>Y</stp>
        <stp>Fill=B</stp>
        <tr r="L100" s="8"/>
      </tp>
      <tp>
        <v>0</v>
        <stp/>
        <stp>##V3_BDPV12</stp>
        <stp>AAPL US EQUITY</stp>
        <stp>CF_INCR_LT_BORROW</stp>
        <stp>[XIDA.xlsm]Financials!R100C13</stp>
        <stp>EQY_FUND_RELATIVE_PERIOD</stp>
        <stp>-4FY</stp>
        <stp>EQY_FUND_CRNCY</stp>
        <stp>USD</stp>
        <stp>EQY_CONSOLIDATED</stp>
        <stp>Y</stp>
        <stp>Fill=B</stp>
        <tr r="M100" s="8"/>
      </tp>
      <tp>
        <v>0</v>
        <stp/>
        <stp>##V3_BDPV12</stp>
        <stp>AAPL US EQUITY</stp>
        <stp>CF_INCR_LT_BORROW</stp>
        <stp>[XIDA.xlsm]Financials!R100C14</stp>
        <stp>EQY_FUND_RELATIVE_PERIOD</stp>
        <stp>-3FY</stp>
        <stp>EQY_FUND_CRNCY</stp>
        <stp>USD</stp>
        <stp>EQY_CONSOLIDATED</stp>
        <stp>Y</stp>
        <stp>Fill=B</stp>
        <tr r="N100" s="8"/>
      </tp>
      <tp>
        <v>0</v>
        <stp/>
        <stp>##V3_BDPV12</stp>
        <stp>AAPL US EQUITY</stp>
        <stp>CF_INCR_LT_BORROW</stp>
        <stp>[XIDA.xlsm]Financials!R100C15</stp>
        <stp>EQY_FUND_RELATIVE_PERIOD</stp>
        <stp>-2FY</stp>
        <stp>EQY_FUND_CRNCY</stp>
        <stp>USD</stp>
        <stp>EQY_CONSOLIDATED</stp>
        <stp>Y</stp>
        <stp>Fill=B</stp>
        <tr r="O100" s="8"/>
      </tp>
      <tp>
        <v>16896</v>
        <stp/>
        <stp>##V3_BDPV12</stp>
        <stp>AAPL US EQUITY</stp>
        <stp>CF_INCR_LT_BORROW</stp>
        <stp>[XIDA.xlsm]Financials!R100C16</stp>
        <stp>EQY_FUND_RELATIVE_PERIOD</stp>
        <stp>-1FY</stp>
        <stp>EQY_FUND_CRNCY</stp>
        <stp>USD</stp>
        <stp>EQY_CONSOLIDATED</stp>
        <stp>Y</stp>
        <stp>Fill=B</stp>
        <tr r="P100" s="8"/>
      </tp>
      <tp>
        <v>11960</v>
        <stp/>
        <stp>##V3_BDPV12</stp>
        <stp>AAPL US EQUITY</stp>
        <stp>CF_INCR_LT_BORROW</stp>
        <stp>[XIDA.xlsm]Financials!R100C17</stp>
        <stp>EQY_FUND_RELATIVE_PERIOD</stp>
        <stp>-0FY</stp>
        <stp>EQY_FUND_CRNCY</stp>
        <stp>USD</stp>
        <stp>EQY_CONSOLIDATED</stp>
        <stp>Y</stp>
        <stp>Fill=B</stp>
        <tr r="Q100" s="8"/>
      </tp>
      <tp t="s">
        <v>10/2014</v>
        <stp/>
        <stp>##V3_BDPV12</stp>
        <stp>HPQ US EQUITY</stp>
        <stp>EQY_FISCAL_YR_END</stp>
        <stp>[XIDA.xlsm]Peers!R22C29</stp>
        <tr r="AC22" s="4"/>
      </tp>
      <tp t="e">
        <v>#N/A</v>
        <stp/>
        <stp>##V3_BDPV12</stp>
        <stp xml:space="preserve"> EQUITY</stp>
        <stp>BEST_PX_SALES_RATIO</stp>
        <stp>[XIDA.xlsm]DataH!R46C10</stp>
        <stp>BEST_FPERIOD_OVERRIDE</stp>
        <stp>13BC</stp>
        <stp>EQY_CONSOLIDATED</stp>
        <stp>Y</stp>
        <tr r="J46" s="16"/>
      </tp>
      <tp t="e">
        <v>#N/A</v>
        <stp/>
        <stp>##V3_BDPV12</stp>
        <stp xml:space="preserve"> EQUITY</stp>
        <stp>BEST_PX_SALES_RATIO</stp>
        <stp>[XIDA.xlsm]DataH!R51C11</stp>
        <stp>BEST_FPERIOD_OVERRIDE</stp>
        <stp>14BC</stp>
        <stp>EQY_CONSOLIDATED</stp>
        <stp>Y</stp>
        <tr r="K51" s="16"/>
      </tp>
      <tp t="e">
        <v>#N/A</v>
        <stp/>
        <stp>##V3_BDPV12</stp>
        <stp xml:space="preserve"> EQUITY</stp>
        <stp>BEST_PX_SALES_RATIO</stp>
        <stp>[XIDA.xlsm]DataH!R47C10</stp>
        <stp>BEST_FPERIOD_OVERRIDE</stp>
        <stp>13BC</stp>
        <stp>EQY_CONSOLIDATED</stp>
        <stp>Y</stp>
        <tr r="J47" s="16"/>
      </tp>
      <tp t="e">
        <v>#N/A</v>
        <stp/>
        <stp>##V3_BDPV12</stp>
        <stp xml:space="preserve"> EQUITY</stp>
        <stp>BEST_PX_SALES_RATIO</stp>
        <stp>[XIDA.xlsm]DataH!R50C11</stp>
        <stp>BEST_FPERIOD_OVERRIDE</stp>
        <stp>14BC</stp>
        <stp>EQY_CONSOLIDATED</stp>
        <stp>Y</stp>
        <tr r="K50" s="16"/>
      </tp>
      <tp t="e">
        <v>#N/A</v>
        <stp/>
        <stp>##V3_BDPV12</stp>
        <stp xml:space="preserve"> EQUITY</stp>
        <stp>BEST_PX_SALES_RATIO</stp>
        <stp>[XIDA.xlsm]DataH!R44C10</stp>
        <stp>BEST_FPERIOD_OVERRIDE</stp>
        <stp>13BC</stp>
        <stp>EQY_CONSOLIDATED</stp>
        <stp>Y</stp>
        <tr r="J44" s="16"/>
      </tp>
      <tp t="e">
        <v>#N/A</v>
        <stp/>
        <stp>##V3_BDPV12</stp>
        <stp xml:space="preserve"> EQUITY</stp>
        <stp>BEST_PX_SALES_RATIO</stp>
        <stp>[XIDA.xlsm]DataH!R45C10</stp>
        <stp>BEST_FPERIOD_OVERRIDE</stp>
        <stp>13BC</stp>
        <stp>EQY_CONSOLIDATED</stp>
        <stp>Y</stp>
        <tr r="J45" s="16"/>
      </tp>
      <tp t="e">
        <v>#N/A</v>
        <stp/>
        <stp>##V3_BDPV12</stp>
        <stp xml:space="preserve"> EQUITY</stp>
        <stp>BEST_PX_SALES_RATIO</stp>
        <stp>[XIDA.xlsm]DataH!R52C11</stp>
        <stp>BEST_FPERIOD_OVERRIDE</stp>
        <stp>14BC</stp>
        <stp>EQY_CONSOLIDATED</stp>
        <stp>Y</stp>
        <tr r="K52" s="16"/>
      </tp>
      <tp t="e">
        <v>#N/A</v>
        <stp/>
        <stp>##V3_BDPV12</stp>
        <stp xml:space="preserve"> EQUITY</stp>
        <stp>BEST_PX_SALES_RATIO</stp>
        <stp>[XIDA.xlsm]DataH!R42C10</stp>
        <stp>BEST_FPERIOD_OVERRIDE</stp>
        <stp>13BC</stp>
        <stp>EQY_CONSOLIDATED</stp>
        <stp>Y</stp>
        <tr r="J42" s="16"/>
      </tp>
      <tp t="e">
        <v>#N/A</v>
        <stp/>
        <stp>##V3_BDPV12</stp>
        <stp xml:space="preserve"> EQUITY</stp>
        <stp>BEST_PX_SALES_RATIO</stp>
        <stp>[XIDA.xlsm]DataH!R43C10</stp>
        <stp>BEST_FPERIOD_OVERRIDE</stp>
        <stp>13BC</stp>
        <stp>EQY_CONSOLIDATED</stp>
        <stp>Y</stp>
        <tr r="J43" s="16"/>
      </tp>
      <tp t="e">
        <v>#N/A</v>
        <stp/>
        <stp>##V3_BDPV12</stp>
        <stp xml:space="preserve"> EQUITY</stp>
        <stp>BEST_PX_SALES_RATIO</stp>
        <stp>[XIDA.xlsm]DataH!R40C10</stp>
        <stp>BEST_FPERIOD_OVERRIDE</stp>
        <stp>13BC</stp>
        <stp>EQY_CONSOLIDATED</stp>
        <stp>Y</stp>
        <tr r="J40" s="16"/>
      </tp>
      <tp t="e">
        <v>#N/A</v>
        <stp/>
        <stp>##V3_BDPV12</stp>
        <stp xml:space="preserve"> EQUITY</stp>
        <stp>BEST_PX_SALES_RATIO</stp>
        <stp>[XIDA.xlsm]DataH!R41C10</stp>
        <stp>BEST_FPERIOD_OVERRIDE</stp>
        <stp>13BC</stp>
        <stp>EQY_CONSOLIDATED</stp>
        <stp>Y</stp>
        <tr r="J41" s="16"/>
      </tp>
      <tp t="e">
        <v>#N/A</v>
        <stp/>
        <stp>##V3_BDPV12</stp>
        <stp xml:space="preserve"> EQUITY</stp>
        <stp>BEST_PX_SALES_RATIO</stp>
        <stp>[XIDA.xlsm]DataH!R48C10</stp>
        <stp>BEST_FPERIOD_OVERRIDE</stp>
        <stp>13BC</stp>
        <stp>EQY_CONSOLIDATED</stp>
        <stp>Y</stp>
        <tr r="J48" s="16"/>
      </tp>
      <tp t="e">
        <v>#N/A</v>
        <stp/>
        <stp>##V3_BDPV12</stp>
        <stp xml:space="preserve"> EQUITY</stp>
        <stp>BEST_PX_SALES_RATIO</stp>
        <stp>[XIDA.xlsm]DataH!R49C10</stp>
        <stp>BEST_FPERIOD_OVERRIDE</stp>
        <stp>13BC</stp>
        <stp>EQY_CONSOLIDATED</stp>
        <stp>Y</stp>
        <tr r="J49" s="16"/>
      </tp>
      <tp t="s">
        <v>#N/A Requesting Data...</v>
        <stp/>
        <stp>##V3_BDSV12</stp>
        <stp>AAPL US EQUITY</stp>
        <stp>BEST_SALES_BRK_GRID</stp>
        <stp>[XIDA.xlsm]DataH!R8C57</stp>
        <stp>BEST_FPERIOD_OVERRIDE</stp>
        <stp>1FQ</stp>
        <stp>STARTCOL=4</stp>
        <stp>ENDCOL=4</stp>
        <stp>EQY_FUND_CRNCY</stp>
        <stp>USD</stp>
        <stp>BEST_CONSOLIDATED_OVERRIDE</stp>
        <stp>C</stp>
        <tr r="BE8" s="16"/>
      </tp>
      <tp t="s">
        <v>Aa1</v>
        <stp/>
        <stp>##V3_BDPV12</stp>
        <stp>AAPL US EQUITY</stp>
        <stp>RTG_MDY_SEN_UNSECURED_DEBT</stp>
        <stp>[XIDA.xlsm]Overview!R27C5</stp>
        <tr r="E27" s="3"/>
        <tr r="E27" s="3"/>
      </tp>
      <tp>
        <v>2680</v>
        <stp/>
        <stp>##V3_BDPV12</stp>
        <stp>AAPL US EQUITY</stp>
        <stp>BS_CUR_LIAB</stp>
        <stp>[XIDA.xlsm]Financials!R62C7</stp>
        <stp>EQY_FUND_RELATIVE_PERIOD</stp>
        <stp>-10FY</stp>
        <stp>EQY_FUND_CRNCY</stp>
        <stp>USD</stp>
        <stp>EQY_CONSOLIDATED</stp>
        <stp>Y</stp>
        <stp>Fill=B</stp>
        <tr r="G62" s="8"/>
      </tp>
      <tp>
        <v>0</v>
        <stp/>
        <stp>##V3_BDPV12</stp>
        <stp>AAPL US EQUITY</stp>
        <stp>CF_DVD_PAID</stp>
        <stp>[XIDA.xlsm]Financials!R98C7</stp>
        <stp>EQY_FUND_RELATIVE_PERIOD</stp>
        <stp>-10FY</stp>
        <stp>EQY_FUND_CRNCY</stp>
        <stp>USD</stp>
        <stp>EQY_CONSOLIDATED</stp>
        <stp>Y</stp>
        <stp>Fill=B</stp>
        <tr r="G98" s="8"/>
      </tp>
      <tp>
        <v>7055</v>
        <stp/>
        <stp>##V3_BDPV12</stp>
        <stp>AAPL US EQUITY</stp>
        <stp>BS_CUR_ASSET_REPORT</stp>
        <stp>[XIDA.xlsm]Financials!R48C7</stp>
        <stp>EQY_FUND_RELATIVE_PERIOD</stp>
        <stp>-10FY</stp>
        <stp>EQY_FUND_CRNCY</stp>
        <stp>USD</stp>
        <stp>EQY_CONSOLIDATED</stp>
        <stp>Y</stp>
        <stp>Fill=B</stp>
        <tr r="G48" s="8"/>
      </tp>
      <tp>
        <v>-2650.5</v>
        <stp/>
        <stp>##V3_BDPV12</stp>
        <stp>AAPL US EQUITY</stp>
        <stp>BEST_CAPEX</stp>
        <stp>[XIDA.xlsm]DataH!R4C80</stp>
        <stp>BEST_FPERIOD_OVERRIDE</stp>
        <stp>3FQ</stp>
        <stp>BEST_DATA_SOURCE_OVERRIDE</stp>
        <stp>BLI</stp>
        <stp>EQY_FUND_CRNCY</stp>
        <stp>USD</stp>
        <stp>BEST_CONSOLIDATED_OVERRIDE</stp>
        <stp>C</stp>
        <tr r="CB4" s="16"/>
      </tp>
      <tp>
        <v>-31.077470000000002</v>
        <stp/>
        <stp>##V3_BDPV12</stp>
        <stp>BB CN EQUITY</stp>
        <stp>CUST_TRR_RETURN_HOLDING_PER</stp>
        <stp>[XIDA.xlsm]DataH!R24C7</stp>
        <stp>CUST_TRR_START_DT</stp>
        <stp>20150224</stp>
        <stp>CUST_TRR_END_DT</stp>
        <stp>20150824</stp>
        <stp>CUST_TRR_CRNCY</stp>
        <stp>USD</stp>
        <tr r="G24" s="16"/>
      </tp>
      <tp>
        <v>60505.967000000004</v>
        <stp/>
        <stp>##V3_BDPV12</stp>
        <stp>AAPL US EQUITY</stp>
        <stp>BEST_SALES</stp>
        <stp>[XIDA.xlsm]DataH!R3C60</stp>
        <stp>BEST_FPERIOD_OVERRIDE</stp>
        <stp>3FQ</stp>
        <stp>BEST_DATA_SOURCE_OVERRIDE</stp>
        <stp>BST</stp>
        <stp>EQY_FUND_CRNCY</stp>
        <stp>USD</stp>
        <stp>BEST_CONSOLIDATED_OVERRIDE</stp>
        <stp>C</stp>
        <tr r="BH3" s="16"/>
      </tp>
      <tp>
        <v>76495.759000000005</v>
        <stp/>
        <stp>##V3_BDPV12</stp>
        <stp>AAPL US EQUITY</stp>
        <stp>BEST_SALES</stp>
        <stp>[XIDA.xlsm]DataH!R5C58</stp>
        <stp>BEST_FPERIOD_OVERRIDE</stp>
        <stp>2FQ</stp>
        <stp>BEST_DATA_SOURCE_OVERRIDE</stp>
        <stp>BPE</stp>
        <stp>EQY_FUND_CRNCY</stp>
        <stp>USD</stp>
        <stp>BEST_CONSOLIDATED_OVERRIDE</stp>
        <stp>C</stp>
        <tr r="BF5" s="16"/>
      </tp>
      <tp>
        <v>50906.222000000002</v>
        <stp/>
        <stp>##V3_BDPV12</stp>
        <stp>AAPL US EQUITY</stp>
        <stp>BEST_SALES</stp>
        <stp>[XIDA.xlsm]DataH!R5C57</stp>
        <stp>BEST_FPERIOD_OVERRIDE</stp>
        <stp>1FQ</stp>
        <stp>BEST_DATA_SOURCE_OVERRIDE</stp>
        <stp>BPE</stp>
        <stp>EQY_FUND_CRNCY</stp>
        <stp>USD</stp>
        <stp>BEST_CONSOLIDATED_OVERRIDE</stp>
        <stp>C</stp>
        <tr r="BE5" s="16"/>
      </tp>
      <tp>
        <v>3177</v>
        <stp/>
        <stp>##V3_BDPV12</stp>
        <stp>AAPL US EQUITY</stp>
        <stp>BS_TOT_NON_CUR_ASSET</stp>
        <stp>[XIDA.xlsm]Financials!R55C10</stp>
        <stp>EQY_FUND_RELATIVE_PERIOD</stp>
        <stp>-7FY</stp>
        <stp>EQY_FUND_CRNCY</stp>
        <stp>USD</stp>
        <stp>EQY_CONSOLIDATED</stp>
        <stp>Y</stp>
        <stp>Fill=B</stp>
        <tr r="J55" s="8"/>
      </tp>
      <tp>
        <v>6165</v>
        <stp/>
        <stp>##V3_BDPV12</stp>
        <stp>AAPL US EQUITY</stp>
        <stp>BS_TOT_NON_CUR_ASSET</stp>
        <stp>[XIDA.xlsm]Financials!R55C11</stp>
        <stp>EQY_FUND_RELATIVE_PERIOD</stp>
        <stp>-6FY</stp>
        <stp>EQY_FUND_CRNCY</stp>
        <stp>USD</stp>
        <stp>EQY_CONSOLIDATED</stp>
        <stp>Y</stp>
        <stp>Fill=B</stp>
        <tr r="K55" s="8"/>
      </tp>
      <tp>
        <v>15946</v>
        <stp/>
        <stp>##V3_BDPV12</stp>
        <stp>AAPL US EQUITY</stp>
        <stp>BS_TOT_NON_CUR_ASSET</stp>
        <stp>[XIDA.xlsm]Financials!R55C12</stp>
        <stp>EQY_FUND_RELATIVE_PERIOD</stp>
        <stp>-5FY</stp>
        <stp>EQY_FUND_CRNCY</stp>
        <stp>USD</stp>
        <stp>EQY_CONSOLIDATED</stp>
        <stp>Y</stp>
        <stp>Fill=B</stp>
        <tr r="L55" s="8"/>
      </tp>
      <tp>
        <v>33505</v>
        <stp/>
        <stp>##V3_BDPV12</stp>
        <stp>AAPL US EQUITY</stp>
        <stp>BS_TOT_NON_CUR_ASSET</stp>
        <stp>[XIDA.xlsm]Financials!R55C13</stp>
        <stp>EQY_FUND_RELATIVE_PERIOD</stp>
        <stp>-4FY</stp>
        <stp>EQY_FUND_CRNCY</stp>
        <stp>USD</stp>
        <stp>EQY_CONSOLIDATED</stp>
        <stp>Y</stp>
        <stp>Fill=B</stp>
        <tr r="M55" s="8"/>
      </tp>
      <tp>
        <v>71383</v>
        <stp/>
        <stp>##V3_BDPV12</stp>
        <stp>AAPL US EQUITY</stp>
        <stp>BS_TOT_NON_CUR_ASSET</stp>
        <stp>[XIDA.xlsm]Financials!R55C14</stp>
        <stp>EQY_FUND_RELATIVE_PERIOD</stp>
        <stp>-3FY</stp>
        <stp>EQY_FUND_CRNCY</stp>
        <stp>USD</stp>
        <stp>EQY_CONSOLIDATED</stp>
        <stp>Y</stp>
        <stp>Fill=B</stp>
        <tr r="N55" s="8"/>
      </tp>
      <tp>
        <v>118411</v>
        <stp/>
        <stp>##V3_BDPV12</stp>
        <stp>AAPL US EQUITY</stp>
        <stp>BS_TOT_NON_CUR_ASSET</stp>
        <stp>[XIDA.xlsm]Financials!R55C15</stp>
        <stp>EQY_FUND_RELATIVE_PERIOD</stp>
        <stp>-2FY</stp>
        <stp>EQY_FUND_CRNCY</stp>
        <stp>USD</stp>
        <stp>EQY_CONSOLIDATED</stp>
        <stp>Y</stp>
        <stp>Fill=B</stp>
        <tr r="O55" s="8"/>
      </tp>
      <tp>
        <v>133714</v>
        <stp/>
        <stp>##V3_BDPV12</stp>
        <stp>AAPL US EQUITY</stp>
        <stp>BS_TOT_NON_CUR_ASSET</stp>
        <stp>[XIDA.xlsm]Financials!R55C16</stp>
        <stp>EQY_FUND_RELATIVE_PERIOD</stp>
        <stp>-1FY</stp>
        <stp>EQY_FUND_CRNCY</stp>
        <stp>USD</stp>
        <stp>EQY_CONSOLIDATED</stp>
        <stp>Y</stp>
        <stp>Fill=B</stp>
        <tr r="P55" s="8"/>
      </tp>
      <tp>
        <v>163308</v>
        <stp/>
        <stp>##V3_BDPV12</stp>
        <stp>AAPL US EQUITY</stp>
        <stp>BS_TOT_NON_CUR_ASSET</stp>
        <stp>[XIDA.xlsm]Financials!R55C17</stp>
        <stp>EQY_FUND_RELATIVE_PERIOD</stp>
        <stp>-0FY</stp>
        <stp>EQY_FUND_CRNCY</stp>
        <stp>USD</stp>
        <stp>EQY_CONSOLIDATED</stp>
        <stp>Y</stp>
        <stp>Fill=B</stp>
        <tr r="Q55" s="8"/>
      </tp>
      <tp>
        <v>-3193.5</v>
        <stp/>
        <stp>##V3_BDPV12</stp>
        <stp>AAPL US EQUITY</stp>
        <stp>BEST_CAPEX</stp>
        <stp>[XIDA.xlsm]DataH!R4C77</stp>
        <stp>BEST_FPERIOD_OVERRIDE</stp>
        <stp>1FQ</stp>
        <stp>BEST_DATA_SOURCE_OVERRIDE</stp>
        <stp>BLI</stp>
        <stp>EQY_FUND_CRNCY</stp>
        <stp>USD</stp>
        <stp>BEST_CONSOLIDATED_OVERRIDE</stp>
        <stp>C</stp>
        <tr r="BY4" s="16"/>
      </tp>
      <tp>
        <v>-3141.5</v>
        <stp/>
        <stp>##V3_BDPV12</stp>
        <stp>AAPL US EQUITY</stp>
        <stp>BEST_CAPEX</stp>
        <stp>[XIDA.xlsm]DataH!R4C78</stp>
        <stp>BEST_FPERIOD_OVERRIDE</stp>
        <stp>2FQ</stp>
        <stp>BEST_DATA_SOURCE_OVERRIDE</stp>
        <stp>BLI</stp>
        <stp>EQY_FUND_CRNCY</stp>
        <stp>USD</stp>
        <stp>BEST_CONSOLIDATED_OVERRIDE</stp>
        <stp>C</stp>
        <tr r="BZ4" s="16"/>
      </tp>
      <tp>
        <v>76599.5</v>
        <stp/>
        <stp>##V3_BDPV12</stp>
        <stp>AAPL US EQUITY</stp>
        <stp>BEST_SALES</stp>
        <stp>[XIDA.xlsm]DataH!R3C58</stp>
        <stp>BEST_FPERIOD_OVERRIDE</stp>
        <stp>2FQ</stp>
        <stp>BEST_DATA_SOURCE_OVERRIDE</stp>
        <stp>BST</stp>
        <stp>EQY_FUND_CRNCY</stp>
        <stp>USD</stp>
        <stp>BEST_CONSOLIDATED_OVERRIDE</stp>
        <stp>C</stp>
        <tr r="BF3" s="16"/>
      </tp>
      <tp>
        <v>50906.222000000002</v>
        <stp/>
        <stp>##V3_BDPV12</stp>
        <stp>AAPL US EQUITY</stp>
        <stp>BEST_SALES</stp>
        <stp>[XIDA.xlsm]DataH!R3C57</stp>
        <stp>BEST_FPERIOD_OVERRIDE</stp>
        <stp>1FQ</stp>
        <stp>BEST_DATA_SOURCE_OVERRIDE</stp>
        <stp>BST</stp>
        <stp>EQY_FUND_CRNCY</stp>
        <stp>USD</stp>
        <stp>BEST_CONSOLIDATED_OVERRIDE</stp>
        <stp>C</stp>
        <tr r="BE3" s="16"/>
      </tp>
      <tp>
        <v>60464.897000000004</v>
        <stp/>
        <stp>##V3_BDPV12</stp>
        <stp>AAPL US EQUITY</stp>
        <stp>BEST_SALES</stp>
        <stp>[XIDA.xlsm]DataH!R5C60</stp>
        <stp>BEST_FPERIOD_OVERRIDE</stp>
        <stp>3FQ</stp>
        <stp>BEST_DATA_SOURCE_OVERRIDE</stp>
        <stp>BPE</stp>
        <stp>EQY_FUND_CRNCY</stp>
        <stp>USD</stp>
        <stp>BEST_CONSOLIDATED_OVERRIDE</stp>
        <stp>C</stp>
        <tr r="BH5" s="16"/>
      </tp>
      <tp t="e">
        <v>#N/A</v>
        <stp/>
        <stp>##V3_BDHV12</stp>
        <stp>AAPL US EQUITY</stp>
        <stp>BEST_TARGET_PRICE</stp>
        <stp>ED-18AM</stp>
        <stp/>
        <stp>[XIDA.xlsm]Ratings!R27C11</stp>
        <stp>BEST FPERIOD OVERRIDE</stp>
        <stp>1FY</stp>
        <stp>PER=CD</stp>
        <stp>SORT=D</stp>
        <stp>DAYS=W</stp>
        <stp>Fill=P</stp>
        <stp>DTS=H</stp>
        <stp>cols=1;rows=391</stp>
        <tr r="K27" s="11"/>
      </tp>
      <tp>
        <v>51105.769</v>
        <stp/>
        <stp>##V3_BDPV12</stp>
        <stp>AAPL US EQUITY</stp>
        <stp>BEST_SALES</stp>
        <stp>[XIDA.xlsm]DataH!R4C57</stp>
        <stp>BEST_FPERIOD_OVERRIDE</stp>
        <stp>1FQ</stp>
        <stp>BEST_DATA_SOURCE_OVERRIDE</stp>
        <stp>BLI</stp>
        <stp>EQY_FUND_CRNCY</stp>
        <stp>USD</stp>
        <stp>BEST_CONSOLIDATED_OVERRIDE</stp>
        <stp>C</stp>
        <tr r="BE4" s="16"/>
      </tp>
      <tp>
        <v>76186.817999999999</v>
        <stp/>
        <stp>##V3_BDPV12</stp>
        <stp>AAPL US EQUITY</stp>
        <stp>BEST_SALES</stp>
        <stp>[XIDA.xlsm]DataH!R4C58</stp>
        <stp>BEST_FPERIOD_OVERRIDE</stp>
        <stp>2FQ</stp>
        <stp>BEST_DATA_SOURCE_OVERRIDE</stp>
        <stp>BLI</stp>
        <stp>EQY_FUND_CRNCY</stp>
        <stp>USD</stp>
        <stp>BEST_CONSOLIDATED_OVERRIDE</stp>
        <stp>C</stp>
        <tr r="BF4" s="16"/>
      </tp>
      <tp>
        <v>-3481</v>
        <stp/>
        <stp>##V3_BDPV12</stp>
        <stp>AAPL US EQUITY</stp>
        <stp>BEST_CAPEX</stp>
        <stp>[XIDA.xlsm]DataH!R3C78</stp>
        <stp>BEST_FPERIOD_OVERRIDE</stp>
        <stp>2FQ</stp>
        <stp>BEST_DATA_SOURCE_OVERRIDE</stp>
        <stp>BST</stp>
        <stp>EQY_FUND_CRNCY</stp>
        <stp>USD</stp>
        <stp>BEST_CONSOLIDATED_OVERRIDE</stp>
        <stp>C</stp>
        <tr r="BZ3" s="16"/>
      </tp>
      <tp>
        <v>-3566.2730000000001</v>
        <stp/>
        <stp>##V3_BDPV12</stp>
        <stp>AAPL US EQUITY</stp>
        <stp>BEST_CAPEX</stp>
        <stp>[XIDA.xlsm]DataH!R3C77</stp>
        <stp>BEST_FPERIOD_OVERRIDE</stp>
        <stp>1FQ</stp>
        <stp>BEST_DATA_SOURCE_OVERRIDE</stp>
        <stp>BST</stp>
        <stp>EQY_FUND_CRNCY</stp>
        <stp>USD</stp>
        <stp>BEST_CONSOLIDATED_OVERRIDE</stp>
        <stp>C</stp>
        <tr r="BY3" s="16"/>
      </tp>
      <tp>
        <v>-3481</v>
        <stp/>
        <stp>##V3_BDPV12</stp>
        <stp>AAPL US EQUITY</stp>
        <stp>BEST_CAPEX</stp>
        <stp>[XIDA.xlsm]DataH!R5C78</stp>
        <stp>BEST_FPERIOD_OVERRIDE</stp>
        <stp>2FQ</stp>
        <stp>BEST_DATA_SOURCE_OVERRIDE</stp>
        <stp>BPE</stp>
        <stp>EQY_FUND_CRNCY</stp>
        <stp>USD</stp>
        <stp>BEST_CONSOLIDATED_OVERRIDE</stp>
        <stp>C</stp>
        <tr r="BZ5" s="16"/>
      </tp>
      <tp>
        <v>-3566.2730000000001</v>
        <stp/>
        <stp>##V3_BDPV12</stp>
        <stp>AAPL US EQUITY</stp>
        <stp>BEST_CAPEX</stp>
        <stp>[XIDA.xlsm]DataH!R5C77</stp>
        <stp>BEST_FPERIOD_OVERRIDE</stp>
        <stp>1FQ</stp>
        <stp>BEST_DATA_SOURCE_OVERRIDE</stp>
        <stp>BPE</stp>
        <stp>EQY_FUND_CRNCY</stp>
        <stp>USD</stp>
        <stp>BEST_CONSOLIDATED_OVERRIDE</stp>
        <stp>C</stp>
        <tr r="BY5" s="16"/>
      </tp>
      <tp>
        <v>60613.091</v>
        <stp/>
        <stp>##V3_BDPV12</stp>
        <stp>AAPL US EQUITY</stp>
        <stp>BEST_SALES</stp>
        <stp>[XIDA.xlsm]DataH!R4C60</stp>
        <stp>BEST_FPERIOD_OVERRIDE</stp>
        <stp>3FQ</stp>
        <stp>BEST_DATA_SOURCE_OVERRIDE</stp>
        <stp>BLI</stp>
        <stp>EQY_FUND_CRNCY</stp>
        <stp>USD</stp>
        <stp>BEST_CONSOLIDATED_OVERRIDE</stp>
        <stp>C</stp>
        <tr r="BH4" s="16"/>
      </tp>
      <tp>
        <v>-2872.75</v>
        <stp/>
        <stp>##V3_BDPV12</stp>
        <stp>AAPL US EQUITY</stp>
        <stp>BEST_CAPEX</stp>
        <stp>[XIDA.xlsm]DataH!R5C80</stp>
        <stp>BEST_FPERIOD_OVERRIDE</stp>
        <stp>3FQ</stp>
        <stp>BEST_DATA_SOURCE_OVERRIDE</stp>
        <stp>BPE</stp>
        <stp>EQY_FUND_CRNCY</stp>
        <stp>USD</stp>
        <stp>BEST_CONSOLIDATED_OVERRIDE</stp>
        <stp>C</stp>
        <tr r="CB5" s="16"/>
      </tp>
      <tp>
        <v>-2872.75</v>
        <stp/>
        <stp>##V3_BDPV12</stp>
        <stp>AAPL US EQUITY</stp>
        <stp>BEST_CAPEX</stp>
        <stp>[XIDA.xlsm]DataH!R3C80</stp>
        <stp>BEST_FPERIOD_OVERRIDE</stp>
        <stp>3FQ</stp>
        <stp>BEST_DATA_SOURCE_OVERRIDE</stp>
        <stp>BST</stp>
        <stp>EQY_FUND_CRNCY</stp>
        <stp>USD</stp>
        <stp>BEST_CONSOLIDATED_OVERRIDE</stp>
        <stp>C</stp>
        <tr r="CB3" s="16"/>
      </tp>
      <tp t="e">
        <v>#N/A</v>
        <stp/>
        <stp>##V3_BDPV12</stp>
        <stp xml:space="preserve"> EQUITY</stp>
        <stp>BEST_PX_SALES_RATIO</stp>
        <stp>[XIDA.xlsm]DataH!R32C14</stp>
        <stp>BEST_FPERIOD_OVERRIDE</stp>
        <stp>17BC</stp>
        <stp>EQY_CONSOLIDATED</stp>
        <stp>Y</stp>
        <tr r="N32" s="16"/>
      </tp>
      <tp t="e">
        <v>#N/A</v>
        <stp/>
        <stp>##V3_BDPV12</stp>
        <stp xml:space="preserve"> EQUITY</stp>
        <stp>BEST_PX_SALES_RATIO</stp>
        <stp>[XIDA.xlsm]DataH!R43C13</stp>
        <stp>BEST_FPERIOD_OVERRIDE</stp>
        <stp>16BC</stp>
        <stp>EQY_CONSOLIDATED</stp>
        <stp>Y</stp>
        <tr r="M43" s="16"/>
      </tp>
      <tp t="e">
        <v>#N/A</v>
        <stp/>
        <stp>##V3_BDPV12</stp>
        <stp xml:space="preserve"> EQUITY</stp>
        <stp>BEST_PX_SALES_RATIO</stp>
        <stp>[XIDA.xlsm]DataH!R50C12</stp>
        <stp>BEST_FPERIOD_OVERRIDE</stp>
        <stp>15BC</stp>
        <stp>EQY_CONSOLIDATED</stp>
        <stp>Y</stp>
        <tr r="L50" s="16"/>
      </tp>
      <tp t="e">
        <v>#N/A</v>
        <stp/>
        <stp>##V3_BDPV12</stp>
        <stp xml:space="preserve"> EQUITY</stp>
        <stp>BEST_PX_SALES_RATIO</stp>
        <stp>[XIDA.xlsm]DataH!R33C14</stp>
        <stp>BEST_FPERIOD_OVERRIDE</stp>
        <stp>17BC</stp>
        <stp>EQY_CONSOLIDATED</stp>
        <stp>Y</stp>
        <tr r="N33" s="16"/>
      </tp>
      <tp t="e">
        <v>#N/A</v>
        <stp/>
        <stp>##V3_BDPV12</stp>
        <stp xml:space="preserve"> EQUITY</stp>
        <stp>BEST_PX_SALES_RATIO</stp>
        <stp>[XIDA.xlsm]DataH!R42C13</stp>
        <stp>BEST_FPERIOD_OVERRIDE</stp>
        <stp>16BC</stp>
        <stp>EQY_CONSOLIDATED</stp>
        <stp>Y</stp>
        <tr r="M42" s="16"/>
      </tp>
      <tp t="e">
        <v>#N/A</v>
        <stp/>
        <stp>##V3_BDPV12</stp>
        <stp xml:space="preserve"> EQUITY</stp>
        <stp>BEST_PX_SALES_RATIO</stp>
        <stp>[XIDA.xlsm]DataH!R51C12</stp>
        <stp>BEST_FPERIOD_OVERRIDE</stp>
        <stp>15BC</stp>
        <stp>EQY_CONSOLIDATED</stp>
        <stp>Y</stp>
        <tr r="L51" s="16"/>
      </tp>
      <tp t="e">
        <v>#N/A</v>
        <stp/>
        <stp>##V3_BDPV12</stp>
        <stp xml:space="preserve"> EQUITY</stp>
        <stp>BEST_PX_SALES_RATIO</stp>
        <stp>[XIDA.xlsm]DataH!R41C13</stp>
        <stp>BEST_FPERIOD_OVERRIDE</stp>
        <stp>16BC</stp>
        <stp>EQY_CONSOLIDATED</stp>
        <stp>Y</stp>
        <tr r="M41" s="16"/>
      </tp>
      <tp t="e">
        <v>#N/A</v>
        <stp/>
        <stp>##V3_BDPV12</stp>
        <stp xml:space="preserve"> EQUITY</stp>
        <stp>BEST_PX_SALES_RATIO</stp>
        <stp>[XIDA.xlsm]DataH!R52C12</stp>
        <stp>BEST_FPERIOD_OVERRIDE</stp>
        <stp>15BC</stp>
        <stp>EQY_CONSOLIDATED</stp>
        <stp>Y</stp>
        <tr r="L52" s="16"/>
      </tp>
      <tp t="e">
        <v>#N/A</v>
        <stp/>
        <stp>##V3_BDPV12</stp>
        <stp xml:space="preserve"> EQUITY</stp>
        <stp>BEST_PX_SALES_RATIO</stp>
        <stp>[XIDA.xlsm]DataH!R31C14</stp>
        <stp>BEST_FPERIOD_OVERRIDE</stp>
        <stp>17BC</stp>
        <stp>EQY_CONSOLIDATED</stp>
        <stp>Y</stp>
        <tr r="N31" s="16"/>
      </tp>
      <tp t="e">
        <v>#N/A</v>
        <stp/>
        <stp>##V3_BDPV12</stp>
        <stp xml:space="preserve"> EQUITY</stp>
        <stp>BEST_PX_SALES_RATIO</stp>
        <stp>[XIDA.xlsm]DataH!R40C13</stp>
        <stp>BEST_FPERIOD_OVERRIDE</stp>
        <stp>16BC</stp>
        <stp>EQY_CONSOLIDATED</stp>
        <stp>Y</stp>
        <tr r="M40" s="16"/>
      </tp>
      <tp t="e">
        <v>#N/A</v>
        <stp/>
        <stp>##V3_BDPV12</stp>
        <stp xml:space="preserve"> EQUITY</stp>
        <stp>BEST_PX_SALES_RATIO</stp>
        <stp>[XIDA.xlsm]DataH!R36C14</stp>
        <stp>BEST_FPERIOD_OVERRIDE</stp>
        <stp>17BC</stp>
        <stp>EQY_CONSOLIDATED</stp>
        <stp>Y</stp>
        <tr r="N36" s="16"/>
      </tp>
      <tp t="e">
        <v>#N/A</v>
        <stp/>
        <stp>##V3_BDPV12</stp>
        <stp xml:space="preserve"> EQUITY</stp>
        <stp>BEST_PX_SALES_RATIO</stp>
        <stp>[XIDA.xlsm]DataH!R47C13</stp>
        <stp>BEST_FPERIOD_OVERRIDE</stp>
        <stp>16BC</stp>
        <stp>EQY_CONSOLIDATED</stp>
        <stp>Y</stp>
        <tr r="M47" s="16"/>
      </tp>
      <tp t="e">
        <v>#N/A</v>
        <stp/>
        <stp>##V3_BDPV12</stp>
        <stp xml:space="preserve"> EQUITY</stp>
        <stp>BEST_PX_SALES_RATIO</stp>
        <stp>[XIDA.xlsm]DataH!R37C14</stp>
        <stp>BEST_FPERIOD_OVERRIDE</stp>
        <stp>17BC</stp>
        <stp>EQY_CONSOLIDATED</stp>
        <stp>Y</stp>
        <tr r="N37" s="16"/>
      </tp>
      <tp t="e">
        <v>#N/A</v>
        <stp/>
        <stp>##V3_BDPV12</stp>
        <stp xml:space="preserve"> EQUITY</stp>
        <stp>BEST_PX_SALES_RATIO</stp>
        <stp>[XIDA.xlsm]DataH!R46C13</stp>
        <stp>BEST_FPERIOD_OVERRIDE</stp>
        <stp>16BC</stp>
        <stp>EQY_CONSOLIDATED</stp>
        <stp>Y</stp>
        <tr r="M46" s="16"/>
      </tp>
      <tp t="e">
        <v>#N/A</v>
        <stp/>
        <stp>##V3_BDPV12</stp>
        <stp xml:space="preserve"> EQUITY</stp>
        <stp>BEST_PX_SALES_RATIO</stp>
        <stp>[XIDA.xlsm]DataH!R34C14</stp>
        <stp>BEST_FPERIOD_OVERRIDE</stp>
        <stp>17BC</stp>
        <stp>EQY_CONSOLIDATED</stp>
        <stp>Y</stp>
        <tr r="N34" s="16"/>
      </tp>
      <tp t="e">
        <v>#N/A</v>
        <stp/>
        <stp>##V3_BDPV12</stp>
        <stp xml:space="preserve"> EQUITY</stp>
        <stp>BEST_PX_SALES_RATIO</stp>
        <stp>[XIDA.xlsm]DataH!R45C13</stp>
        <stp>BEST_FPERIOD_OVERRIDE</stp>
        <stp>16BC</stp>
        <stp>EQY_CONSOLIDATED</stp>
        <stp>Y</stp>
        <tr r="M45" s="16"/>
      </tp>
      <tp t="e">
        <v>#N/A</v>
        <stp/>
        <stp>##V3_BDPV12</stp>
        <stp xml:space="preserve"> EQUITY</stp>
        <stp>BEST_PX_SALES_RATIO</stp>
        <stp>[XIDA.xlsm]DataH!R35C14</stp>
        <stp>BEST_FPERIOD_OVERRIDE</stp>
        <stp>17BC</stp>
        <stp>EQY_CONSOLIDATED</stp>
        <stp>Y</stp>
        <tr r="N35" s="16"/>
      </tp>
      <tp t="e">
        <v>#N/A</v>
        <stp/>
        <stp>##V3_BDPV12</stp>
        <stp xml:space="preserve"> EQUITY</stp>
        <stp>BEST_PX_SALES_RATIO</stp>
        <stp>[XIDA.xlsm]DataH!R44C13</stp>
        <stp>BEST_FPERIOD_OVERRIDE</stp>
        <stp>16BC</stp>
        <stp>EQY_CONSOLIDATED</stp>
        <stp>Y</stp>
        <tr r="M44" s="16"/>
      </tp>
      <tp t="e">
        <v>#N/A</v>
        <stp/>
        <stp>##V3_BDPV12</stp>
        <stp xml:space="preserve"> EQUITY</stp>
        <stp>BEST_PX_SALES_RATIO</stp>
        <stp>[XIDA.xlsm]DataH!R38C14</stp>
        <stp>BEST_FPERIOD_OVERRIDE</stp>
        <stp>17BC</stp>
        <stp>EQY_CONSOLIDATED</stp>
        <stp>Y</stp>
        <tr r="N38" s="16"/>
      </tp>
      <tp t="e">
        <v>#N/A</v>
        <stp/>
        <stp>##V3_BDPV12</stp>
        <stp xml:space="preserve"> EQUITY</stp>
        <stp>BEST_PX_SALES_RATIO</stp>
        <stp>[XIDA.xlsm]DataH!R49C13</stp>
        <stp>BEST_FPERIOD_OVERRIDE</stp>
        <stp>16BC</stp>
        <stp>EQY_CONSOLIDATED</stp>
        <stp>Y</stp>
        <tr r="M49" s="16"/>
      </tp>
      <tp t="e">
        <v>#N/A</v>
        <stp/>
        <stp>##V3_BDPV12</stp>
        <stp xml:space="preserve"> EQUITY</stp>
        <stp>BEST_PX_SALES_RATIO</stp>
        <stp>[XIDA.xlsm]DataH!R39C14</stp>
        <stp>BEST_FPERIOD_OVERRIDE</stp>
        <stp>17BC</stp>
        <stp>EQY_CONSOLIDATED</stp>
        <stp>Y</stp>
        <tr r="N39" s="16"/>
      </tp>
      <tp t="e">
        <v>#N/A</v>
        <stp/>
        <stp>##V3_BDPV12</stp>
        <stp xml:space="preserve"> EQUITY</stp>
        <stp>BEST_PX_SALES_RATIO</stp>
        <stp>[XIDA.xlsm]DataH!R48C13</stp>
        <stp>BEST_FPERIOD_OVERRIDE</stp>
        <stp>16BC</stp>
        <stp>EQY_CONSOLIDATED</stp>
        <stp>Y</stp>
        <tr r="M48" s="16"/>
      </tp>
      <tp>
        <v>0</v>
        <stp/>
        <stp>##V3_BDPV12</stp>
        <stp>AAPL US EQUITY</stp>
        <stp>BS_ST_BORROW</stp>
        <stp>[XIDA.xlsm]Financials!R64C7</stp>
        <stp>EQY_FUND_RELATIVE_PERIOD</stp>
        <stp>-10FY</stp>
        <stp>EQY_FUND_CRNCY</stp>
        <stp>USD</stp>
        <stp>EQY_CONSOLIDATED</stp>
        <stp>Y</stp>
        <stp>Fill=B</stp>
        <tr r="G64" s="8"/>
      </tp>
      <tp>
        <v>39.050890585241731</v>
        <stp/>
        <stp>##V3_BDPV12</stp>
        <stp>AAPL US EQUITY</stp>
        <stp>PE_RATIO</stp>
        <stp>[XIDA.xlsm]Financials!R118C10</stp>
        <stp>EQY_FUND_RELATIVE_PERIOD</stp>
        <stp>-7FY</stp>
        <stp>EQY_FUND_CRNCY</stp>
        <stp>USD</stp>
        <stp>EQY_CONSOLIDATED</stp>
        <stp>Y</stp>
        <stp>Fill=B</stp>
        <tr r="J118" s="8"/>
      </tp>
      <tp>
        <v>18.914454277286136</v>
        <stp/>
        <stp>##V3_BDPV12</stp>
        <stp>AAPL US EQUITY</stp>
        <stp>PE_RATIO</stp>
        <stp>[XIDA.xlsm]Financials!R118C11</stp>
        <stp>EQY_FUND_RELATIVE_PERIOD</stp>
        <stp>-6FY</stp>
        <stp>EQY_FUND_CRNCY</stp>
        <stp>USD</stp>
        <stp>EQY_CONSOLIDATED</stp>
        <stp>Y</stp>
        <stp>Fill=B</stp>
        <tr r="K118" s="8"/>
      </tp>
      <tp>
        <v>20.084801762114537</v>
        <stp/>
        <stp>##V3_BDPV12</stp>
        <stp>AAPL US EQUITY</stp>
        <stp>PE_RATIO</stp>
        <stp>[XIDA.xlsm]Financials!R118C12</stp>
        <stp>EQY_FUND_RELATIVE_PERIOD</stp>
        <stp>-5FY</stp>
        <stp>EQY_FUND_CRNCY</stp>
        <stp>USD</stp>
        <stp>EQY_CONSOLIDATED</stp>
        <stp>Y</stp>
        <stp>Fill=B</stp>
        <tr r="L118" s="8"/>
      </tp>
      <tp>
        <v>19.295049504950494</v>
        <stp/>
        <stp>##V3_BDPV12</stp>
        <stp>AAPL US EQUITY</stp>
        <stp>PE_RATIO</stp>
        <stp>[XIDA.xlsm]Financials!R118C13</stp>
        <stp>EQY_FUND_RELATIVE_PERIOD</stp>
        <stp>-4FY</stp>
        <stp>EQY_FUND_CRNCY</stp>
        <stp>USD</stp>
        <stp>EQY_CONSOLIDATED</stp>
        <stp>Y</stp>
        <stp>Fill=B</stp>
        <tr r="M118" s="8"/>
      </tp>
      <tp>
        <v>14.60621387283237</v>
        <stp/>
        <stp>##V3_BDPV12</stp>
        <stp>AAPL US EQUITY</stp>
        <stp>PE_RATIO</stp>
        <stp>[XIDA.xlsm]Financials!R118C14</stp>
        <stp>EQY_FUND_RELATIVE_PERIOD</stp>
        <stp>-3FY</stp>
        <stp>EQY_FUND_CRNCY</stp>
        <stp>USD</stp>
        <stp>EQY_CONSOLIDATED</stp>
        <stp>Y</stp>
        <stp>Fill=B</stp>
        <tr r="N118" s="8"/>
      </tp>
      <tp>
        <v>15.109966024915064</v>
        <stp/>
        <stp>##V3_BDPV12</stp>
        <stp>AAPL US EQUITY</stp>
        <stp>PE_RATIO</stp>
        <stp>[XIDA.xlsm]Financials!R118C15</stp>
        <stp>EQY_FUND_RELATIVE_PERIOD</stp>
        <stp>-2FY</stp>
        <stp>EQY_FUND_CRNCY</stp>
        <stp>USD</stp>
        <stp>EQY_CONSOLIDATED</stp>
        <stp>Y</stp>
        <stp>Fill=B</stp>
        <tr r="O118" s="8"/>
      </tp>
      <tp>
        <v>12.144654088050315</v>
        <stp/>
        <stp>##V3_BDPV12</stp>
        <stp>AAPL US EQUITY</stp>
        <stp>PE_RATIO</stp>
        <stp>[XIDA.xlsm]Financials!R118C16</stp>
        <stp>EQY_FUND_RELATIVE_PERIOD</stp>
        <stp>-1FY</stp>
        <stp>EQY_FUND_CRNCY</stp>
        <stp>USD</stp>
        <stp>EQY_CONSOLIDATED</stp>
        <stp>Y</stp>
        <stp>Fill=B</stp>
        <tr r="P118" s="8"/>
      </tp>
      <tp>
        <v>15.620155038759689</v>
        <stp/>
        <stp>##V3_BDPV12</stp>
        <stp>AAPL US EQUITY</stp>
        <stp>PE_RATIO</stp>
        <stp>[XIDA.xlsm]Financials!R118C17</stp>
        <stp>EQY_FUND_RELATIVE_PERIOD</stp>
        <stp>-0FY</stp>
        <stp>EQY_FUND_CRNCY</stp>
        <stp>USD</stp>
        <stp>EQY_CONSOLIDATED</stp>
        <stp>Y</stp>
        <stp>Fill=B</stp>
        <tr r="Q118" s="8"/>
      </tp>
      <tp>
        <v>-11.302820000000001</v>
        <stp/>
        <stp>##V3_BDPV12</stp>
        <stp>CSCO US EQUITY</stp>
        <stp>CUST_TRR_RETURN_HOLDING_PER</stp>
        <stp>[XIDA.xlsm]DataH!R28C6</stp>
        <stp>CUST_TRR_START_DT</stp>
        <stp>20150724</stp>
        <stp>CUST_TRR_END_DT</stp>
        <stp>20150824</stp>
        <stp>CUST_TRR_CRNCY</stp>
        <stp>USD</stp>
        <tr r="F28" s="16"/>
      </tp>
      <tp>
        <v>2.8756762170862888</v>
        <stp/>
        <stp>##V3_BDPV12</stp>
        <stp>AAPL US EQUITY</stp>
        <stp>PX_TO_BOOK_RATIO</stp>
        <stp>[XIDA.xlsm]Financials!R122C7</stp>
        <stp>EQY_FUND_RELATIVE_PERIOD</stp>
        <stp>-10FY</stp>
        <stp>EQY_FUND_CRNCY</stp>
        <stp>USD</stp>
        <stp>EQY_CONSOLIDATED</stp>
        <stp>Y</stp>
        <stp>Fill=B</stp>
        <tr r="G122" s="8"/>
      </tp>
      <tp>
        <v>8152</v>
        <stp/>
        <stp>##V3_BDPV12</stp>
        <stp>AAPL US EQUITY</stp>
        <stp>GROSS_PROFIT</stp>
        <stp>[XIDA.xlsm]Financials!R17C10</stp>
        <stp>EQY_FUND_RELATIVE_PERIOD</stp>
        <stp>-7FY</stp>
        <stp>EQY_FUND_CRNCY</stp>
        <stp>USD</stp>
        <stp>EQY_CONSOLIDATED</stp>
        <stp>Y</stp>
        <stp>Fill=B</stp>
        <tr r="J17" s="8"/>
      </tp>
      <tp>
        <v>13197</v>
        <stp/>
        <stp>##V3_BDPV12</stp>
        <stp>AAPL US EQUITY</stp>
        <stp>GROSS_PROFIT</stp>
        <stp>[XIDA.xlsm]Financials!R17C11</stp>
        <stp>EQY_FUND_RELATIVE_PERIOD</stp>
        <stp>-6FY</stp>
        <stp>EQY_FUND_CRNCY</stp>
        <stp>USD</stp>
        <stp>EQY_CONSOLIDATED</stp>
        <stp>Y</stp>
        <stp>Fill=B</stp>
        <tr r="K17" s="8"/>
      </tp>
      <tp>
        <v>17222</v>
        <stp/>
        <stp>##V3_BDPV12</stp>
        <stp>AAPL US EQUITY</stp>
        <stp>GROSS_PROFIT</stp>
        <stp>[XIDA.xlsm]Financials!R17C12</stp>
        <stp>EQY_FUND_RELATIVE_PERIOD</stp>
        <stp>-5FY</stp>
        <stp>EQY_FUND_CRNCY</stp>
        <stp>USD</stp>
        <stp>EQY_CONSOLIDATED</stp>
        <stp>Y</stp>
        <stp>Fill=B</stp>
        <tr r="L17" s="8"/>
      </tp>
      <tp>
        <v>25684</v>
        <stp/>
        <stp>##V3_BDPV12</stp>
        <stp>AAPL US EQUITY</stp>
        <stp>GROSS_PROFIT</stp>
        <stp>[XIDA.xlsm]Financials!R17C13</stp>
        <stp>EQY_FUND_RELATIVE_PERIOD</stp>
        <stp>-4FY</stp>
        <stp>EQY_FUND_CRNCY</stp>
        <stp>USD</stp>
        <stp>EQY_CONSOLIDATED</stp>
        <stp>Y</stp>
        <stp>Fill=B</stp>
        <tr r="M17" s="8"/>
      </tp>
      <tp>
        <v>43818</v>
        <stp/>
        <stp>##V3_BDPV12</stp>
        <stp>AAPL US EQUITY</stp>
        <stp>GROSS_PROFIT</stp>
        <stp>[XIDA.xlsm]Financials!R17C14</stp>
        <stp>EQY_FUND_RELATIVE_PERIOD</stp>
        <stp>-3FY</stp>
        <stp>EQY_FUND_CRNCY</stp>
        <stp>USD</stp>
        <stp>EQY_CONSOLIDATED</stp>
        <stp>Y</stp>
        <stp>Fill=B</stp>
        <tr r="N17" s="8"/>
      </tp>
      <tp>
        <v>68662</v>
        <stp/>
        <stp>##V3_BDPV12</stp>
        <stp>AAPL US EQUITY</stp>
        <stp>GROSS_PROFIT</stp>
        <stp>[XIDA.xlsm]Financials!R17C15</stp>
        <stp>EQY_FUND_RELATIVE_PERIOD</stp>
        <stp>-2FY</stp>
        <stp>EQY_FUND_CRNCY</stp>
        <stp>USD</stp>
        <stp>EQY_CONSOLIDATED</stp>
        <stp>Y</stp>
        <stp>Fill=B</stp>
        <tr r="O17" s="8"/>
      </tp>
      <tp>
        <v>64304</v>
        <stp/>
        <stp>##V3_BDPV12</stp>
        <stp>AAPL US EQUITY</stp>
        <stp>GROSS_PROFIT</stp>
        <stp>[XIDA.xlsm]Financials!R17C16</stp>
        <stp>EQY_FUND_RELATIVE_PERIOD</stp>
        <stp>-1FY</stp>
        <stp>EQY_FUND_CRNCY</stp>
        <stp>USD</stp>
        <stp>EQY_CONSOLIDATED</stp>
        <stp>Y</stp>
        <stp>Fill=B</stp>
        <tr r="P17" s="8"/>
      </tp>
      <tp>
        <v>70537</v>
        <stp/>
        <stp>##V3_BDPV12</stp>
        <stp>AAPL US EQUITY</stp>
        <stp>GROSS_PROFIT</stp>
        <stp>[XIDA.xlsm]Financials!R17C17</stp>
        <stp>EQY_FUND_RELATIVE_PERIOD</stp>
        <stp>-0FY</stp>
        <stp>EQY_FUND_CRNCY</stp>
        <stp>USD</stp>
        <stp>EQY_CONSOLIDATED</stp>
        <stp>Y</stp>
        <stp>Fill=B</stp>
        <tr r="Q17" s="8"/>
      </tp>
      <tp t="e">
        <v>#N/A</v>
        <stp/>
        <stp>##V3_BDPV12</stp>
        <stp xml:space="preserve"> EQUITY</stp>
        <stp>BEST_PX_SALES_RATIO</stp>
        <stp>[XIDA.xlsm]DataH!R40C12</stp>
        <stp>BEST_FPERIOD_OVERRIDE</stp>
        <stp>15BC</stp>
        <stp>EQY_CONSOLIDATED</stp>
        <stp>Y</stp>
        <tr r="L40" s="16"/>
      </tp>
      <tp t="e">
        <v>#N/A</v>
        <stp/>
        <stp>##V3_BDPV12</stp>
        <stp xml:space="preserve"> EQUITY</stp>
        <stp>BEST_PX_SALES_RATIO</stp>
        <stp>[XIDA.xlsm]DataH!R41C12</stp>
        <stp>BEST_FPERIOD_OVERRIDE</stp>
        <stp>15BC</stp>
        <stp>EQY_CONSOLIDATED</stp>
        <stp>Y</stp>
        <tr r="L41" s="16"/>
      </tp>
      <tp t="e">
        <v>#N/A</v>
        <stp/>
        <stp>##V3_BDPV12</stp>
        <stp xml:space="preserve"> EQUITY</stp>
        <stp>BEST_PX_SALES_RATIO</stp>
        <stp>[XIDA.xlsm]DataH!R52C13</stp>
        <stp>BEST_FPERIOD_OVERRIDE</stp>
        <stp>16BC</stp>
        <stp>EQY_CONSOLIDATED</stp>
        <stp>Y</stp>
        <tr r="M52" s="16"/>
      </tp>
      <tp t="e">
        <v>#N/A</v>
        <stp/>
        <stp>##V3_BDPV12</stp>
        <stp xml:space="preserve"> EQUITY</stp>
        <stp>BEST_PX_SALES_RATIO</stp>
        <stp>[XIDA.xlsm]DataH!R42C12</stp>
        <stp>BEST_FPERIOD_OVERRIDE</stp>
        <stp>15BC</stp>
        <stp>EQY_CONSOLIDATED</stp>
        <stp>Y</stp>
        <tr r="L42" s="16"/>
      </tp>
      <tp t="e">
        <v>#N/A</v>
        <stp/>
        <stp>##V3_BDPV12</stp>
        <stp xml:space="preserve"> EQUITY</stp>
        <stp>BEST_PX_SALES_RATIO</stp>
        <stp>[XIDA.xlsm]DataH!R51C13</stp>
        <stp>BEST_FPERIOD_OVERRIDE</stp>
        <stp>16BC</stp>
        <stp>EQY_CONSOLIDATED</stp>
        <stp>Y</stp>
        <tr r="M51" s="16"/>
      </tp>
      <tp t="e">
        <v>#N/A</v>
        <stp/>
        <stp>##V3_BDPV12</stp>
        <stp xml:space="preserve"> EQUITY</stp>
        <stp>BEST_PX_SALES_RATIO</stp>
        <stp>[XIDA.xlsm]DataH!R43C12</stp>
        <stp>BEST_FPERIOD_OVERRIDE</stp>
        <stp>15BC</stp>
        <stp>EQY_CONSOLIDATED</stp>
        <stp>Y</stp>
        <tr r="L43" s="16"/>
      </tp>
      <tp t="e">
        <v>#N/A</v>
        <stp/>
        <stp>##V3_BDPV12</stp>
        <stp xml:space="preserve"> EQUITY</stp>
        <stp>BEST_PX_SALES_RATIO</stp>
        <stp>[XIDA.xlsm]DataH!R50C13</stp>
        <stp>BEST_FPERIOD_OVERRIDE</stp>
        <stp>16BC</stp>
        <stp>EQY_CONSOLIDATED</stp>
        <stp>Y</stp>
        <tr r="M50" s="16"/>
      </tp>
      <tp t="e">
        <v>#N/A</v>
        <stp/>
        <stp>##V3_BDPV12</stp>
        <stp xml:space="preserve"> EQUITY</stp>
        <stp>BEST_PX_SALES_RATIO</stp>
        <stp>[XIDA.xlsm]DataH!R44C12</stp>
        <stp>BEST_FPERIOD_OVERRIDE</stp>
        <stp>15BC</stp>
        <stp>EQY_CONSOLIDATED</stp>
        <stp>Y</stp>
        <tr r="L44" s="16"/>
      </tp>
      <tp>
        <v>18.006603788633189</v>
        <stp/>
        <stp>##V3_BDPV12</stp>
        <stp>AAPL US EQUITY</stp>
        <stp>RETURN_ON_ASSET</stp>
        <stp>[XIDA.xlsm]Overview!R46C8</stp>
        <stp>EQY_FUND_RELATIVE_PERIOD</stp>
        <stp>-0FY</stp>
        <stp>EQY_CONSOLIDATED</stp>
        <stp>Y</stp>
        <stp>Fill=-</stp>
        <tr r="H46" s="3"/>
      </tp>
      <tp>
        <v>27.064952963655159</v>
        <stp/>
        <stp>##V3_BDPV12</stp>
        <stp>AAPL US EQUITY</stp>
        <stp>RETURN_ON_ASSET</stp>
        <stp>[XIDA.xlsm]Overview!R46C5</stp>
        <stp>EQY_FUND_RELATIVE_PERIOD</stp>
        <stp>-3FY</stp>
        <stp>EQY_CONSOLIDATED</stp>
        <stp>Y</stp>
        <stp>Fill=-</stp>
        <tr r="E46" s="3"/>
      </tp>
      <tp>
        <v>19.337238685963705</v>
        <stp/>
        <stp>##V3_BDPV12</stp>
        <stp>AAPL US EQUITY</stp>
        <stp>RETURN_ON_ASSET</stp>
        <stp>[XIDA.xlsm]Overview!R46C7</stp>
        <stp>EQY_FUND_RELATIVE_PERIOD</stp>
        <stp>-1FY</stp>
        <stp>EQY_CONSOLIDATED</stp>
        <stp>Y</stp>
        <stp>Fill=-</stp>
        <tr r="G46" s="3"/>
      </tp>
      <tp>
        <v>28.54172722143382</v>
        <stp/>
        <stp>##V3_BDPV12</stp>
        <stp>AAPL US EQUITY</stp>
        <stp>RETURN_ON_ASSET</stp>
        <stp>[XIDA.xlsm]Overview!R46C6</stp>
        <stp>EQY_FUND_RELATIVE_PERIOD</stp>
        <stp>-2FY</stp>
        <stp>EQY_CONSOLIDATED</stp>
        <stp>Y</stp>
        <stp>Fill=-</stp>
        <tr r="F46" s="3"/>
      </tp>
      <tp t="e">
        <v>#N/A</v>
        <stp/>
        <stp>##V3_BDPV12</stp>
        <stp xml:space="preserve"> EQUITY</stp>
        <stp>BEST_PX_SALES_RATIO</stp>
        <stp>[XIDA.xlsm]DataH!R45C12</stp>
        <stp>BEST_FPERIOD_OVERRIDE</stp>
        <stp>15BC</stp>
        <stp>EQY_CONSOLIDATED</stp>
        <stp>Y</stp>
        <tr r="L45" s="16"/>
      </tp>
      <tp t="e">
        <v>#N/A</v>
        <stp/>
        <stp>##V3_BDPV12</stp>
        <stp xml:space="preserve"> EQUITY</stp>
        <stp>BEST_PX_SALES_RATIO</stp>
        <stp>[XIDA.xlsm]DataH!R46C12</stp>
        <stp>BEST_FPERIOD_OVERRIDE</stp>
        <stp>15BC</stp>
        <stp>EQY_CONSOLIDATED</stp>
        <stp>Y</stp>
        <tr r="L46" s="16"/>
      </tp>
      <tp t="e">
        <v>#N/A</v>
        <stp/>
        <stp>##V3_BDPV12</stp>
        <stp xml:space="preserve"> EQUITY</stp>
        <stp>BEST_PX_SALES_RATIO</stp>
        <stp>[XIDA.xlsm]DataH!R47C12</stp>
        <stp>BEST_FPERIOD_OVERRIDE</stp>
        <stp>15BC</stp>
        <stp>EQY_CONSOLIDATED</stp>
        <stp>Y</stp>
        <tr r="L47" s="16"/>
      </tp>
      <tp t="e">
        <v>#N/A</v>
        <stp/>
        <stp>##V3_BDPV12</stp>
        <stp xml:space="preserve"> EQUITY</stp>
        <stp>BEST_PX_SALES_RATIO</stp>
        <stp>[XIDA.xlsm]DataH!R48C12</stp>
        <stp>BEST_FPERIOD_OVERRIDE</stp>
        <stp>15BC</stp>
        <stp>EQY_CONSOLIDATED</stp>
        <stp>Y</stp>
        <tr r="L48" s="16"/>
      </tp>
      <tp t="e">
        <v>#N/A</v>
        <stp/>
        <stp>##V3_BDPV12</stp>
        <stp xml:space="preserve"> EQUITY</stp>
        <stp>BEST_PX_SALES_RATIO</stp>
        <stp>[XIDA.xlsm]DataH!R49C12</stp>
        <stp>BEST_FPERIOD_OVERRIDE</stp>
        <stp>15BC</stp>
        <stp>EQY_CONSOLIDATED</stp>
        <stp>Y</stp>
        <tr r="L49" s="16"/>
      </tp>
      <tp t="s">
        <v>#N/A Requesting Data...</v>
        <stp/>
        <stp>##V3_BDSV12</stp>
        <stp>AAPL US EQUITY</stp>
        <stp>BEST_NET_INC_GAAP_BRK_GRID</stp>
        <stp>[XIDA.xlsm]DataH!R8C89</stp>
        <stp>BEST_FPERIOD_OVERRIDE</stp>
        <stp>3FQ</stp>
        <stp>STARTCOL=1</stp>
        <stp>ENDCOL=1</stp>
        <stp>EQY_FUND_CRNCY</stp>
        <stp>USD</stp>
        <stp>BEST_CONSOLIDATED_OVERRIDE</stp>
        <stp>C</stp>
        <tr r="CK8" s="16"/>
      </tp>
      <tp>
        <v>294</v>
        <stp/>
        <stp>##V3_BDPV12</stp>
        <stp>AAPL US EQUITY</stp>
        <stp>NON_CUR_LIAB</stp>
        <stp>[XIDA.xlsm]Financials!R67C7</stp>
        <stp>EQY_FUND_RELATIVE_PERIOD</stp>
        <stp>-10FY</stp>
        <stp>EQY_FUND_CRNCY</stp>
        <stp>USD</stp>
        <stp>EQY_CONSOLIDATED</stp>
        <stp>Y</stp>
        <stp>Fill=B</stp>
        <tr r="G67" s="8"/>
      </tp>
      <tp>
        <v>38.157000000000004</v>
        <stp/>
        <stp>##V3_BDPV12</stp>
        <stp>AAPL US EQUITY</stp>
        <stp>BEST_ROE</stp>
        <stp>[XIDA.xlsm]Financials!R131C19</stp>
        <stp>BEST_FPERIOD_OVERRIDE</stp>
        <stp>2FY</stp>
        <stp>EQY_FUND_CRNCY</stp>
        <stp>USD</stp>
        <stp>BEST_CONSOLIDATED_OVERRIDE</stp>
        <stp>C</stp>
        <stp>Fill=0</stp>
        <tr r="S131" s="8"/>
      </tp>
      <tp>
        <v>18.327000000000002</v>
        <stp/>
        <stp>##V3_BDPV12</stp>
        <stp>AAPL US EQUITY</stp>
        <stp>BEST_ROA</stp>
        <stp>[XIDA.xlsm]Financials!R130C19</stp>
        <stp>BEST_FPERIOD_OVERRIDE</stp>
        <stp>2FY</stp>
        <stp>EQY_FUND_CRNCY</stp>
        <stp>USD</stp>
        <stp>BEST_CONSOLIDATED_OVERRIDE</stp>
        <stp>C</stp>
        <stp>Fill=0</stp>
        <tr r="S130" s="8"/>
      </tp>
      <tp>
        <v>38.805</v>
        <stp/>
        <stp>##V3_BDPV12</stp>
        <stp>AAPL US EQUITY</stp>
        <stp>BEST_ROE</stp>
        <stp>[XIDA.xlsm]Financials!R131C18</stp>
        <stp>BEST_FPERIOD_OVERRIDE</stp>
        <stp>1FY</stp>
        <stp>EQY_FUND_CRNCY</stp>
        <stp>USD</stp>
        <stp>BEST_CONSOLIDATED_OVERRIDE</stp>
        <stp>C</stp>
        <stp>Fill=0</stp>
        <tr r="R131" s="8"/>
      </tp>
      <tp>
        <v>20.016000000000002</v>
        <stp/>
        <stp>##V3_BDPV12</stp>
        <stp>AAPL US EQUITY</stp>
        <stp>BEST_ROA</stp>
        <stp>[XIDA.xlsm]Financials!R130C18</stp>
        <stp>BEST_FPERIOD_OVERRIDE</stp>
        <stp>1FY</stp>
        <stp>EQY_FUND_CRNCY</stp>
        <stp>USD</stp>
        <stp>BEST_CONSOLIDATED_OVERRIDE</stp>
        <stp>C</stp>
        <stp>Fill=0</stp>
        <tr r="R130" s="8"/>
      </tp>
      <tp t="s">
        <v>-</v>
        <stp/>
        <stp>##V3_BDPV12</stp>
        <stp>AAPL US EQUITY</stp>
        <stp>INTEREST_COVERAGE_RATIO</stp>
        <stp>[XIDA.xlsm]Overview!R53C5</stp>
        <stp>EQY_FUND_RELATIVE_PERIOD</stp>
        <stp>-3FY</stp>
        <stp>EQY_CONSOLIDATED</stp>
        <stp>Y</stp>
        <stp>Fill=-</stp>
        <tr r="E53" s="3"/>
      </tp>
      <tp>
        <v>360.28676470588238</v>
        <stp/>
        <stp>##V3_BDPV12</stp>
        <stp>AAPL US EQUITY</stp>
        <stp>INTEREST_COVERAGE_RATIO</stp>
        <stp>[XIDA.xlsm]Overview!R53C7</stp>
        <stp>EQY_FUND_RELATIVE_PERIOD</stp>
        <stp>-1FY</stp>
        <stp>EQY_CONSOLIDATED</stp>
        <stp>Y</stp>
        <stp>Fill=-</stp>
        <tr r="G53" s="3"/>
      </tp>
      <tp t="s">
        <v>-</v>
        <stp/>
        <stp>##V3_BDPV12</stp>
        <stp>AAPL US EQUITY</stp>
        <stp>INTEREST_COVERAGE_RATIO</stp>
        <stp>[XIDA.xlsm]Overview!R53C6</stp>
        <stp>EQY_FUND_RELATIVE_PERIOD</stp>
        <stp>-2FY</stp>
        <stp>EQY_CONSOLIDATED</stp>
        <stp>Y</stp>
        <stp>Fill=-</stp>
        <tr r="F53" s="3"/>
      </tp>
      <tp>
        <v>136.7265625</v>
        <stp/>
        <stp>##V3_BDPV12</stp>
        <stp>AAPL US EQUITY</stp>
        <stp>INTEREST_COVERAGE_RATIO</stp>
        <stp>[XIDA.xlsm]Overview!R53C8</stp>
        <stp>EQY_FUND_RELATIVE_PERIOD</stp>
        <stp>-0FY</stp>
        <stp>EQY_CONSOLIDATED</stp>
        <stp>Y</stp>
        <stp>Fill=-</stp>
        <tr r="H53" s="3"/>
      </tp>
      <tp>
        <v>3491</v>
        <stp/>
        <stp>##V3_BDPV12</stp>
        <stp>AAPL US EQUITY</stp>
        <stp>BS_CASH_NEAR_CASH_ITEM</stp>
        <stp>[XIDA.xlsm]Financials!R49C8</stp>
        <stp>EQY_FUND_RELATIVE_PERIOD</stp>
        <stp>-9FY</stp>
        <stp>EQY_FUND_CRNCY</stp>
        <stp>USD</stp>
        <stp>EQY_CONSOLIDATED</stp>
        <stp>Y</stp>
        <stp>Fill=B</stp>
        <tr r="H49" s="8"/>
      </tp>
      <tp>
        <v>6392</v>
        <stp/>
        <stp>##V3_BDPV12</stp>
        <stp>AAPL US EQUITY</stp>
        <stp>BS_CASH_NEAR_CASH_ITEM</stp>
        <stp>[XIDA.xlsm]Financials!R49C9</stp>
        <stp>EQY_FUND_RELATIVE_PERIOD</stp>
        <stp>-8FY</stp>
        <stp>EQY_FUND_CRNCY</stp>
        <stp>USD</stp>
        <stp>EQY_CONSOLIDATED</stp>
        <stp>Y</stp>
        <stp>Fill=B</stp>
        <tr r="I49" s="8"/>
      </tp>
      <tp>
        <v>349</v>
        <stp/>
        <stp>##V3_BDPV12</stp>
        <stp>AAPL US EQUITY</stp>
        <stp>IS_OPER_INC</stp>
        <stp>[XIDA.xlsm]Financials!R21C7</stp>
        <stp>EQY_FUND_RELATIVE_PERIOD</stp>
        <stp>-10FY</stp>
        <stp>EQY_FUND_CRNCY</stp>
        <stp>USD</stp>
        <stp>EQY_CONSOLIDATED</stp>
        <stp>Y</stp>
        <stp>Fill=B</stp>
        <tr r="G21" s="8"/>
      </tp>
      <tp t="s">
        <v>Technology Hardware, Storage &amp;</v>
        <stp/>
        <stp>##V3_BDPV12</stp>
        <stp>AAPL US EQUITY</stp>
        <stp>GICS_SUB_INDUSTRY_NAME</stp>
        <stp>[XIDA.xlsm]Peers!R17C8</stp>
        <tr r="H17" s="4"/>
      </tp>
      <tp>
        <v>2.5202454394157883</v>
        <stp/>
        <stp>##V3_BDPV12</stp>
        <stp>AAPL US EQUITY</stp>
        <stp>BEST_PX_SALES_RATIO</stp>
        <stp>[XIDA.xlsm]Overview!R36C9</stp>
        <stp>BEST_FPERIOD_OVERRIDE</stp>
        <stp>1FY</stp>
        <stp>BEST_CONSOLIDATED_OVERRIDE</stp>
        <stp>C</stp>
        <stp>Fill=-</stp>
        <tr r="I36" s="3"/>
      </tp>
      <tp>
        <v>4735</v>
        <stp/>
        <stp>##V3_BDPV12</stp>
        <stp>AAPL US EQUITY</stp>
        <stp>CF_FREE_CASH_FLOW</stp>
        <stp>[XIDA.xlsm]Financials!R109C10</stp>
        <stp>EQY_FUND_RELATIVE_PERIOD</stp>
        <stp>-7FY</stp>
        <stp>EQY_FUND_CRNCY</stp>
        <stp>USD</stp>
        <stp>EQY_CONSOLIDATED</stp>
        <stp>Y</stp>
        <stp>Fill=B</stp>
        <tr r="J109" s="8"/>
      </tp>
      <tp>
        <v>8505</v>
        <stp/>
        <stp>##V3_BDPV12</stp>
        <stp>AAPL US EQUITY</stp>
        <stp>CF_FREE_CASH_FLOW</stp>
        <stp>[XIDA.xlsm]Financials!R109C11</stp>
        <stp>EQY_FUND_RELATIVE_PERIOD</stp>
        <stp>-6FY</stp>
        <stp>EQY_FUND_CRNCY</stp>
        <stp>USD</stp>
        <stp>EQY_CONSOLIDATED</stp>
        <stp>Y</stp>
        <stp>Fill=B</stp>
        <tr r="K109" s="8"/>
      </tp>
      <tp>
        <v>9015</v>
        <stp/>
        <stp>##V3_BDPV12</stp>
        <stp>AAPL US EQUITY</stp>
        <stp>CF_FREE_CASH_FLOW</stp>
        <stp>[XIDA.xlsm]Financials!R109C12</stp>
        <stp>EQY_FUND_RELATIVE_PERIOD</stp>
        <stp>-5FY</stp>
        <stp>EQY_FUND_CRNCY</stp>
        <stp>USD</stp>
        <stp>EQY_CONSOLIDATED</stp>
        <stp>Y</stp>
        <stp>Fill=B</stp>
        <tr r="L109" s="8"/>
      </tp>
      <tp>
        <v>16590</v>
        <stp/>
        <stp>##V3_BDPV12</stp>
        <stp>AAPL US EQUITY</stp>
        <stp>CF_FREE_CASH_FLOW</stp>
        <stp>[XIDA.xlsm]Financials!R109C13</stp>
        <stp>EQY_FUND_RELATIVE_PERIOD</stp>
        <stp>-4FY</stp>
        <stp>EQY_FUND_CRNCY</stp>
        <stp>USD</stp>
        <stp>EQY_CONSOLIDATED</stp>
        <stp>Y</stp>
        <stp>Fill=B</stp>
        <tr r="M109" s="8"/>
      </tp>
      <tp>
        <v>33269</v>
        <stp/>
        <stp>##V3_BDPV12</stp>
        <stp>AAPL US EQUITY</stp>
        <stp>CF_FREE_CASH_FLOW</stp>
        <stp>[XIDA.xlsm]Financials!R109C14</stp>
        <stp>EQY_FUND_RELATIVE_PERIOD</stp>
        <stp>-3FY</stp>
        <stp>EQY_FUND_CRNCY</stp>
        <stp>USD</stp>
        <stp>EQY_CONSOLIDATED</stp>
        <stp>Y</stp>
        <stp>Fill=B</stp>
        <tr r="N109" s="8"/>
      </tp>
      <tp>
        <v>42561</v>
        <stp/>
        <stp>##V3_BDPV12</stp>
        <stp>AAPL US EQUITY</stp>
        <stp>CF_FREE_CASH_FLOW</stp>
        <stp>[XIDA.xlsm]Financials!R109C15</stp>
        <stp>EQY_FUND_RELATIVE_PERIOD</stp>
        <stp>-2FY</stp>
        <stp>EQY_FUND_CRNCY</stp>
        <stp>USD</stp>
        <stp>EQY_CONSOLIDATED</stp>
        <stp>Y</stp>
        <stp>Fill=B</stp>
        <tr r="O109" s="8"/>
      </tp>
      <tp>
        <v>45501</v>
        <stp/>
        <stp>##V3_BDPV12</stp>
        <stp>AAPL US EQUITY</stp>
        <stp>CF_FREE_CASH_FLOW</stp>
        <stp>[XIDA.xlsm]Financials!R109C16</stp>
        <stp>EQY_FUND_RELATIVE_PERIOD</stp>
        <stp>-1FY</stp>
        <stp>EQY_FUND_CRNCY</stp>
        <stp>USD</stp>
        <stp>EQY_CONSOLIDATED</stp>
        <stp>Y</stp>
        <stp>Fill=B</stp>
        <tr r="P109" s="8"/>
      </tp>
      <tp>
        <v>50142</v>
        <stp/>
        <stp>##V3_BDPV12</stp>
        <stp>AAPL US EQUITY</stp>
        <stp>CF_FREE_CASH_FLOW</stp>
        <stp>[XIDA.xlsm]Financials!R109C17</stp>
        <stp>EQY_FUND_RELATIVE_PERIOD</stp>
        <stp>-0FY</stp>
        <stp>EQY_FUND_CRNCY</stp>
        <stp>USD</stp>
        <stp>EQY_CONSOLIDATED</stp>
        <stp>Y</stp>
        <stp>Fill=B</stp>
        <tr r="Q109" s="8"/>
      </tp>
      <tp t="s">
        <v>02/2015</v>
        <stp/>
        <stp>##V3_BDPV12</stp>
        <stp>BB CN EQUITY</stp>
        <stp>EQY_FISCAL_YR_END</stp>
        <stp>[XIDA.xlsm]Peers!R19C29</stp>
        <tr r="AC19" s="4"/>
      </tp>
      <tp t="e">
        <v>#N/A</v>
        <stp/>
        <stp>##V3_BDHV12</stp>
        <stp>AAPL US EQUITY</stp>
        <stp>PX_LAST</stp>
        <stp>ED-18AM</stp>
        <stp/>
        <stp>[XIDA.xlsm]Ratings!R27C8</stp>
        <stp>PER=CD</stp>
        <stp>SORT=D</stp>
        <stp>DAYS=W</stp>
        <stp>Fill=P</stp>
        <stp>cols=2;rows=391</stp>
        <tr r="H27" s="11"/>
      </tp>
      <tp t="s">
        <v>#N/A Requesting Data...</v>
        <stp/>
        <stp>##V3_BDSV12</stp>
        <stp>AAPL US EQUITY</stp>
        <stp>BEST_SALES_BRK_GRID</stp>
        <stp>[XIDA.xlsm]DataH!R8C59</stp>
        <stp>BEST_FPERIOD_OVERRIDE</stp>
        <stp>3FQ</stp>
        <stp>STARTCOL=1</stp>
        <stp>ENDCOL=1</stp>
        <stp>EQY_FUND_CRNCY</stp>
        <stp>USD</stp>
        <stp>BEST_CONSOLIDATED_OVERRIDE</stp>
        <stp>C</stp>
        <tr r="BG8" s="16"/>
      </tp>
      <tp>
        <v>27.675000000000001</v>
        <stp/>
        <stp>##V3_BDPV12</stp>
        <stp>AAPL US EQUITY</stp>
        <stp>BEST_BPS</stp>
        <stp>[XIDA.xlsm]Financials!R81C19</stp>
        <stp>BEST_FPERIOD_OVERRIDE</stp>
        <stp>2FY</stp>
        <stp>EQY_FUND_CRNCY</stp>
        <stp>USD</stp>
        <stp>BEST_CONSOLIDATED_OVERRIDE</stp>
        <stp>C</stp>
        <stp>Fill=B</stp>
        <tr r="S81" s="8"/>
      </tp>
      <tp>
        <v>78989.118000000002</v>
        <stp/>
        <stp>##V3_BDPV12</stp>
        <stp>AAPL US EQUITY</stp>
        <stp>BEST_PTP</stp>
        <stp>[XIDA.xlsm]Financials!R26C20</stp>
        <stp>BEST_FPERIOD_OVERRIDE</stp>
        <stp>3FY</stp>
        <stp>EQY_FUND_CRNCY</stp>
        <stp>USD</stp>
        <stp>BEST_CONSOLIDATED_OVERRIDE</stp>
        <stp>C</stp>
        <stp>Fill=B</stp>
        <tr r="T26" s="8"/>
      </tp>
      <tp>
        <v>22.69</v>
        <stp/>
        <stp>##V3_BDPV12</stp>
        <stp>AAPL US EQUITY</stp>
        <stp>BEST_BPS</stp>
        <stp>[XIDA.xlsm]Financials!R81C18</stp>
        <stp>BEST_FPERIOD_OVERRIDE</stp>
        <stp>1FY</stp>
        <stp>EQY_FUND_CRNCY</stp>
        <stp>USD</stp>
        <stp>BEST_CONSOLIDATED_OVERRIDE</stp>
        <stp>C</stp>
        <stp>Fill=B</stp>
        <tr r="R81" s="8"/>
      </tp>
      <tp>
        <v>78939</v>
        <stp/>
        <stp>##V3_BDPV12</stp>
        <stp>AAPL US EQUITY</stp>
        <stp>BEST_OPP</stp>
        <stp>[XIDA.xlsm]Financials!R21C20</stp>
        <stp>BEST_FPERIOD_OVERRIDE</stp>
        <stp>3FY</stp>
        <stp>EQY_FUND_CRNCY</stp>
        <stp>USD</stp>
        <stp>BEST_CONSOLIDATED_OVERRIDE</stp>
        <stp>C</stp>
        <stp>Fill=B</stp>
        <tr r="T21" s="8"/>
      </tp>
      <tp>
        <v>1.9830000000000001</v>
        <stp/>
        <stp>##V3_BDPV12</stp>
        <stp>AAPL US EQUITY</stp>
        <stp>BEST_DPS</stp>
        <stp>[XIDA.xlsm]Financials!R37C18</stp>
        <stp>BEST_FPERIOD_OVERRIDE</stp>
        <stp>1FY</stp>
        <stp>EQY_FUND_CRNCY</stp>
        <stp>USD</stp>
        <stp>BEST_CONSOLIDATED_OVERRIDE</stp>
        <stp>C</stp>
        <stp>Fill=B</stp>
        <tr r="R37" s="8"/>
      </tp>
      <tp>
        <v>9.1310000000000002</v>
        <stp/>
        <stp>##V3_BDPV12</stp>
        <stp>AAPL US EQUITY</stp>
        <stp>BEST_EPS</stp>
        <stp>[XIDA.xlsm]Financials!R36C18</stp>
        <stp>BEST_FPERIOD_OVERRIDE</stp>
        <stp>1FY</stp>
        <stp>EQY_FUND_CRNCY</stp>
        <stp>USD</stp>
        <stp>BEST_CONSOLIDATED_OVERRIDE</stp>
        <stp>C</stp>
        <stp>Fill=B</stp>
        <tr r="R36" s="8"/>
      </tp>
      <tp>
        <v>2.161</v>
        <stp/>
        <stp>##V3_BDPV12</stp>
        <stp>AAPL US EQUITY</stp>
        <stp>BEST_DPS</stp>
        <stp>[XIDA.xlsm]Financials!R37C19</stp>
        <stp>BEST_FPERIOD_OVERRIDE</stp>
        <stp>2FY</stp>
        <stp>EQY_FUND_CRNCY</stp>
        <stp>USD</stp>
        <stp>BEST_CONSOLIDATED_OVERRIDE</stp>
        <stp>C</stp>
        <stp>Fill=B</stp>
        <tr r="S37" s="8"/>
      </tp>
      <tp>
        <v>9.7580000000000009</v>
        <stp/>
        <stp>##V3_BDPV12</stp>
        <stp>AAPL US EQUITY</stp>
        <stp>BEST_EPS</stp>
        <stp>[XIDA.xlsm]Financials!R36C19</stp>
        <stp>BEST_FPERIOD_OVERRIDE</stp>
        <stp>2FY</stp>
        <stp>EQY_FUND_CRNCY</stp>
        <stp>USD</stp>
        <stp>BEST_CONSOLIDATED_OVERRIDE</stp>
        <stp>C</stp>
        <stp>Fill=B</stp>
        <tr r="S36" s="8"/>
      </tp>
      <tp t="s">
        <v>#N/A Requesting Data...</v>
        <stp/>
        <stp>##V3_BDSV12</stp>
        <stp>AAPL US EQUITY</stp>
        <stp>BEST_EBIT_BRK_GRID</stp>
        <stp>[XIDA.xlsm]DataH!R8C71</stp>
        <stp>BEST_FPERIOD_OVERRIDE</stp>
        <stp>1FQ</stp>
        <stp>STARTCOL=1</stp>
        <stp>ENDCOL=1</stp>
        <stp>EQY_FUND_CRNCY</stp>
        <stp>USD</stp>
        <stp>BEST_CONSOLIDATED_OVERRIDE</stp>
        <stp>C</stp>
        <tr r="BS8" s="16"/>
      </tp>
      <tp>
        <v>5671.6873721756956</v>
        <stp/>
        <stp>##V3_BDPV12</stp>
        <stp>066570 KS EQUITY</stp>
        <stp>CRNCY_ADJ_MKT_CAP</stp>
        <stp>[XIDA.xlsm]Peers!R21C14</stp>
        <stp>EQY_FUND_CRNCY</stp>
        <stp>USD</stp>
        <tr r="N21" s="4"/>
        <tr r="N21" s="4"/>
      </tp>
      <tp>
        <v>26.446280991735538</v>
        <stp/>
        <stp>##V3_BDPV12</stp>
        <stp>AAPL US EQUITY</stp>
        <stp>EFF_TAX_RATE</stp>
        <stp>[XIDA.xlsm]Financials!R146C8</stp>
        <stp>EQY_FUND_RELATIVE_PERIOD</stp>
        <stp>-9FY</stp>
        <stp>EQY_FUND_CRNCY</stp>
        <stp>USD</stp>
        <stp>EQY_CONSOLIDATED</stp>
        <stp>Y</stp>
        <stp>Fill=0</stp>
        <tr r="H146" s="8"/>
      </tp>
      <tp>
        <v>29.418026969481904</v>
        <stp/>
        <stp>##V3_BDPV12</stp>
        <stp>AAPL US EQUITY</stp>
        <stp>EFF_TAX_RATE</stp>
        <stp>[XIDA.xlsm]Financials!R146C9</stp>
        <stp>EQY_FUND_RELATIVE_PERIOD</stp>
        <stp>-8FY</stp>
        <stp>EQY_FUND_CRNCY</stp>
        <stp>USD</stp>
        <stp>EQY_CONSOLIDATED</stp>
        <stp>Y</stp>
        <stp>Fill=0</stp>
        <tr r="I146" s="8"/>
      </tp>
      <tp>
        <v>-30.18167</v>
        <stp/>
        <stp>##V3_BDPV12</stp>
        <stp>HPQ US EQUITY</stp>
        <stp>CUST_TRR_RETURN_HOLDING_PER</stp>
        <stp>[XIDA.xlsm]DataH!R27C7</stp>
        <stp>CUST_TRR_START_DT</stp>
        <stp>20150224</stp>
        <stp>CUST_TRR_END_DT</stp>
        <stp>20150824</stp>
        <stp>CUST_TRR_CRNCY</stp>
        <stp>USD</stp>
        <tr r="G27" s="16"/>
      </tp>
      <tp t="s">
        <v>Communications Equipment</v>
        <stp/>
        <stp>##V3_BDPV12</stp>
        <stp>ALU FP EQUITY</stp>
        <stp>GICS_SUB_INDUSTRY_NAME</stp>
        <stp>[XIDA.xlsm]Peers!R24C8</stp>
        <tr r="H24" s="4"/>
      </tp>
      <tp>
        <v>0</v>
        <stp/>
        <stp>##V3_BDPV12</stp>
        <stp>AAPL US EQUITY</stp>
        <stp>BS_LT_BORROW</stp>
        <stp>[XIDA.xlsm]Financials!R68C7</stp>
        <stp>EQY_FUND_RELATIVE_PERIOD</stp>
        <stp>-10FY</stp>
        <stp>EQY_FUND_CRNCY</stp>
        <stp>USD</stp>
        <stp>EQY_CONSOLIDATED</stp>
        <stp>Y</stp>
        <stp>Fill=B</stp>
        <tr r="G68" s="8"/>
      </tp>
      <tp t="s">
        <v>#N/A Requesting Data...</v>
        <stp/>
        <stp>##V3_BDSV12</stp>
        <stp>AAPL US EQUITY</stp>
        <stp>BEST_SALES_BRK_GRID</stp>
        <stp>[XIDA.xlsm]DataH!R8C58</stp>
        <stp>BEST_FPERIOD_OVERRIDE</stp>
        <stp>1FQ</stp>
        <stp>STARTCOL=6</stp>
        <stp>ENDCOL=6</stp>
        <stp>EQY_FUND_CRNCY</stp>
        <stp>USD</stp>
        <stp>BEST_CONSOLIDATED_OVERRIDE</stp>
        <stp>C</stp>
        <tr r="BF8" s="16"/>
      </tp>
      <tp>
        <v>2.3650000000000002</v>
        <stp/>
        <stp>##V3_BDPV12</stp>
        <stp>AAPL US EQUITY</stp>
        <stp>BEST_DPS</stp>
        <stp>[XIDA.xlsm]Financials!R37C20</stp>
        <stp>BEST_FPERIOD_OVERRIDE</stp>
        <stp>3FY</stp>
        <stp>EQY_FUND_CRNCY</stp>
        <stp>USD</stp>
        <stp>BEST_CONSOLIDATED_OVERRIDE</stp>
        <stp>C</stp>
        <stp>Fill=B</stp>
        <tr r="T37" s="8"/>
      </tp>
      <tp>
        <v>10.738</v>
        <stp/>
        <stp>##V3_BDPV12</stp>
        <stp>AAPL US EQUITY</stp>
        <stp>BEST_EPS</stp>
        <stp>[XIDA.xlsm]Financials!R36C20</stp>
        <stp>BEST_FPERIOD_OVERRIDE</stp>
        <stp>3FY</stp>
        <stp>EQY_FUND_CRNCY</stp>
        <stp>USD</stp>
        <stp>BEST_CONSOLIDATED_OVERRIDE</stp>
        <stp>C</stp>
        <stp>Fill=B</stp>
        <tr r="T36" s="8"/>
      </tp>
      <tp>
        <v>1.6737034786810001</v>
        <stp/>
        <stp>##V3_BDPV12</stp>
        <stp>AAPL US EQUITY</stp>
        <stp>PX_TO_SALES_RATIO</stp>
        <stp>[XIDA.xlsm]Financials!R121C7</stp>
        <stp>EQY_FUND_RELATIVE_PERIOD</stp>
        <stp>-10FY</stp>
        <stp>EQY_FUND_CRNCY</stp>
        <stp>USD</stp>
        <stp>EQY_CONSOLIDATED</stp>
        <stp>Y</stp>
        <stp>Fill=B</stp>
        <tr r="G121" s="8"/>
      </tp>
      <tp>
        <v>72017.205000000002</v>
        <stp/>
        <stp>##V3_BDPV12</stp>
        <stp>AAPL US EQUITY</stp>
        <stp>BEST_PTP</stp>
        <stp>[XIDA.xlsm]Financials!R26C18</stp>
        <stp>BEST_FPERIOD_OVERRIDE</stp>
        <stp>1FY</stp>
        <stp>EQY_FUND_CRNCY</stp>
        <stp>USD</stp>
        <stp>BEST_CONSOLIDATED_OVERRIDE</stp>
        <stp>C</stp>
        <stp>Fill=B</stp>
        <tr r="R26" s="8"/>
      </tp>
      <tp>
        <v>33.49</v>
        <stp/>
        <stp>##V3_BDPV12</stp>
        <stp>AAPL US EQUITY</stp>
        <stp>BEST_BPS</stp>
        <stp>[XIDA.xlsm]Financials!R81C20</stp>
        <stp>BEST_FPERIOD_OVERRIDE</stp>
        <stp>3FY</stp>
        <stp>EQY_FUND_CRNCY</stp>
        <stp>USD</stp>
        <stp>BEST_CONSOLIDATED_OVERRIDE</stp>
        <stp>C</stp>
        <stp>Fill=B</stp>
        <tr r="T81" s="8"/>
      </tp>
      <tp>
        <v>70784.553</v>
        <stp/>
        <stp>##V3_BDPV12</stp>
        <stp>AAPL US EQUITY</stp>
        <stp>BEST_OPP</stp>
        <stp>[XIDA.xlsm]Financials!R21C18</stp>
        <stp>BEST_FPERIOD_OVERRIDE</stp>
        <stp>1FY</stp>
        <stp>EQY_FUND_CRNCY</stp>
        <stp>USD</stp>
        <stp>BEST_CONSOLIDATED_OVERRIDE</stp>
        <stp>C</stp>
        <stp>Fill=B</stp>
        <tr r="R21" s="8"/>
      </tp>
      <tp>
        <v>73879.789000000004</v>
        <stp/>
        <stp>##V3_BDPV12</stp>
        <stp>AAPL US EQUITY</stp>
        <stp>BEST_PTP</stp>
        <stp>[XIDA.xlsm]Financials!R26C19</stp>
        <stp>BEST_FPERIOD_OVERRIDE</stp>
        <stp>2FY</stp>
        <stp>EQY_FUND_CRNCY</stp>
        <stp>USD</stp>
        <stp>BEST_CONSOLIDATED_OVERRIDE</stp>
        <stp>C</stp>
        <stp>Fill=B</stp>
        <tr r="S26" s="8"/>
      </tp>
      <tp>
        <v>73025.27</v>
        <stp/>
        <stp>##V3_BDPV12</stp>
        <stp>AAPL US EQUITY</stp>
        <stp>BEST_OPP</stp>
        <stp>[XIDA.xlsm]Financials!R21C19</stp>
        <stp>BEST_FPERIOD_OVERRIDE</stp>
        <stp>2FY</stp>
        <stp>EQY_FUND_CRNCY</stp>
        <stp>USD</stp>
        <stp>BEST_CONSOLIDATED_OVERRIDE</stp>
        <stp>C</stp>
        <stp>Fill=B</stp>
        <tr r="S21" s="8"/>
      </tp>
      <tp t="s">
        <v>#N/A Requesting Data...</v>
        <stp/>
        <stp>##V3_BDSV12</stp>
        <stp>AAPL US EQUITY</stp>
        <stp>BEST_EBIT_BRK_GRID</stp>
        <stp>[XIDA.xlsm]DataH!R8C72</stp>
        <stp>BEST_FPERIOD_OVERRIDE</stp>
        <stp>1FQ</stp>
        <stp>STARTCOL=4</stp>
        <stp>ENDCOL=4</stp>
        <stp>EQY_FUND_CRNCY</stp>
        <stp>USD</stp>
        <stp>BEST_CONSOLIDATED_OVERRIDE</stp>
        <stp>C</stp>
        <tr r="BT8" s="16"/>
      </tp>
      <tp t="s">
        <v>#N/A Requesting Data...</v>
        <stp/>
        <stp>##V3_BDSV12</stp>
        <stp>AAPL US EQUITY</stp>
        <stp>BEST_NET_INC_GAAP_BRK_GRID</stp>
        <stp>[XIDA.xlsm]DataH!R8C86</stp>
        <stp>BEST_FPERIOD_OVERRIDE</stp>
        <stp>1FQ</stp>
        <stp>STARTCOL=1</stp>
        <stp>ENDCOL=1</stp>
        <stp>EQY_FUND_CRNCY</stp>
        <stp>USD</stp>
        <stp>BEST_CONSOLIDATED_OVERRIDE</stp>
        <stp>C</stp>
        <tr r="CH8" s="16"/>
      </tp>
      <tp>
        <v>0</v>
        <stp/>
        <stp>##V3_BDPV12</stp>
        <stp>AAPL US EQUITY</stp>
        <stp>IS_FOREIGN_EXCH_LOSS</stp>
        <stp>[XIDA.xlsm]Financials!R23C10</stp>
        <stp>EQY_FUND_RELATIVE_PERIOD</stp>
        <stp>-7FY</stp>
        <stp>EQY_FUND_CRNCY</stp>
        <stp>USD</stp>
        <stp>EQY_CONSOLIDATED</stp>
        <stp>Y</stp>
        <stp>Fill=B</stp>
        <tr r="J23" s="8"/>
      </tp>
      <tp>
        <v>0</v>
        <stp/>
        <stp>##V3_BDPV12</stp>
        <stp>AAPL US EQUITY</stp>
        <stp>IS_FOREIGN_EXCH_LOSS</stp>
        <stp>[XIDA.xlsm]Financials!R23C11</stp>
        <stp>EQY_FUND_RELATIVE_PERIOD</stp>
        <stp>-6FY</stp>
        <stp>EQY_FUND_CRNCY</stp>
        <stp>USD</stp>
        <stp>EQY_CONSOLIDATED</stp>
        <stp>Y</stp>
        <stp>Fill=B</stp>
        <tr r="K23" s="8"/>
      </tp>
      <tp>
        <v>0</v>
        <stp/>
        <stp>##V3_BDPV12</stp>
        <stp>AAPL US EQUITY</stp>
        <stp>IS_FOREIGN_EXCH_LOSS</stp>
        <stp>[XIDA.xlsm]Financials!R23C12</stp>
        <stp>EQY_FUND_RELATIVE_PERIOD</stp>
        <stp>-5FY</stp>
        <stp>EQY_FUND_CRNCY</stp>
        <stp>USD</stp>
        <stp>EQY_CONSOLIDATED</stp>
        <stp>Y</stp>
        <stp>Fill=B</stp>
        <tr r="L23" s="8"/>
      </tp>
      <tp>
        <v>0</v>
        <stp/>
        <stp>##V3_BDPV12</stp>
        <stp>AAPL US EQUITY</stp>
        <stp>IS_FOREIGN_EXCH_LOSS</stp>
        <stp>[XIDA.xlsm]Financials!R23C13</stp>
        <stp>EQY_FUND_RELATIVE_PERIOD</stp>
        <stp>-4FY</stp>
        <stp>EQY_FUND_CRNCY</stp>
        <stp>USD</stp>
        <stp>EQY_CONSOLIDATED</stp>
        <stp>Y</stp>
        <stp>Fill=B</stp>
        <tr r="M23" s="8"/>
      </tp>
      <tp>
        <v>0</v>
        <stp/>
        <stp>##V3_BDPV12</stp>
        <stp>AAPL US EQUITY</stp>
        <stp>IS_FOREIGN_EXCH_LOSS</stp>
        <stp>[XIDA.xlsm]Financials!R23C14</stp>
        <stp>EQY_FUND_RELATIVE_PERIOD</stp>
        <stp>-3FY</stp>
        <stp>EQY_FUND_CRNCY</stp>
        <stp>USD</stp>
        <stp>EQY_CONSOLIDATED</stp>
        <stp>Y</stp>
        <stp>Fill=B</stp>
        <tr r="N23" s="8"/>
      </tp>
      <tp>
        <v>0</v>
        <stp/>
        <stp>##V3_BDPV12</stp>
        <stp>AAPL US EQUITY</stp>
        <stp>IS_FOREIGN_EXCH_LOSS</stp>
        <stp>[XIDA.xlsm]Financials!R23C15</stp>
        <stp>EQY_FUND_RELATIVE_PERIOD</stp>
        <stp>-2FY</stp>
        <stp>EQY_FUND_CRNCY</stp>
        <stp>USD</stp>
        <stp>EQY_CONSOLIDATED</stp>
        <stp>Y</stp>
        <stp>Fill=B</stp>
        <tr r="O23" s="8"/>
      </tp>
      <tp>
        <v>0</v>
        <stp/>
        <stp>##V3_BDPV12</stp>
        <stp>AAPL US EQUITY</stp>
        <stp>IS_FOREIGN_EXCH_LOSS</stp>
        <stp>[XIDA.xlsm]Financials!R23C16</stp>
        <stp>EQY_FUND_RELATIVE_PERIOD</stp>
        <stp>-1FY</stp>
        <stp>EQY_FUND_CRNCY</stp>
        <stp>USD</stp>
        <stp>EQY_CONSOLIDATED</stp>
        <stp>Y</stp>
        <stp>Fill=B</stp>
        <tr r="P23" s="8"/>
      </tp>
      <tp>
        <v>0</v>
        <stp/>
        <stp>##V3_BDPV12</stp>
        <stp>AAPL US EQUITY</stp>
        <stp>IS_FOREIGN_EXCH_LOSS</stp>
        <stp>[XIDA.xlsm]Financials!R23C17</stp>
        <stp>EQY_FUND_RELATIVE_PERIOD</stp>
        <stp>-0FY</stp>
        <stp>EQY_FUND_CRNCY</stp>
        <stp>USD</stp>
        <stp>EQY_CONSOLIDATED</stp>
        <stp>Y</stp>
        <stp>Fill=B</stp>
        <tr r="Q23" s="8"/>
      </tp>
      <tp>
        <v>782</v>
        <stp/>
        <stp>##V3_BDPV12</stp>
        <stp>AAPL US EQUITY</stp>
        <stp>IS_RD_EXPEND</stp>
        <stp>[XIDA.xlsm]Financials!R19C10</stp>
        <stp>EQY_FUND_RELATIVE_PERIOD</stp>
        <stp>-7FY</stp>
        <stp>EQY_FUND_CRNCY</stp>
        <stp>USD</stp>
        <stp>EQY_CONSOLIDATED</stp>
        <stp>Y</stp>
        <stp>Fill=B</stp>
        <tr r="J19" s="8"/>
      </tp>
      <tp>
        <v>1109</v>
        <stp/>
        <stp>##V3_BDPV12</stp>
        <stp>AAPL US EQUITY</stp>
        <stp>IS_RD_EXPEND</stp>
        <stp>[XIDA.xlsm]Financials!R19C11</stp>
        <stp>EQY_FUND_RELATIVE_PERIOD</stp>
        <stp>-6FY</stp>
        <stp>EQY_FUND_CRNCY</stp>
        <stp>USD</stp>
        <stp>EQY_CONSOLIDATED</stp>
        <stp>Y</stp>
        <stp>Fill=B</stp>
        <tr r="K19" s="8"/>
      </tp>
      <tp>
        <v>1333</v>
        <stp/>
        <stp>##V3_BDPV12</stp>
        <stp>AAPL US EQUITY</stp>
        <stp>IS_RD_EXPEND</stp>
        <stp>[XIDA.xlsm]Financials!R19C12</stp>
        <stp>EQY_FUND_RELATIVE_PERIOD</stp>
        <stp>-5FY</stp>
        <stp>EQY_FUND_CRNCY</stp>
        <stp>USD</stp>
        <stp>EQY_CONSOLIDATED</stp>
        <stp>Y</stp>
        <stp>Fill=B</stp>
        <tr r="L19" s="8"/>
      </tp>
      <tp>
        <v>1782</v>
        <stp/>
        <stp>##V3_BDPV12</stp>
        <stp>AAPL US EQUITY</stp>
        <stp>IS_RD_EXPEND</stp>
        <stp>[XIDA.xlsm]Financials!R19C13</stp>
        <stp>EQY_FUND_RELATIVE_PERIOD</stp>
        <stp>-4FY</stp>
        <stp>EQY_FUND_CRNCY</stp>
        <stp>USD</stp>
        <stp>EQY_CONSOLIDATED</stp>
        <stp>Y</stp>
        <stp>Fill=B</stp>
        <tr r="M19" s="8"/>
      </tp>
      <tp>
        <v>2429</v>
        <stp/>
        <stp>##V3_BDPV12</stp>
        <stp>AAPL US EQUITY</stp>
        <stp>IS_RD_EXPEND</stp>
        <stp>[XIDA.xlsm]Financials!R19C14</stp>
        <stp>EQY_FUND_RELATIVE_PERIOD</stp>
        <stp>-3FY</stp>
        <stp>EQY_FUND_CRNCY</stp>
        <stp>USD</stp>
        <stp>EQY_CONSOLIDATED</stp>
        <stp>Y</stp>
        <stp>Fill=B</stp>
        <tr r="N19" s="8"/>
      </tp>
      <tp>
        <v>3381</v>
        <stp/>
        <stp>##V3_BDPV12</stp>
        <stp>AAPL US EQUITY</stp>
        <stp>IS_RD_EXPEND</stp>
        <stp>[XIDA.xlsm]Financials!R19C15</stp>
        <stp>EQY_FUND_RELATIVE_PERIOD</stp>
        <stp>-2FY</stp>
        <stp>EQY_FUND_CRNCY</stp>
        <stp>USD</stp>
        <stp>EQY_CONSOLIDATED</stp>
        <stp>Y</stp>
        <stp>Fill=B</stp>
        <tr r="O19" s="8"/>
      </tp>
      <tp>
        <v>4475</v>
        <stp/>
        <stp>##V3_BDPV12</stp>
        <stp>AAPL US EQUITY</stp>
        <stp>IS_RD_EXPEND</stp>
        <stp>[XIDA.xlsm]Financials!R19C16</stp>
        <stp>EQY_FUND_RELATIVE_PERIOD</stp>
        <stp>-1FY</stp>
        <stp>EQY_FUND_CRNCY</stp>
        <stp>USD</stp>
        <stp>EQY_CONSOLIDATED</stp>
        <stp>Y</stp>
        <stp>Fill=B</stp>
        <tr r="P19" s="8"/>
      </tp>
      <tp>
        <v>6041</v>
        <stp/>
        <stp>##V3_BDPV12</stp>
        <stp>AAPL US EQUITY</stp>
        <stp>IS_RD_EXPEND</stp>
        <stp>[XIDA.xlsm]Financials!R19C17</stp>
        <stp>EQY_FUND_RELATIVE_PERIOD</stp>
        <stp>-0FY</stp>
        <stp>EQY_FUND_CRNCY</stp>
        <stp>USD</stp>
        <stp>EQY_CONSOLIDATED</stp>
        <stp>Y</stp>
        <stp>Fill=B</stp>
        <tr r="Q19" s="8"/>
      </tp>
      <tp>
        <v>34.683</v>
        <stp/>
        <stp>##V3_BDPV12</stp>
        <stp>AAPL US EQUITY</stp>
        <stp>BEST_ROE</stp>
        <stp>[XIDA.xlsm]Financials!R131C20</stp>
        <stp>BEST_FPERIOD_OVERRIDE</stp>
        <stp>3FY</stp>
        <stp>EQY_FUND_CRNCY</stp>
        <stp>USD</stp>
        <stp>BEST_CONSOLIDATED_OVERRIDE</stp>
        <stp>C</stp>
        <stp>Fill=0</stp>
        <tr r="T131" s="8"/>
      </tp>
      <tp>
        <v>17.148</v>
        <stp/>
        <stp>##V3_BDPV12</stp>
        <stp>AAPL US EQUITY</stp>
        <stp>BEST_ROA</stp>
        <stp>[XIDA.xlsm]Financials!R130C20</stp>
        <stp>BEST_FPERIOD_OVERRIDE</stp>
        <stp>3FY</stp>
        <stp>EQY_FUND_CRNCY</stp>
        <stp>USD</stp>
        <stp>BEST_CONSOLIDATED_OVERRIDE</stp>
        <stp>C</stp>
        <stp>Fill=0</stp>
        <tr r="T130" s="8"/>
      </tp>
      <tp>
        <v>-3</v>
        <stp/>
        <stp>##V3_BDPV12</stp>
        <stp>AAPL US EQUITY</stp>
        <stp>CF_OTHER_FNC_ACT</stp>
        <stp>[XIDA.xlsm]Financials!R104C10</stp>
        <stp>EQY_FUND_RELATIVE_PERIOD</stp>
        <stp>-7FY</stp>
        <stp>EQY_FUND_CRNCY</stp>
        <stp>USD</stp>
        <stp>EQY_CONSOLIDATED</stp>
        <stp>Y</stp>
        <stp>Fill=B</stp>
        <tr r="J104" s="8"/>
      </tp>
      <tp>
        <v>-124</v>
        <stp/>
        <stp>##V3_BDPV12</stp>
        <stp>AAPL US EQUITY</stp>
        <stp>CF_OTHER_FNC_ACT</stp>
        <stp>[XIDA.xlsm]Financials!R104C11</stp>
        <stp>EQY_FUND_RELATIVE_PERIOD</stp>
        <stp>-6FY</stp>
        <stp>EQY_FUND_CRNCY</stp>
        <stp>USD</stp>
        <stp>EQY_CONSOLIDATED</stp>
        <stp>Y</stp>
        <stp>Fill=B</stp>
        <tr r="K104" s="8"/>
      </tp>
      <tp>
        <v>-82</v>
        <stp/>
        <stp>##V3_BDPV12</stp>
        <stp>AAPL US EQUITY</stp>
        <stp>CF_OTHER_FNC_ACT</stp>
        <stp>[XIDA.xlsm]Financials!R104C12</stp>
        <stp>EQY_FUND_RELATIVE_PERIOD</stp>
        <stp>-5FY</stp>
        <stp>EQY_FUND_CRNCY</stp>
        <stp>USD</stp>
        <stp>EQY_CONSOLIDATED</stp>
        <stp>Y</stp>
        <stp>Fill=B</stp>
        <tr r="L104" s="8"/>
      </tp>
      <tp>
        <v>-406</v>
        <stp/>
        <stp>##V3_BDPV12</stp>
        <stp>AAPL US EQUITY</stp>
        <stp>CF_OTHER_FNC_ACT</stp>
        <stp>[XIDA.xlsm]Financials!R104C13</stp>
        <stp>EQY_FUND_RELATIVE_PERIOD</stp>
        <stp>-4FY</stp>
        <stp>EQY_FUND_CRNCY</stp>
        <stp>USD</stp>
        <stp>EQY_CONSOLIDATED</stp>
        <stp>Y</stp>
        <stp>Fill=B</stp>
        <tr r="M104" s="8"/>
      </tp>
      <tp>
        <v>-520</v>
        <stp/>
        <stp>##V3_BDPV12</stp>
        <stp>AAPL US EQUITY</stp>
        <stp>CF_OTHER_FNC_ACT</stp>
        <stp>[XIDA.xlsm]Financials!R104C14</stp>
        <stp>EQY_FUND_RELATIVE_PERIOD</stp>
        <stp>-3FY</stp>
        <stp>EQY_FUND_CRNCY</stp>
        <stp>USD</stp>
        <stp>EQY_CONSOLIDATED</stp>
        <stp>Y</stp>
        <stp>Fill=B</stp>
        <tr r="N104" s="8"/>
      </tp>
      <tp>
        <v>-1226</v>
        <stp/>
        <stp>##V3_BDPV12</stp>
        <stp>AAPL US EQUITY</stp>
        <stp>CF_OTHER_FNC_ACT</stp>
        <stp>[XIDA.xlsm]Financials!R104C15</stp>
        <stp>EQY_FUND_RELATIVE_PERIOD</stp>
        <stp>-2FY</stp>
        <stp>EQY_FUND_CRNCY</stp>
        <stp>USD</stp>
        <stp>EQY_CONSOLIDATED</stp>
        <stp>Y</stp>
        <stp>Fill=B</stp>
        <tr r="O104" s="8"/>
      </tp>
      <tp>
        <v>-1082</v>
        <stp/>
        <stp>##V3_BDPV12</stp>
        <stp>AAPL US EQUITY</stp>
        <stp>CF_OTHER_FNC_ACT</stp>
        <stp>[XIDA.xlsm]Financials!R104C16</stp>
        <stp>EQY_FUND_RELATIVE_PERIOD</stp>
        <stp>-1FY</stp>
        <stp>EQY_FUND_CRNCY</stp>
        <stp>USD</stp>
        <stp>EQY_CONSOLIDATED</stp>
        <stp>Y</stp>
        <stp>Fill=B</stp>
        <tr r="P104" s="8"/>
      </tp>
      <tp>
        <v>-1158</v>
        <stp/>
        <stp>##V3_BDPV12</stp>
        <stp>AAPL US EQUITY</stp>
        <stp>CF_OTHER_FNC_ACT</stp>
        <stp>[XIDA.xlsm]Financials!R104C17</stp>
        <stp>EQY_FUND_RELATIVE_PERIOD</stp>
        <stp>-0FY</stp>
        <stp>EQY_FUND_CRNCY</stp>
        <stp>USD</stp>
        <stp>EQY_CONSOLIDATED</stp>
        <stp>Y</stp>
        <stp>Fill=B</stp>
        <tr r="Q104" s="8"/>
      </tp>
      <tp t="s">
        <v>#N/A Requesting Data...</v>
        <stp/>
        <stp>##V3_BDSV12</stp>
        <stp>AAPL US EQUITY</stp>
        <stp>BEST_EBIT_BRK_GRID</stp>
        <stp>[XIDA.xlsm]DataH!R8C73</stp>
        <stp>BEST_FPERIOD_OVERRIDE</stp>
        <stp>1FQ</stp>
        <stp>STARTCOL=6</stp>
        <stp>ENDCOL=6</stp>
        <stp>EQY_FUND_CRNCY</stp>
        <stp>USD</stp>
        <stp>BEST_CONSOLIDATED_OVERRIDE</stp>
        <stp>C</stp>
        <tr r="BU8" s="16"/>
      </tp>
      <tp t="s">
        <v>#N/A Requesting Data...</v>
        <stp/>
        <stp>##V3_BDSV12</stp>
        <stp>AAPL US EQUITY</stp>
        <stp>BEST_NET_INC_GAAP_BRK_GRID</stp>
        <stp>[XIDA.xlsm]DataH!R8C87</stp>
        <stp>BEST_FPERIOD_OVERRIDE</stp>
        <stp>1FQ</stp>
        <stp>STARTCOL=4</stp>
        <stp>ENDCOL=4</stp>
        <stp>EQY_FUND_CRNCY</stp>
        <stp>USD</stp>
        <stp>BEST_CONSOLIDATED_OVERRIDE</stp>
        <stp>C</stp>
        <tr r="CI8" s="16"/>
      </tp>
      <tp>
        <v>2960</v>
        <stp/>
        <stp>##V3_BDPV12</stp>
        <stp>AAPL US EQUITY</stp>
        <stp>CF_NET_CHNG_CASH</stp>
        <stp>[XIDA.xlsm]Financials!R107C10</stp>
        <stp>EQY_FUND_RELATIVE_PERIOD</stp>
        <stp>-7FY</stp>
        <stp>EQY_FUND_CRNCY</stp>
        <stp>USD</stp>
        <stp>EQY_CONSOLIDATED</stp>
        <stp>Y</stp>
        <stp>Fill=B</stp>
        <tr r="J107" s="8"/>
      </tp>
      <tp>
        <v>2523</v>
        <stp/>
        <stp>##V3_BDPV12</stp>
        <stp>AAPL US EQUITY</stp>
        <stp>CF_NET_CHNG_CASH</stp>
        <stp>[XIDA.xlsm]Financials!R107C11</stp>
        <stp>EQY_FUND_RELATIVE_PERIOD</stp>
        <stp>-6FY</stp>
        <stp>EQY_FUND_CRNCY</stp>
        <stp>USD</stp>
        <stp>EQY_CONSOLIDATED</stp>
        <stp>Y</stp>
        <stp>Fill=B</stp>
        <tr r="K107" s="8"/>
      </tp>
      <tp>
        <v>-6612</v>
        <stp/>
        <stp>##V3_BDPV12</stp>
        <stp>AAPL US EQUITY</stp>
        <stp>CF_NET_CHNG_CASH</stp>
        <stp>[XIDA.xlsm]Financials!R107C12</stp>
        <stp>EQY_FUND_RELATIVE_PERIOD</stp>
        <stp>-5FY</stp>
        <stp>EQY_FUND_CRNCY</stp>
        <stp>USD</stp>
        <stp>EQY_CONSOLIDATED</stp>
        <stp>Y</stp>
        <stp>Fill=B</stp>
        <tr r="L107" s="8"/>
      </tp>
      <tp>
        <v>5998</v>
        <stp/>
        <stp>##V3_BDPV12</stp>
        <stp>AAPL US EQUITY</stp>
        <stp>CF_NET_CHNG_CASH</stp>
        <stp>[XIDA.xlsm]Financials!R107C13</stp>
        <stp>EQY_FUND_RELATIVE_PERIOD</stp>
        <stp>-4FY</stp>
        <stp>EQY_FUND_CRNCY</stp>
        <stp>USD</stp>
        <stp>EQY_CONSOLIDATED</stp>
        <stp>Y</stp>
        <stp>Fill=B</stp>
        <tr r="M107" s="8"/>
      </tp>
      <tp>
        <v>-1446</v>
        <stp/>
        <stp>##V3_BDPV12</stp>
        <stp>AAPL US EQUITY</stp>
        <stp>CF_NET_CHNG_CASH</stp>
        <stp>[XIDA.xlsm]Financials!R107C14</stp>
        <stp>EQY_FUND_RELATIVE_PERIOD</stp>
        <stp>-3FY</stp>
        <stp>EQY_FUND_CRNCY</stp>
        <stp>USD</stp>
        <stp>EQY_CONSOLIDATED</stp>
        <stp>Y</stp>
        <stp>Fill=B</stp>
        <tr r="N107" s="8"/>
      </tp>
      <tp>
        <v>931</v>
        <stp/>
        <stp>##V3_BDPV12</stp>
        <stp>AAPL US EQUITY</stp>
        <stp>CF_NET_CHNG_CASH</stp>
        <stp>[XIDA.xlsm]Financials!R107C15</stp>
        <stp>EQY_FUND_RELATIVE_PERIOD</stp>
        <stp>-2FY</stp>
        <stp>EQY_FUND_CRNCY</stp>
        <stp>USD</stp>
        <stp>EQY_CONSOLIDATED</stp>
        <stp>Y</stp>
        <stp>Fill=B</stp>
        <tr r="O107" s="8"/>
      </tp>
      <tp>
        <v>3513</v>
        <stp/>
        <stp>##V3_BDPV12</stp>
        <stp>AAPL US EQUITY</stp>
        <stp>CF_NET_CHNG_CASH</stp>
        <stp>[XIDA.xlsm]Financials!R107C16</stp>
        <stp>EQY_FUND_RELATIVE_PERIOD</stp>
        <stp>-1FY</stp>
        <stp>EQY_FUND_CRNCY</stp>
        <stp>USD</stp>
        <stp>EQY_CONSOLIDATED</stp>
        <stp>Y</stp>
        <stp>Fill=B</stp>
        <tr r="P107" s="8"/>
      </tp>
      <tp>
        <v>-415</v>
        <stp/>
        <stp>##V3_BDPV12</stp>
        <stp>AAPL US EQUITY</stp>
        <stp>CF_NET_CHNG_CASH</stp>
        <stp>[XIDA.xlsm]Financials!R107C17</stp>
        <stp>EQY_FUND_RELATIVE_PERIOD</stp>
        <stp>-0FY</stp>
        <stp>EQY_FUND_CRNCY</stp>
        <stp>USD</stp>
        <stp>EQY_CONSOLIDATED</stp>
        <stp>Y</stp>
        <stp>Fill=B</stp>
        <tr r="Q107" s="8"/>
      </tp>
      <tp t="s">
        <v>SONY CORP</v>
        <stp/>
        <stp>##V3_BDPV12</stp>
        <stp>6758 JP EQUITY</stp>
        <stp>NAME</stp>
        <stp>[XIDA.xlsm]Indices!R6C34</stp>
        <tr r="AH6" s="5"/>
      </tp>
      <tp>
        <v>543</v>
        <stp/>
        <stp>##V3_BDPV12</stp>
        <stp>AAPL US EQUITY</stp>
        <stp>CF_CASH_FROM_FNC_ACT</stp>
        <stp>[XIDA.xlsm]Financials!R105C8</stp>
        <stp>EQY_FUND_RELATIVE_PERIOD</stp>
        <stp>-9FY</stp>
        <stp>EQY_FUND_CRNCY</stp>
        <stp>USD</stp>
        <stp>EQY_CONSOLIDATED</stp>
        <stp>Y</stp>
        <stp>Fill=B</stp>
        <tr r="H105" s="8"/>
      </tp>
      <tp>
        <v>324</v>
        <stp/>
        <stp>##V3_BDPV12</stp>
        <stp>AAPL US EQUITY</stp>
        <stp>CF_CASH_FROM_FNC_ACT</stp>
        <stp>[XIDA.xlsm]Financials!R105C9</stp>
        <stp>EQY_FUND_RELATIVE_PERIOD</stp>
        <stp>-8FY</stp>
        <stp>EQY_FUND_CRNCY</stp>
        <stp>USD</stp>
        <stp>EQY_CONSOLIDATED</stp>
        <stp>Y</stp>
        <stp>Fill=B</stp>
        <tr r="I105" s="8"/>
      </tp>
      <tp>
        <v>0</v>
        <stp/>
        <stp>##V3_BDPV12</stp>
        <stp>AAPL US EQUITY</stp>
        <stp>DIVIDEND_YIELD</stp>
        <stp>[XIDA.xlsm]Financials!R123C8</stp>
        <stp>EQY_FUND_RELATIVE_PERIOD</stp>
        <stp>-9FY</stp>
        <stp>EQY_FUND_CRNCY</stp>
        <stp>USD</stp>
        <stp>EQY_CONSOLIDATED</stp>
        <stp>Y</stp>
        <tr r="H123" s="8"/>
        <tr r="H123" s="8"/>
      </tp>
      <tp>
        <v>0</v>
        <stp/>
        <stp>##V3_BDPV12</stp>
        <stp>AAPL US EQUITY</stp>
        <stp>DIVIDEND_YIELD</stp>
        <stp>[XIDA.xlsm]Financials!R123C9</stp>
        <stp>EQY_FUND_RELATIVE_PERIOD</stp>
        <stp>-8FY</stp>
        <stp>EQY_FUND_CRNCY</stp>
        <stp>USD</stp>
        <stp>EQY_CONSOLIDATED</stp>
        <stp>Y</stp>
        <tr r="I123" s="8"/>
        <tr r="I123" s="8"/>
      </tp>
      <tp>
        <v>10347</v>
        <stp/>
        <stp>##V3_BDPV12</stp>
        <stp>AAPL US EQUITY</stp>
        <stp>BS_TOT_LIAB2</stp>
        <stp>[XIDA.xlsm]Financials!R71C10</stp>
        <stp>EQY_FUND_RELATIVE_PERIOD</stp>
        <stp>-7FY</stp>
        <stp>EQY_FUND_CRNCY</stp>
        <stp>USD</stp>
        <stp>EQY_CONSOLIDATED</stp>
        <stp>Y</stp>
        <stp>Fill=B</stp>
        <tr r="J71" s="8"/>
      </tp>
      <tp>
        <v>13874</v>
        <stp/>
        <stp>##V3_BDPV12</stp>
        <stp>AAPL US EQUITY</stp>
        <stp>BS_TOT_LIAB2</stp>
        <stp>[XIDA.xlsm]Financials!R71C11</stp>
        <stp>EQY_FUND_RELATIVE_PERIOD</stp>
        <stp>-6FY</stp>
        <stp>EQY_FUND_CRNCY</stp>
        <stp>USD</stp>
        <stp>EQY_CONSOLIDATED</stp>
        <stp>Y</stp>
        <stp>Fill=B</stp>
        <tr r="K71" s="8"/>
      </tp>
      <tp>
        <v>15861</v>
        <stp/>
        <stp>##V3_BDPV12</stp>
        <stp>AAPL US EQUITY</stp>
        <stp>BS_TOT_LIAB2</stp>
        <stp>[XIDA.xlsm]Financials!R71C12</stp>
        <stp>EQY_FUND_RELATIVE_PERIOD</stp>
        <stp>-5FY</stp>
        <stp>EQY_FUND_CRNCY</stp>
        <stp>USD</stp>
        <stp>EQY_CONSOLIDATED</stp>
        <stp>Y</stp>
        <stp>Fill=B</stp>
        <tr r="L71" s="8"/>
      </tp>
      <tp>
        <v>27392</v>
        <stp/>
        <stp>##V3_BDPV12</stp>
        <stp>AAPL US EQUITY</stp>
        <stp>BS_TOT_LIAB2</stp>
        <stp>[XIDA.xlsm]Financials!R71C13</stp>
        <stp>EQY_FUND_RELATIVE_PERIOD</stp>
        <stp>-4FY</stp>
        <stp>EQY_FUND_CRNCY</stp>
        <stp>USD</stp>
        <stp>EQY_CONSOLIDATED</stp>
        <stp>Y</stp>
        <stp>Fill=B</stp>
        <tr r="M71" s="8"/>
      </tp>
      <tp>
        <v>39756</v>
        <stp/>
        <stp>##V3_BDPV12</stp>
        <stp>AAPL US EQUITY</stp>
        <stp>BS_TOT_LIAB2</stp>
        <stp>[XIDA.xlsm]Financials!R71C14</stp>
        <stp>EQY_FUND_RELATIVE_PERIOD</stp>
        <stp>-3FY</stp>
        <stp>EQY_FUND_CRNCY</stp>
        <stp>USD</stp>
        <stp>EQY_CONSOLIDATED</stp>
        <stp>Y</stp>
        <stp>Fill=B</stp>
        <tr r="N71" s="8"/>
      </tp>
      <tp>
        <v>57854</v>
        <stp/>
        <stp>##V3_BDPV12</stp>
        <stp>AAPL US EQUITY</stp>
        <stp>BS_TOT_LIAB2</stp>
        <stp>[XIDA.xlsm]Financials!R71C15</stp>
        <stp>EQY_FUND_RELATIVE_PERIOD</stp>
        <stp>-2FY</stp>
        <stp>EQY_FUND_CRNCY</stp>
        <stp>USD</stp>
        <stp>EQY_CONSOLIDATED</stp>
        <stp>Y</stp>
        <stp>Fill=B</stp>
        <tr r="O71" s="8"/>
      </tp>
      <tp>
        <v>83451</v>
        <stp/>
        <stp>##V3_BDPV12</stp>
        <stp>AAPL US EQUITY</stp>
        <stp>BS_TOT_LIAB2</stp>
        <stp>[XIDA.xlsm]Financials!R71C16</stp>
        <stp>EQY_FUND_RELATIVE_PERIOD</stp>
        <stp>-1FY</stp>
        <stp>EQY_FUND_CRNCY</stp>
        <stp>USD</stp>
        <stp>EQY_CONSOLIDATED</stp>
        <stp>Y</stp>
        <stp>Fill=B</stp>
        <tr r="P71" s="8"/>
      </tp>
      <tp>
        <v>120292</v>
        <stp/>
        <stp>##V3_BDPV12</stp>
        <stp>AAPL US EQUITY</stp>
        <stp>BS_TOT_LIAB2</stp>
        <stp>[XIDA.xlsm]Financials!R71C17</stp>
        <stp>EQY_FUND_RELATIVE_PERIOD</stp>
        <stp>-0FY</stp>
        <stp>EQY_FUND_CRNCY</stp>
        <stp>USD</stp>
        <stp>EQY_CONSOLIDATED</stp>
        <stp>Y</stp>
        <stp>Fill=B</stp>
        <tr r="Q71" s="8"/>
      </tp>
      <tp>
        <v>-599</v>
        <stp/>
        <stp>##V3_BDPV12</stp>
        <stp>AAPL US EQUITY</stp>
        <stp>IS_NET_NON_OPER_LOSS</stp>
        <stp>[XIDA.xlsm]Financials!R24C10</stp>
        <stp>EQY_FUND_RELATIVE_PERIOD</stp>
        <stp>-7FY</stp>
        <stp>EQY_FUND_CRNCY</stp>
        <stp>USD</stp>
        <stp>EQY_CONSOLIDATED</stp>
        <stp>Y</stp>
        <stp>Fill=B</stp>
        <tr r="J24" s="8"/>
      </tp>
      <tp>
        <v>-620</v>
        <stp/>
        <stp>##V3_BDPV12</stp>
        <stp>AAPL US EQUITY</stp>
        <stp>IS_NET_NON_OPER_LOSS</stp>
        <stp>[XIDA.xlsm]Financials!R24C11</stp>
        <stp>EQY_FUND_RELATIVE_PERIOD</stp>
        <stp>-6FY</stp>
        <stp>EQY_FUND_CRNCY</stp>
        <stp>USD</stp>
        <stp>EQY_CONSOLIDATED</stp>
        <stp>Y</stp>
        <stp>Fill=B</stp>
        <tr r="K24" s="8"/>
      </tp>
      <tp>
        <v>-326</v>
        <stp/>
        <stp>##V3_BDPV12</stp>
        <stp>AAPL US EQUITY</stp>
        <stp>IS_NET_NON_OPER_LOSS</stp>
        <stp>[XIDA.xlsm]Financials!R24C12</stp>
        <stp>EQY_FUND_RELATIVE_PERIOD</stp>
        <stp>-5FY</stp>
        <stp>EQY_FUND_CRNCY</stp>
        <stp>USD</stp>
        <stp>EQY_CONSOLIDATED</stp>
        <stp>Y</stp>
        <stp>Fill=B</stp>
        <tr r="L24" s="8"/>
      </tp>
      <tp>
        <v>-155</v>
        <stp/>
        <stp>##V3_BDPV12</stp>
        <stp>AAPL US EQUITY</stp>
        <stp>IS_NET_NON_OPER_LOSS</stp>
        <stp>[XIDA.xlsm]Financials!R24C13</stp>
        <stp>EQY_FUND_RELATIVE_PERIOD</stp>
        <stp>-4FY</stp>
        <stp>EQY_FUND_CRNCY</stp>
        <stp>USD</stp>
        <stp>EQY_CONSOLIDATED</stp>
        <stp>Y</stp>
        <stp>Fill=B</stp>
        <tr r="M24" s="8"/>
      </tp>
      <tp>
        <v>-415</v>
        <stp/>
        <stp>##V3_BDPV12</stp>
        <stp>AAPL US EQUITY</stp>
        <stp>IS_NET_NON_OPER_LOSS</stp>
        <stp>[XIDA.xlsm]Financials!R24C14</stp>
        <stp>EQY_FUND_RELATIVE_PERIOD</stp>
        <stp>-3FY</stp>
        <stp>EQY_FUND_CRNCY</stp>
        <stp>USD</stp>
        <stp>EQY_CONSOLIDATED</stp>
        <stp>Y</stp>
        <stp>Fill=B</stp>
        <tr r="N24" s="8"/>
      </tp>
      <tp>
        <v>-522</v>
        <stp/>
        <stp>##V3_BDPV12</stp>
        <stp>AAPL US EQUITY</stp>
        <stp>IS_NET_NON_OPER_LOSS</stp>
        <stp>[XIDA.xlsm]Financials!R24C15</stp>
        <stp>EQY_FUND_RELATIVE_PERIOD</stp>
        <stp>-2FY</stp>
        <stp>EQY_FUND_CRNCY</stp>
        <stp>USD</stp>
        <stp>EQY_CONSOLIDATED</stp>
        <stp>Y</stp>
        <stp>Fill=B</stp>
        <tr r="O24" s="8"/>
      </tp>
      <tp>
        <v>-1292</v>
        <stp/>
        <stp>##V3_BDPV12</stp>
        <stp>AAPL US EQUITY</stp>
        <stp>IS_NET_NON_OPER_LOSS</stp>
        <stp>[XIDA.xlsm]Financials!R24C16</stp>
        <stp>EQY_FUND_RELATIVE_PERIOD</stp>
        <stp>-1FY</stp>
        <stp>EQY_FUND_CRNCY</stp>
        <stp>USD</stp>
        <stp>EQY_CONSOLIDATED</stp>
        <stp>Y</stp>
        <stp>Fill=B</stp>
        <tr r="P24" s="8"/>
      </tp>
      <tp>
        <v>-1364</v>
        <stp/>
        <stp>##V3_BDPV12</stp>
        <stp>AAPL US EQUITY</stp>
        <stp>IS_NET_NON_OPER_LOSS</stp>
        <stp>[XIDA.xlsm]Financials!R24C17</stp>
        <stp>EQY_FUND_RELATIVE_PERIOD</stp>
        <stp>-0FY</stp>
        <stp>EQY_FUND_CRNCY</stp>
        <stp>USD</stp>
        <stp>EQY_CONSOLIDATED</stp>
        <stp>Y</stp>
        <stp>Fill=B</stp>
        <tr r="Q24" s="8"/>
      </tp>
      <tp t="s">
        <v>#N/A Invalid Security</v>
        <stp/>
        <stp>##V3_BDHV12</stp>
        <stp xml:space="preserve"> EQUITY</stp>
        <stp>CUR_MKT_CAP</stp>
        <stp>1/1/2015</stp>
        <stp>4/13/2015</stp>
        <stp>[XIDA.xlsm]MarketCapH!R4C9</stp>
        <stp>Dts=H</stp>
        <stp>FX=USD</stp>
        <stp>CDR=US</stp>
        <stp/>
        <stp>PER=CD</stp>
        <tr r="I4" s="7"/>
      </tp>
      <tp t="s">
        <v>07/2015</v>
        <stp/>
        <stp>##V3_BDPV12</stp>
        <stp>CSCO US EQUITY</stp>
        <stp>EQY_FISCAL_YR_END</stp>
        <stp>[XIDA.xlsm]Peers!R23C29</stp>
        <tr r="AC23" s="4"/>
      </tp>
      <tp>
        <v>0.30652089330965215</v>
        <stp/>
        <stp>##V3_BDPV12</stp>
        <stp>AAPL US EQUITY</stp>
        <stp>BEST_OPP_TO_SALES</stp>
        <stp>[XIDA.xlsm]Financials!R128C20</stp>
        <stp>BEST_FPERIOD_OVERRIDE</stp>
        <stp>3FY</stp>
        <stp>EQY_FUND_CRNCY</stp>
        <stp>USD</stp>
        <stp>BEST_CONSOLIDATED_OVERRIDE</stp>
        <stp>C</stp>
        <stp>Fill=B</stp>
        <tr r="T128" s="8"/>
      </tp>
      <tp>
        <v>1.1443847424515703</v>
        <stp/>
        <stp>##V3_BDPV12</stp>
        <stp>AAPL US EQUITY</stp>
        <stp>BETA_RAW_OVERRIDABLE</stp>
        <stp>[XIDA.xlsm]Overview!R22C6</stp>
        <stp>BETA_OVERRIDE_START_DT</stp>
        <stp>20140824</stp>
        <stp>BETA_OVERRIDE_END_DT</stp>
        <stp>20150824</stp>
        <stp>BETA_OVERRIDE_PERIOD</stp>
        <stp>D</stp>
        <stp>CRNCY</stp>
        <stp>USD</stp>
        <tr r="F22" s="3"/>
      </tp>
      <tp>
        <v>0</v>
        <stp/>
        <stp>##V3_BDPV12</stp>
        <stp>AAPL US EQUITY</stp>
        <stp>CF_DECR_CAP_STOCK</stp>
        <stp>[XIDA.xlsm]Financials!R103C7</stp>
        <stp>EQY_FUND_RELATIVE_PERIOD</stp>
        <stp>-10FY</stp>
        <stp>EQY_FUND_CRNCY</stp>
        <stp>USD</stp>
        <stp>EQY_CONSOLIDATED</stp>
        <stp>Y</stp>
        <stp>Fill=B</stp>
        <tr r="G103" s="8"/>
      </tp>
      <tp t="s">
        <v>SONY CORP</v>
        <stp/>
        <stp>##V3_BDPV12</stp>
        <stp>6758 JP EQUITY</stp>
        <stp>NAME</stp>
        <stp>[XIDA.xlsm]Peers!R20C5</stp>
        <tr r="E20" s="4"/>
      </tp>
      <tp t="s">
        <v>Technology Hardware, Storage &amp;</v>
        <stp/>
        <stp>##V3_BDPV12</stp>
        <stp>AAPL US EQUITY</stp>
        <stp>GICS_INDUSTRY_NAME</stp>
        <stp>[XIDA.xlsm]Overview!R13C2</stp>
        <tr r="B13" s="3"/>
      </tp>
      <tp t="e">
        <v>#N/A</v>
        <stp/>
        <stp>##V3_BDSV12</stp>
        <stp>AAPL US EQUITY</stp>
        <stp>CIE_DES_BULK</stp>
        <stp>[XIDA.xlsm]DataH!R12C11</stp>
        <stp>StartCol=1</stp>
        <stp>EndCol=1</stp>
        <stp>StartRow=1</stp>
        <stp>EndRow=5</stp>
        <stp>cols=1;rows=5</stp>
        <tr r="K12" s="16"/>
      </tp>
      <tp>
        <v>53138.8</v>
        <stp/>
        <stp>##V3_BDPV12</stp>
        <stp>AAPL US EQUITY</stp>
        <stp>BEST_NET_INCOME</stp>
        <stp>[XIDA.xlsm]Financials!R35C18</stp>
        <stp>BEST_FPERIOD_OVERRIDE</stp>
        <stp>1FY</stp>
        <stp>EQY_FUND_CRNCY</stp>
        <stp>USD</stp>
        <stp>BEST_CONSOLIDATED_OVERRIDE</stp>
        <stp>C</stp>
        <stp>Fill=B</stp>
        <tr r="R35" s="8"/>
      </tp>
      <tp>
        <v>54529.075000000004</v>
        <stp/>
        <stp>##V3_BDPV12</stp>
        <stp>AAPL US EQUITY</stp>
        <stp>BEST_NET_INCOME</stp>
        <stp>[XIDA.xlsm]Financials!R35C19</stp>
        <stp>BEST_FPERIOD_OVERRIDE</stp>
        <stp>2FY</stp>
        <stp>EQY_FUND_CRNCY</stp>
        <stp>USD</stp>
        <stp>BEST_CONSOLIDATED_OVERRIDE</stp>
        <stp>C</stp>
        <stp>Fill=B</stp>
        <tr r="S35" s="8"/>
      </tp>
      <tp>
        <v>7810.2079628650008</v>
        <stp/>
        <stp>##V3_BDPV12</stp>
        <stp>ALU FP EQUITY</stp>
        <stp>CRNCY_ADJ_MKT_CAP</stp>
        <stp>[XIDA.xlsm]Peers!R24C13</stp>
        <tr r="M24" s="4"/>
        <tr r="M24" s="4"/>
      </tp>
      <tp>
        <v>257532.2</v>
        <stp/>
        <stp>##V3_BDPV12</stp>
        <stp>AAPL US EQUITY</stp>
        <stp>BEST_SALES</stp>
        <stp>[XIDA.xlsm]Financials!R127C20</stp>
        <stp>BEST_FPERIOD_OVERRIDE</stp>
        <stp>3FY</stp>
        <stp>BEST_CONSOLIDATED_OVERRIDE</stp>
        <stp>C</stp>
        <tr r="T127" s="8"/>
        <tr r="T127" s="8"/>
      </tp>
      <tp>
        <v>245657.14</v>
        <stp/>
        <stp>##V3_BDPV12</stp>
        <stp>AAPL US EQUITY</stp>
        <stp>BEST_SALES</stp>
        <stp>[XIDA.xlsm]Financials!R127C19</stp>
        <stp>BEST_FPERIOD_OVERRIDE</stp>
        <stp>2FY</stp>
        <stp>BEST_CONSOLIDATED_OVERRIDE</stp>
        <stp>C</stp>
        <tr r="S127" s="8"/>
        <tr r="S127" s="8"/>
      </tp>
      <tp>
        <v>233336.27900000001</v>
        <stp/>
        <stp>##V3_BDPV12</stp>
        <stp>AAPL US EQUITY</stp>
        <stp>BEST_SALES</stp>
        <stp>[XIDA.xlsm]Financials!R127C18</stp>
        <stp>BEST_FPERIOD_OVERRIDE</stp>
        <stp>1FY</stp>
        <stp>BEST_CONSOLIDATED_OVERRIDE</stp>
        <stp>C</stp>
        <tr r="R127" s="8"/>
        <tr r="R127" s="8"/>
      </tp>
      <tp>
        <v>0</v>
        <stp/>
        <stp>##V3_BDPV12</stp>
        <stp>AAPL US EQUITY</stp>
        <stp>IS_DIV_PER_SHR</stp>
        <stp>[XIDA.xlsm]Financials!R37C8</stp>
        <stp>EQY_FUND_RELATIVE_PERIOD</stp>
        <stp>-9FY</stp>
        <stp>EQY_FUND_CRNCY</stp>
        <stp>USD</stp>
        <stp>EQY_CONSOLIDATED</stp>
        <stp>Y</stp>
        <stp>Fill=B</stp>
        <tr r="H37" s="8"/>
      </tp>
      <tp>
        <v>0</v>
        <stp/>
        <stp>##V3_BDPV12</stp>
        <stp>AAPL US EQUITY</stp>
        <stp>IS_DIV_PER_SHR</stp>
        <stp>[XIDA.xlsm]Financials!R37C9</stp>
        <stp>EQY_FUND_RELATIVE_PERIOD</stp>
        <stp>-8FY</stp>
        <stp>EQY_FUND_CRNCY</stp>
        <stp>USD</stp>
        <stp>EQY_CONSOLIDATED</stp>
        <stp>Y</stp>
        <stp>Fill=B</stp>
        <tr r="I37" s="8"/>
      </tp>
      <tp>
        <v>3945</v>
        <stp/>
        <stp>##V3_BDPV12</stp>
        <stp>AAPL US EQUITY</stp>
        <stp>BS_RETAIN_EARN</stp>
        <stp>[XIDA.xlsm]Financials!R75C8</stp>
        <stp>EQY_FUND_RELATIVE_PERIOD</stp>
        <stp>-9FY</stp>
        <stp>EQY_FUND_CRNCY</stp>
        <stp>USD</stp>
        <stp>EQY_CONSOLIDATED</stp>
        <stp>Y</stp>
        <stp>Fill=B</stp>
        <tr r="H75" s="8"/>
      </tp>
      <tp>
        <v>5629</v>
        <stp/>
        <stp>##V3_BDPV12</stp>
        <stp>AAPL US EQUITY</stp>
        <stp>BS_RETAIN_EARN</stp>
        <stp>[XIDA.xlsm]Financials!R75C9</stp>
        <stp>EQY_FUND_RELATIVE_PERIOD</stp>
        <stp>-8FY</stp>
        <stp>EQY_FUND_CRNCY</stp>
        <stp>USD</stp>
        <stp>EQY_CONSOLIDATED</stp>
        <stp>Y</stp>
        <stp>Fill=B</stp>
        <tr r="I75" s="8"/>
      </tp>
      <tp t="s">
        <v>#N/A Requesting Data...</v>
        <stp/>
        <stp>##V3_BDSV12</stp>
        <stp>AAPL US EQUITY</stp>
        <stp>BEST_EBIT_BRK_GRID</stp>
        <stp>[XIDA.xlsm]DataH!R8C74</stp>
        <stp>BEST_FPERIOD_OVERRIDE</stp>
        <stp>3FQ</stp>
        <stp>STARTCOL=1</stp>
        <stp>ENDCOL=1</stp>
        <stp>EQY_FUND_CRNCY</stp>
        <stp>USD</stp>
        <stp>BEST_CONSOLIDATED_OVERRIDE</stp>
        <stp>C</stp>
        <tr r="BV8" s="16"/>
      </tp>
      <tp t="s">
        <v>#N/A Requesting Data...</v>
        <stp/>
        <stp>##V3_BDSV12</stp>
        <stp>AAPL US EQUITY</stp>
        <stp>BEST_NET_INC_GAAP_BRK_GRID</stp>
        <stp>[XIDA.xlsm]DataH!R8C90</stp>
        <stp>BEST_FPERIOD_OVERRIDE</stp>
        <stp>3FQ</stp>
        <stp>STARTCOL=4</stp>
        <stp>ENDCOL=4</stp>
        <stp>EQY_FUND_CRNCY</stp>
        <stp>USD</stp>
        <stp>BEST_CONSOLIDATED_OVERRIDE</stp>
        <stp>C</stp>
        <tr r="CL8" s="16"/>
      </tp>
      <tp>
        <v>57793.222000000002</v>
        <stp/>
        <stp>##V3_BDPV12</stp>
        <stp>AAPL US EQUITY</stp>
        <stp>BEST_NET_INCOME</stp>
        <stp>[XIDA.xlsm]Financials!R35C20</stp>
        <stp>BEST_FPERIOD_OVERRIDE</stp>
        <stp>3FY</stp>
        <stp>EQY_FUND_CRNCY</stp>
        <stp>USD</stp>
        <stp>BEST_CONSOLIDATED_OVERRIDE</stp>
        <stp>C</stp>
        <stp>Fill=B</stp>
        <tr r="T35" s="8"/>
      </tp>
      <tp>
        <v>-13.664389999999999</v>
        <stp/>
        <stp>##V3_BDPV12</stp>
        <stp>HPQ US EQUITY</stp>
        <stp>CUST_TRR_RETURN_HOLDING_PER</stp>
        <stp>[XIDA.xlsm]DataH!R27C6</stp>
        <stp>CUST_TRR_START_DT</stp>
        <stp>20150724</stp>
        <stp>CUST_TRR_END_DT</stp>
        <stp>20150824</stp>
        <stp>CUST_TRR_CRNCY</stp>
        <stp>USD</stp>
        <tr r="F27" s="16"/>
      </tp>
      <tp>
        <v>0.29726500113125148</v>
        <stp/>
        <stp>##V3_BDPV12</stp>
        <stp>AAPL US EQUITY</stp>
        <stp>BEST_OPP_TO_SALES</stp>
        <stp>[XIDA.xlsm]Financials!R128C19</stp>
        <stp>BEST_FPERIOD_OVERRIDE</stp>
        <stp>2FY</stp>
        <stp>EQY_FUND_CRNCY</stp>
        <stp>USD</stp>
        <stp>BEST_CONSOLIDATED_OVERRIDE</stp>
        <stp>C</stp>
        <stp>Fill=B</stp>
        <tr r="S128" s="8"/>
      </tp>
      <tp>
        <v>0.30335854031511317</v>
        <stp/>
        <stp>##V3_BDPV12</stp>
        <stp>AAPL US EQUITY</stp>
        <stp>BEST_OPP_TO_SALES</stp>
        <stp>[XIDA.xlsm]Financials!R128C18</stp>
        <stp>BEST_FPERIOD_OVERRIDE</stp>
        <stp>1FY</stp>
        <stp>EQY_FUND_CRNCY</stp>
        <stp>USD</stp>
        <stp>BEST_CONSOLIDATED_OVERRIDE</stp>
        <stp>C</stp>
        <stp>Fill=B</stp>
        <tr r="R128" s="8"/>
      </tp>
      <tp t="s">
        <v>#N/A Requesting Data...</v>
        <stp/>
        <stp>##V3_BDSV12</stp>
        <stp>AAPL US EQUITY</stp>
        <stp>BEST_EBIT_BRK_GRID</stp>
        <stp>[XIDA.xlsm]DataH!R8C75</stp>
        <stp>BEST_FPERIOD_OVERRIDE</stp>
        <stp>3FQ</stp>
        <stp>STARTCOL=4</stp>
        <stp>ENDCOL=4</stp>
        <stp>EQY_FUND_CRNCY</stp>
        <stp>USD</stp>
        <stp>BEST_CONSOLIDATED_OVERRIDE</stp>
        <stp>C</stp>
        <tr r="BW8" s="16"/>
      </tp>
      <tp>
        <v>480</v>
        <stp/>
        <stp>##V3_BDPV12</stp>
        <stp>AAPL US EQUITY</stp>
        <stp>IS_INC_TAX_EXP</stp>
        <stp>[XIDA.xlsm]Financials!R27C8</stp>
        <stp>EQY_FUND_RELATIVE_PERIOD</stp>
        <stp>-9FY</stp>
        <stp>EQY_FUND_CRNCY</stp>
        <stp>USD</stp>
        <stp>EQY_CONSOLIDATED</stp>
        <stp>Y</stp>
        <stp>Fill=B</stp>
        <tr r="H27" s="8"/>
      </tp>
      <tp>
        <v>829</v>
        <stp/>
        <stp>##V3_BDPV12</stp>
        <stp>AAPL US EQUITY</stp>
        <stp>IS_INC_TAX_EXP</stp>
        <stp>[XIDA.xlsm]Financials!R27C9</stp>
        <stp>EQY_FUND_RELATIVE_PERIOD</stp>
        <stp>-8FY</stp>
        <stp>EQY_FUND_CRNCY</stp>
        <stp>USD</stp>
        <stp>EQY_CONSOLIDATED</stp>
        <stp>Y</stp>
        <stp>Fill=B</stp>
        <tr r="I27" s="8"/>
      </tp>
      <tp>
        <v>588064.69264000002</v>
        <stp/>
        <stp>##V3_BDPV12</stp>
        <stp>AAPL US EQUITY</stp>
        <stp>CRNCY_ADJ_MKT_CAP</stp>
        <stp>[XIDA.xlsm]Peers!R17C13</stp>
        <tr r="M17" s="4"/>
      </tp>
    </main>
    <main first="bloomberg.rtd">
      <tp>
        <v>-18.726150000000001</v>
        <stp/>
        <stp>##V3_BDPV12</stp>
        <stp>ALU FP EQUITY</stp>
        <stp>CUST_TRR_RETURN_HOLDING_PER</stp>
        <stp>[XIDA.xlsm]DataH!R29C7</stp>
        <stp>CUST_TRR_START_DT</stp>
        <stp>20150224</stp>
        <stp>CUST_TRR_END_DT</stp>
        <stp>20150824</stp>
        <stp>CUST_TRR_CRNCY</stp>
        <stp>USD</stp>
        <tr r="G29" s="16"/>
      </tp>
      <tp>
        <v>2259</v>
        <stp/>
        <stp>##V3_BDPV12</stp>
        <stp>AAPL US EQUITY</stp>
        <stp>GROSS_PROFIT</stp>
        <stp>[XIDA.xlsm]Financials!R17C7</stp>
        <stp>EQY_FUND_RELATIVE_PERIOD</stp>
        <stp>-10FY</stp>
        <stp>EQY_FUND_CRNCY</stp>
        <stp>USD</stp>
        <stp>EQY_CONSOLIDATED</stp>
        <stp>Y</stp>
        <stp>Fill=B</stp>
        <tr r="G17" s="8"/>
      </tp>
      <tp t="s">
        <v>AA+</v>
        <stp/>
        <stp>##V3_BDPV12</stp>
        <stp>AAPL US EQUITY</stp>
        <stp>RTG_SP_LT_LC_ISSUER_CREDIT</stp>
        <stp>[XIDA.xlsm]Overview!R26C5</stp>
        <tr r="E26" s="3"/>
        <tr r="E26" s="3"/>
      </tp>
      <tp t="s">
        <v>#N/A Requesting Data...</v>
        <stp/>
        <stp>##V3_BDSV12</stp>
        <stp>AAPL US EQUITY</stp>
        <stp>BEST_ROE_BRK_GRID</stp>
        <stp>[XIDA.xlsm]DataH!R8C110</stp>
        <stp>BEST_FPERIOD_OVERRIDE</stp>
        <stp>3FQ</stp>
        <stp>STARTCOL=4</stp>
        <stp>ENDCOL=4</stp>
        <stp>EQY_FUND_CRNCY</stp>
        <stp>USD</stp>
        <stp>BEST_CONSOLIDATED_OVERRIDE</stp>
        <stp>C</stp>
        <tr r="DF8" s="16"/>
      </tp>
      <tp t="s">
        <v>#N/A Requesting Data...</v>
        <stp/>
        <stp>##V3_BDSV12</stp>
        <stp>AAPL US EQUITY</stp>
        <stp>BEST_ROA_BRK_GRID</stp>
        <stp>[XIDA.xlsm]DataH!R8C112</stp>
        <stp>BEST_FPERIOD_OVERRIDE</stp>
        <stp>1FQ</stp>
        <stp>STARTCOL=4</stp>
        <stp>ENDCOL=4</stp>
        <stp>EQY_FUND_CRNCY</stp>
        <stp>USD</stp>
        <stp>BEST_CONSOLIDATED_OVERRIDE</stp>
        <stp>C</stp>
        <tr r="DH8" s="16"/>
      </tp>
      <tp t="s">
        <v>#N/A Requesting Data...</v>
        <stp/>
        <stp>##V3_BDSV12</stp>
        <stp>AAPL US EQUITY</stp>
        <stp>BEST_BPS_BRK_GRID</stp>
        <stp>[XIDA.xlsm]DataH!R8C102</stp>
        <stp>BEST_FPERIOD_OVERRIDE</stp>
        <stp>1FQ</stp>
        <stp>STARTCOL=4</stp>
        <stp>ENDCOL=4</stp>
        <stp>EQY_FUND_CRNCY</stp>
        <stp>USD</stp>
        <stp>BEST_CONSOLIDATED_OVERRIDE</stp>
        <stp>C</stp>
        <tr r="CX8" s="16"/>
      </tp>
      <tp t="s">
        <v>#N/A Requesting Data...</v>
        <stp/>
        <stp>##V3_BDSV12</stp>
        <stp>AAPL US EQUITY</stp>
        <stp>BEST_DPS_BRK_GRID</stp>
        <stp>[XIDA.xlsm]DataH!R8C100</stp>
        <stp>BEST_FPERIOD_OVERRIDE</stp>
        <stp>3FQ</stp>
        <stp>STARTCOL=4</stp>
        <stp>ENDCOL=4</stp>
        <stp>EQY_FUND_CRNCY</stp>
        <stp>USD</stp>
        <stp>BEST_CONSOLIDATED_OVERRIDE</stp>
        <stp>C</stp>
        <tr r="CV8" s="16"/>
      </tp>
      <tp>
        <v>39.795000000000002</v>
        <stp/>
        <stp>##V3_BDPV12</stp>
        <stp>AAPL US EQUITY</stp>
        <stp>BEST_GROSS_MARGIN</stp>
        <stp>[XIDA.xlsm]Financials!R126C20</stp>
        <stp>BEST_FPERIOD_OVERRIDE</stp>
        <stp>3FY</stp>
        <stp>EQY_FUND_CRNCY</stp>
        <stp>USD</stp>
        <stp>BEST_CONSOLIDATED_OVERRIDE</stp>
        <stp>C</stp>
        <stp>Fill=0</stp>
        <tr r="T126" s="8"/>
      </tp>
      <tp>
        <v>0</v>
        <stp/>
        <stp>##V3_BDPV12</stp>
        <stp>AAPL US EQUITY</stp>
        <stp>BS_ST_BORROW</stp>
        <stp>[XIDA.xlsm]Financials!R64C10</stp>
        <stp>EQY_FUND_RELATIVE_PERIOD</stp>
        <stp>-7FY</stp>
        <stp>EQY_FUND_CRNCY</stp>
        <stp>USD</stp>
        <stp>EQY_CONSOLIDATED</stp>
        <stp>Y</stp>
        <stp>Fill=B</stp>
        <tr r="J64" s="8"/>
      </tp>
      <tp>
        <v>0</v>
        <stp/>
        <stp>##V3_BDPV12</stp>
        <stp>AAPL US EQUITY</stp>
        <stp>BS_ST_BORROW</stp>
        <stp>[XIDA.xlsm]Financials!R64C11</stp>
        <stp>EQY_FUND_RELATIVE_PERIOD</stp>
        <stp>-6FY</stp>
        <stp>EQY_FUND_CRNCY</stp>
        <stp>USD</stp>
        <stp>EQY_CONSOLIDATED</stp>
        <stp>Y</stp>
        <stp>Fill=B</stp>
        <tr r="K64" s="8"/>
      </tp>
      <tp>
        <v>0</v>
        <stp/>
        <stp>##V3_BDPV12</stp>
        <stp>AAPL US EQUITY</stp>
        <stp>BS_ST_BORROW</stp>
        <stp>[XIDA.xlsm]Financials!R64C12</stp>
        <stp>EQY_FUND_RELATIVE_PERIOD</stp>
        <stp>-5FY</stp>
        <stp>EQY_FUND_CRNCY</stp>
        <stp>USD</stp>
        <stp>EQY_CONSOLIDATED</stp>
        <stp>Y</stp>
        <stp>Fill=B</stp>
        <tr r="L64" s="8"/>
      </tp>
      <tp>
        <v>0</v>
        <stp/>
        <stp>##V3_BDPV12</stp>
        <stp>AAPL US EQUITY</stp>
        <stp>BS_ST_BORROW</stp>
        <stp>[XIDA.xlsm]Financials!R64C13</stp>
        <stp>EQY_FUND_RELATIVE_PERIOD</stp>
        <stp>-4FY</stp>
        <stp>EQY_FUND_CRNCY</stp>
        <stp>USD</stp>
        <stp>EQY_CONSOLIDATED</stp>
        <stp>Y</stp>
        <stp>Fill=B</stp>
        <tr r="M64" s="8"/>
      </tp>
      <tp>
        <v>0</v>
        <stp/>
        <stp>##V3_BDPV12</stp>
        <stp>AAPL US EQUITY</stp>
        <stp>BS_ST_BORROW</stp>
        <stp>[XIDA.xlsm]Financials!R64C14</stp>
        <stp>EQY_FUND_RELATIVE_PERIOD</stp>
        <stp>-3FY</stp>
        <stp>EQY_FUND_CRNCY</stp>
        <stp>USD</stp>
        <stp>EQY_CONSOLIDATED</stp>
        <stp>Y</stp>
        <stp>Fill=B</stp>
        <tr r="N64" s="8"/>
      </tp>
      <tp>
        <v>0</v>
        <stp/>
        <stp>##V3_BDPV12</stp>
        <stp>AAPL US EQUITY</stp>
        <stp>BS_ST_BORROW</stp>
        <stp>[XIDA.xlsm]Financials!R64C15</stp>
        <stp>EQY_FUND_RELATIVE_PERIOD</stp>
        <stp>-2FY</stp>
        <stp>EQY_FUND_CRNCY</stp>
        <stp>USD</stp>
        <stp>EQY_CONSOLIDATED</stp>
        <stp>Y</stp>
        <stp>Fill=B</stp>
        <tr r="O64" s="8"/>
      </tp>
      <tp>
        <v>0</v>
        <stp/>
        <stp>##V3_BDPV12</stp>
        <stp>AAPL US EQUITY</stp>
        <stp>BS_ST_BORROW</stp>
        <stp>[XIDA.xlsm]Financials!R64C16</stp>
        <stp>EQY_FUND_RELATIVE_PERIOD</stp>
        <stp>-1FY</stp>
        <stp>EQY_FUND_CRNCY</stp>
        <stp>USD</stp>
        <stp>EQY_CONSOLIDATED</stp>
        <stp>Y</stp>
        <stp>Fill=B</stp>
        <tr r="P64" s="8"/>
      </tp>
      <tp>
        <v>6308</v>
        <stp/>
        <stp>##V3_BDPV12</stp>
        <stp>AAPL US EQUITY</stp>
        <stp>BS_ST_BORROW</stp>
        <stp>[XIDA.xlsm]Financials!R64C17</stp>
        <stp>EQY_FUND_RELATIVE_PERIOD</stp>
        <stp>-0FY</stp>
        <stp>EQY_FUND_CRNCY</stp>
        <stp>USD</stp>
        <stp>EQY_CONSOLIDATED</stp>
        <stp>Y</stp>
        <stp>Fill=B</stp>
        <tr r="Q64" s="8"/>
      </tp>
      <tp t="s">
        <v>Technology Hardware, Storage &amp;</v>
        <stp/>
        <stp>##V3_BDPV12</stp>
        <stp>BB CN EQUITY</stp>
        <stp>GICS_SUB_INDUSTRY_NAME</stp>
        <stp>[XIDA.xlsm]Peers!R19C8</stp>
        <tr r="H19" s="4"/>
      </tp>
      <tp>
        <v>995</v>
        <stp/>
        <stp>##V3_BDPV12</stp>
        <stp>AAPL US EQUITY</stp>
        <stp>BS_TOT_NON_CUR_ASSET</stp>
        <stp>[XIDA.xlsm]Financials!R55C7</stp>
        <stp>EQY_FUND_RELATIVE_PERIOD</stp>
        <stp>-10FY</stp>
        <stp>EQY_FUND_CRNCY</stp>
        <stp>USD</stp>
        <stp>EQY_CONSOLIDATED</stp>
        <stp>Y</stp>
        <stp>Fill=B</stp>
        <tr r="G55" s="8"/>
      </tp>
      <tp t="s">
        <v>#N/A Requesting Data...</v>
        <stp/>
        <stp>##V3_BDSV12</stp>
        <stp>AAPL US EQUITY</stp>
        <stp>BEST_ROA_BRK_GRID</stp>
        <stp>[XIDA.xlsm]DataH!R8C113</stp>
        <stp>BEST_FPERIOD_OVERRIDE</stp>
        <stp>1FQ</stp>
        <stp>STARTCOL=6</stp>
        <stp>ENDCOL=6</stp>
        <stp>EQY_FUND_CRNCY</stp>
        <stp>USD</stp>
        <stp>BEST_CONSOLIDATED_OVERRIDE</stp>
        <stp>C</stp>
        <tr r="DI8" s="16"/>
      </tp>
      <tp>
        <v>9.2131530750010331</v>
        <stp/>
        <stp>##V3_BDPV12</stp>
        <stp>AAPL US EQUITY</stp>
        <stp>PX_TO_BOOK_RATIO</stp>
        <stp>[XIDA.xlsm]Financials!R122C10</stp>
        <stp>EQY_FUND_RELATIVE_PERIOD</stp>
        <stp>-7FY</stp>
        <stp>EQY_FUND_CRNCY</stp>
        <stp>USD</stp>
        <stp>EQY_CONSOLIDATED</stp>
        <stp>Y</stp>
        <stp>Fill=B</stp>
        <tr r="J122" s="8"/>
      </tp>
      <tp>
        <v>5.109159204266045</v>
        <stp/>
        <stp>##V3_BDPV12</stp>
        <stp>AAPL US EQUITY</stp>
        <stp>PX_TO_BOOK_RATIO</stp>
        <stp>[XIDA.xlsm]Financials!R122C11</stp>
        <stp>EQY_FUND_RELATIVE_PERIOD</stp>
        <stp>-6FY</stp>
        <stp>EQY_FUND_CRNCY</stp>
        <stp>USD</stp>
        <stp>EQY_CONSOLIDATED</stp>
        <stp>Y</stp>
        <stp>Fill=B</stp>
        <tr r="K122" s="8"/>
      </tp>
      <tp>
        <v>5.1863947229772451</v>
        <stp/>
        <stp>##V3_BDPV12</stp>
        <stp>AAPL US EQUITY</stp>
        <stp>PX_TO_BOOK_RATIO</stp>
        <stp>[XIDA.xlsm]Financials!R122C12</stp>
        <stp>EQY_FUND_RELATIVE_PERIOD</stp>
        <stp>-5FY</stp>
        <stp>EQY_FUND_CRNCY</stp>
        <stp>USD</stp>
        <stp>EQY_CONSOLIDATED</stp>
        <stp>Y</stp>
        <stp>Fill=B</stp>
        <tr r="L122" s="8"/>
      </tp>
      <tp>
        <v>5.6026524872047032</v>
        <stp/>
        <stp>##V3_BDPV12</stp>
        <stp>AAPL US EQUITY</stp>
        <stp>PX_TO_BOOK_RATIO</stp>
        <stp>[XIDA.xlsm]Financials!R122C13</stp>
        <stp>EQY_FUND_RELATIVE_PERIOD</stp>
        <stp>-4FY</stp>
        <stp>EQY_FUND_CRNCY</stp>
        <stp>USD</stp>
        <stp>EQY_CONSOLIDATED</stp>
        <stp>Y</stp>
        <stp>Fill=B</stp>
        <tr r="M122" s="8"/>
      </tp>
      <tp>
        <v>4.9038268106767609</v>
        <stp/>
        <stp>##V3_BDPV12</stp>
        <stp>AAPL US EQUITY</stp>
        <stp>PX_TO_BOOK_RATIO</stp>
        <stp>[XIDA.xlsm]Financials!R122C14</stp>
        <stp>EQY_FUND_RELATIVE_PERIOD</stp>
        <stp>-3FY</stp>
        <stp>EQY_FUND_CRNCY</stp>
        <stp>USD</stp>
        <stp>EQY_CONSOLIDATED</stp>
        <stp>Y</stp>
        <stp>Fill=B</stp>
        <tr r="N122" s="8"/>
      </tp>
      <tp>
        <v>5.300315987141528</v>
        <stp/>
        <stp>##V3_BDPV12</stp>
        <stp>AAPL US EQUITY</stp>
        <stp>PX_TO_BOOK_RATIO</stp>
        <stp>[XIDA.xlsm]Financials!R122C15</stp>
        <stp>EQY_FUND_RELATIVE_PERIOD</stp>
        <stp>-2FY</stp>
        <stp>EQY_FUND_CRNCY</stp>
        <stp>USD</stp>
        <stp>EQY_CONSOLIDATED</stp>
        <stp>Y</stp>
        <stp>Fill=B</stp>
        <tr r="O122" s="8"/>
      </tp>
      <tp>
        <v>3.513545846182486</v>
        <stp/>
        <stp>##V3_BDPV12</stp>
        <stp>AAPL US EQUITY</stp>
        <stp>PX_TO_BOOK_RATIO</stp>
        <stp>[XIDA.xlsm]Financials!R122C16</stp>
        <stp>EQY_FUND_RELATIVE_PERIOD</stp>
        <stp>-1FY</stp>
        <stp>EQY_FUND_CRNCY</stp>
        <stp>USD</stp>
        <stp>EQY_CONSOLIDATED</stp>
        <stp>Y</stp>
        <stp>Fill=B</stp>
        <tr r="P122" s="8"/>
      </tp>
      <tp>
        <v>5.2983560360206905</v>
        <stp/>
        <stp>##V3_BDPV12</stp>
        <stp>AAPL US EQUITY</stp>
        <stp>PX_TO_BOOK_RATIO</stp>
        <stp>[XIDA.xlsm]Financials!R122C17</stp>
        <stp>EQY_FUND_RELATIVE_PERIOD</stp>
        <stp>-0FY</stp>
        <stp>EQY_FUND_CRNCY</stp>
        <stp>USD</stp>
        <stp>EQY_CONSOLIDATED</stp>
        <stp>Y</stp>
        <stp>Fill=B</stp>
        <tr r="Q122" s="8"/>
      </tp>
      <tp t="s">
        <v>#N/A Requesting Data...</v>
        <stp/>
        <stp>##V3_BDSV12</stp>
        <stp>AAPL US EQUITY</stp>
        <stp>BEST_BPS_BRK_GRID</stp>
        <stp>[XIDA.xlsm]DataH!R8C103</stp>
        <stp>BEST_FPERIOD_OVERRIDE</stp>
        <stp>1FQ</stp>
        <stp>STARTCOL=6</stp>
        <stp>ENDCOL=6</stp>
        <stp>EQY_FUND_CRNCY</stp>
        <stp>USD</stp>
        <stp>BEST_CONSOLIDATED_OVERRIDE</stp>
        <stp>C</stp>
        <tr r="CY8" s="16"/>
      </tp>
      <tp>
        <v>0.30335854031511317</v>
        <stp/>
        <stp>##V3_BDPV12</stp>
        <stp>AAPL US EQUITY</stp>
        <stp>BEST_OPP_TO_SALES</stp>
        <stp>[XIDA.xlsm]Overview!R44C9</stp>
        <stp>BEST_FPERIOD_OVERRIDE</stp>
        <stp>1FY</stp>
        <stp>BEST_CONSOLIDATED_OVERRIDE</stp>
        <stp>C</stp>
        <tr r="I44" s="3"/>
        <tr r="I44" s="3"/>
      </tp>
      <tp t="e">
        <v>#N/A</v>
        <stp/>
        <stp>##V3_BDPV12</stp>
        <stp xml:space="preserve"> EQUITY</stp>
        <stp>CRNCY_ADJ_MKT_CAP</stp>
        <stp>[XIDA.xlsm]Peers!R104C13</stp>
        <tr r="M104" s="4"/>
      </tp>
      <tp t="e">
        <v>#N/A</v>
        <stp/>
        <stp>##V3_BDPV12</stp>
        <stp xml:space="preserve"> EQUITY</stp>
        <stp>CRNCY_ADJ_MKT_CAP</stp>
        <stp>[XIDA.xlsm]Peers!R105C13</stp>
        <tr r="M105" s="4"/>
      </tp>
      <tp t="e">
        <v>#N/A</v>
        <stp/>
        <stp>##V3_BDPV12</stp>
        <stp xml:space="preserve"> EQUITY</stp>
        <stp>CRNCY_ADJ_MKT_CAP</stp>
        <stp>[XIDA.xlsm]Peers!R106C13</stp>
        <tr r="M106" s="4"/>
      </tp>
      <tp t="e">
        <v>#N/A</v>
        <stp/>
        <stp>##V3_BDPV12</stp>
        <stp xml:space="preserve"> EQUITY</stp>
        <stp>CRNCY_ADJ_MKT_CAP</stp>
        <stp>[XIDA.xlsm]Peers!R107C13</stp>
        <tr r="M107" s="4"/>
      </tp>
      <tp t="e">
        <v>#N/A</v>
        <stp/>
        <stp>##V3_BDPV12</stp>
        <stp xml:space="preserve"> EQUITY</stp>
        <stp>CRNCY_ADJ_MKT_CAP</stp>
        <stp>[XIDA.xlsm]Peers!R100C13</stp>
        <tr r="M100" s="4"/>
      </tp>
      <tp t="e">
        <v>#N/A</v>
        <stp/>
        <stp>##V3_BDPV12</stp>
        <stp xml:space="preserve"> EQUITY</stp>
        <stp>CRNCY_ADJ_MKT_CAP</stp>
        <stp>[XIDA.xlsm]Peers!R101C13</stp>
        <tr r="M101" s="4"/>
      </tp>
      <tp t="e">
        <v>#N/A</v>
        <stp/>
        <stp>##V3_BDPV12</stp>
        <stp xml:space="preserve"> EQUITY</stp>
        <stp>CRNCY_ADJ_MKT_CAP</stp>
        <stp>[XIDA.xlsm]Peers!R102C13</stp>
        <tr r="M102" s="4"/>
      </tp>
      <tp t="e">
        <v>#N/A</v>
        <stp/>
        <stp>##V3_BDPV12</stp>
        <stp xml:space="preserve"> EQUITY</stp>
        <stp>CRNCY_ADJ_MKT_CAP</stp>
        <stp>[XIDA.xlsm]Peers!R103C13</stp>
        <tr r="M103" s="4"/>
      </tp>
      <tp t="e">
        <v>#N/A</v>
        <stp/>
        <stp>##V3_BDPV12</stp>
        <stp xml:space="preserve"> EQUITY</stp>
        <stp>CRNCY_ADJ_MKT_CAP</stp>
        <stp>[XIDA.xlsm]Peers!R108C13</stp>
        <tr r="M108" s="4"/>
      </tp>
      <tp t="e">
        <v>#N/A</v>
        <stp/>
        <stp>##V3_BDPV12</stp>
        <stp xml:space="preserve"> EQUITY</stp>
        <stp>CRNCY_ADJ_MKT_CAP</stp>
        <stp>[XIDA.xlsm]Peers!R109C13</stp>
        <tr r="M109" s="4"/>
      </tp>
      <tp t="e">
        <v>#N/A</v>
        <stp/>
        <stp>##V3_BDPV12</stp>
        <stp xml:space="preserve"> EQUITY</stp>
        <stp>CRNCY_ADJ_MKT_CAP</stp>
        <stp>[XIDA.xlsm]Peers!R114C13</stp>
        <tr r="M114" s="4"/>
      </tp>
      <tp t="e">
        <v>#N/A</v>
        <stp/>
        <stp>##V3_BDPV12</stp>
        <stp xml:space="preserve"> EQUITY</stp>
        <stp>CRNCY_ADJ_MKT_CAP</stp>
        <stp>[XIDA.xlsm]Peers!R115C13</stp>
        <tr r="M115" s="4"/>
      </tp>
      <tp t="e">
        <v>#N/A</v>
        <stp/>
        <stp>##V3_BDPV12</stp>
        <stp xml:space="preserve"> EQUITY</stp>
        <stp>CRNCY_ADJ_MKT_CAP</stp>
        <stp>[XIDA.xlsm]Peers!R116C13</stp>
        <tr r="M116" s="4"/>
      </tp>
      <tp t="e">
        <v>#N/A</v>
        <stp/>
        <stp>##V3_BDPV12</stp>
        <stp xml:space="preserve"> EQUITY</stp>
        <stp>CRNCY_ADJ_MKT_CAP</stp>
        <stp>[XIDA.xlsm]Peers!R117C13</stp>
        <tr r="M117" s="4"/>
      </tp>
      <tp t="e">
        <v>#N/A</v>
        <stp/>
        <stp>##V3_BDPV12</stp>
        <stp xml:space="preserve"> EQUITY</stp>
        <stp>CRNCY_ADJ_MKT_CAP</stp>
        <stp>[XIDA.xlsm]Peers!R110C13</stp>
        <tr r="M110" s="4"/>
      </tp>
      <tp t="e">
        <v>#N/A</v>
        <stp/>
        <stp>##V3_BDPV12</stp>
        <stp xml:space="preserve"> EQUITY</stp>
        <stp>CRNCY_ADJ_MKT_CAP</stp>
        <stp>[XIDA.xlsm]Peers!R111C13</stp>
        <tr r="M111" s="4"/>
      </tp>
      <tp t="e">
        <v>#N/A</v>
        <stp/>
        <stp>##V3_BDPV12</stp>
        <stp xml:space="preserve"> EQUITY</stp>
        <stp>CRNCY_ADJ_MKT_CAP</stp>
        <stp>[XIDA.xlsm]Peers!R112C13</stp>
        <tr r="M112" s="4"/>
      </tp>
      <tp t="e">
        <v>#N/A</v>
        <stp/>
        <stp>##V3_BDPV12</stp>
        <stp xml:space="preserve"> EQUITY</stp>
        <stp>CRNCY_ADJ_MKT_CAP</stp>
        <stp>[XIDA.xlsm]Peers!R113C13</stp>
        <tr r="M113" s="4"/>
      </tp>
      <tp t="e">
        <v>#N/A</v>
        <stp/>
        <stp>##V3_BDPV12</stp>
        <stp xml:space="preserve"> EQUITY</stp>
        <stp>CRNCY_ADJ_MKT_CAP</stp>
        <stp>[XIDA.xlsm]Peers!R118C13</stp>
        <tr r="M118" s="4"/>
      </tp>
      <tp t="e">
        <v>#N/A</v>
        <stp/>
        <stp>##V3_BDPV12</stp>
        <stp xml:space="preserve"> EQUITY</stp>
        <stp>CRNCY_ADJ_MKT_CAP</stp>
        <stp>[XIDA.xlsm]Peers!R119C13</stp>
        <tr r="M119" s="4"/>
      </tp>
      <tp t="e">
        <v>#N/A</v>
        <stp/>
        <stp>##V3_BDPV12</stp>
        <stp xml:space="preserve"> EQUITY</stp>
        <stp>CRNCY_ADJ_MKT_CAP</stp>
        <stp>[XIDA.xlsm]Peers!R124C13</stp>
        <tr r="M124" s="4"/>
      </tp>
      <tp t="e">
        <v>#N/A</v>
        <stp/>
        <stp>##V3_BDPV12</stp>
        <stp xml:space="preserve"> EQUITY</stp>
        <stp>CRNCY_ADJ_MKT_CAP</stp>
        <stp>[XIDA.xlsm]Peers!R125C13</stp>
        <tr r="M125" s="4"/>
      </tp>
      <tp t="e">
        <v>#N/A</v>
        <stp/>
        <stp>##V3_BDPV12</stp>
        <stp xml:space="preserve"> EQUITY</stp>
        <stp>CRNCY_ADJ_MKT_CAP</stp>
        <stp>[XIDA.xlsm]Peers!R126C13</stp>
        <tr r="M126" s="4"/>
      </tp>
      <tp t="e">
        <v>#N/A</v>
        <stp/>
        <stp>##V3_BDPV12</stp>
        <stp xml:space="preserve"> EQUITY</stp>
        <stp>CRNCY_ADJ_MKT_CAP</stp>
        <stp>[XIDA.xlsm]Peers!R127C13</stp>
        <tr r="M127" s="4"/>
      </tp>
      <tp t="e">
        <v>#N/A</v>
        <stp/>
        <stp>##V3_BDPV12</stp>
        <stp xml:space="preserve"> EQUITY</stp>
        <stp>CRNCY_ADJ_MKT_CAP</stp>
        <stp>[XIDA.xlsm]Peers!R120C13</stp>
        <tr r="M120" s="4"/>
      </tp>
      <tp t="e">
        <v>#N/A</v>
        <stp/>
        <stp>##V3_BDPV12</stp>
        <stp xml:space="preserve"> EQUITY</stp>
        <stp>CRNCY_ADJ_MKT_CAP</stp>
        <stp>[XIDA.xlsm]Peers!R121C13</stp>
        <tr r="M121" s="4"/>
      </tp>
      <tp t="e">
        <v>#N/A</v>
        <stp/>
        <stp>##V3_BDPV12</stp>
        <stp xml:space="preserve"> EQUITY</stp>
        <stp>CRNCY_ADJ_MKT_CAP</stp>
        <stp>[XIDA.xlsm]Peers!R122C13</stp>
        <tr r="M122" s="4"/>
      </tp>
      <tp t="e">
        <v>#N/A</v>
        <stp/>
        <stp>##V3_BDPV12</stp>
        <stp xml:space="preserve"> EQUITY</stp>
        <stp>CRNCY_ADJ_MKT_CAP</stp>
        <stp>[XIDA.xlsm]Peers!R123C13</stp>
        <tr r="M123" s="4"/>
      </tp>
      <tp t="e">
        <v>#N/A</v>
        <stp/>
        <stp>##V3_BDPV12</stp>
        <stp xml:space="preserve"> EQUITY</stp>
        <stp>CRNCY_ADJ_MKT_CAP</stp>
        <stp>[XIDA.xlsm]Peers!R128C13</stp>
        <tr r="M128" s="4"/>
      </tp>
      <tp t="e">
        <v>#N/A</v>
        <stp/>
        <stp>##V3_BDPV12</stp>
        <stp xml:space="preserve"> EQUITY</stp>
        <stp>CRNCY_ADJ_MKT_CAP</stp>
        <stp>[XIDA.xlsm]Peers!R129C13</stp>
        <tr r="M129" s="4"/>
      </tp>
      <tp t="e">
        <v>#N/A</v>
        <stp/>
        <stp>##V3_BDPV12</stp>
        <stp xml:space="preserve"> EQUITY</stp>
        <stp>CRNCY_ADJ_MKT_CAP</stp>
        <stp>[XIDA.xlsm]Peers!R134C13</stp>
        <tr r="M134" s="4"/>
      </tp>
      <tp t="e">
        <v>#N/A</v>
        <stp/>
        <stp>##V3_BDPV12</stp>
        <stp xml:space="preserve"> EQUITY</stp>
        <stp>CRNCY_ADJ_MKT_CAP</stp>
        <stp>[XIDA.xlsm]Peers!R135C13</stp>
        <tr r="M135" s="4"/>
      </tp>
      <tp t="e">
        <v>#N/A</v>
        <stp/>
        <stp>##V3_BDPV12</stp>
        <stp xml:space="preserve"> EQUITY</stp>
        <stp>CRNCY_ADJ_MKT_CAP</stp>
        <stp>[XIDA.xlsm]Peers!R136C13</stp>
        <tr r="M136" s="4"/>
      </tp>
      <tp t="e">
        <v>#N/A</v>
        <stp/>
        <stp>##V3_BDPV12</stp>
        <stp xml:space="preserve"> EQUITY</stp>
        <stp>CRNCY_ADJ_MKT_CAP</stp>
        <stp>[XIDA.xlsm]Peers!R137C13</stp>
        <tr r="M137" s="4"/>
      </tp>
      <tp t="e">
        <v>#N/A</v>
        <stp/>
        <stp>##V3_BDPV12</stp>
        <stp xml:space="preserve"> EQUITY</stp>
        <stp>CRNCY_ADJ_MKT_CAP</stp>
        <stp>[XIDA.xlsm]Peers!R130C13</stp>
        <tr r="M130" s="4"/>
      </tp>
      <tp t="e">
        <v>#N/A</v>
        <stp/>
        <stp>##V3_BDPV12</stp>
        <stp xml:space="preserve"> EQUITY</stp>
        <stp>CRNCY_ADJ_MKT_CAP</stp>
        <stp>[XIDA.xlsm]Peers!R131C13</stp>
        <tr r="M131" s="4"/>
      </tp>
      <tp t="e">
        <v>#N/A</v>
        <stp/>
        <stp>##V3_BDPV12</stp>
        <stp xml:space="preserve"> EQUITY</stp>
        <stp>CRNCY_ADJ_MKT_CAP</stp>
        <stp>[XIDA.xlsm]Peers!R132C13</stp>
        <tr r="M132" s="4"/>
      </tp>
      <tp t="e">
        <v>#N/A</v>
        <stp/>
        <stp>##V3_BDPV12</stp>
        <stp xml:space="preserve"> EQUITY</stp>
        <stp>CRNCY_ADJ_MKT_CAP</stp>
        <stp>[XIDA.xlsm]Peers!R133C13</stp>
        <tr r="M133" s="4"/>
      </tp>
      <tp t="e">
        <v>#N/A</v>
        <stp/>
        <stp>##V3_BDPV12</stp>
        <stp xml:space="preserve"> EQUITY</stp>
        <stp>CRNCY_ADJ_MKT_CAP</stp>
        <stp>[XIDA.xlsm]Peers!R138C13</stp>
        <tr r="M138" s="4"/>
      </tp>
      <tp t="e">
        <v>#N/A</v>
        <stp/>
        <stp>##V3_BDPV12</stp>
        <stp xml:space="preserve"> EQUITY</stp>
        <stp>CRNCY_ADJ_MKT_CAP</stp>
        <stp>[XIDA.xlsm]Peers!R139C13</stp>
        <tr r="M139" s="4"/>
      </tp>
      <tp t="e">
        <v>#N/A</v>
        <stp/>
        <stp>##V3_BDPV12</stp>
        <stp xml:space="preserve"> EQUITY</stp>
        <stp>CRNCY_ADJ_MKT_CAP</stp>
        <stp>[XIDA.xlsm]Peers!R144C13</stp>
        <tr r="M144" s="4"/>
      </tp>
      <tp t="e">
        <v>#N/A</v>
        <stp/>
        <stp>##V3_BDPV12</stp>
        <stp xml:space="preserve"> EQUITY</stp>
        <stp>CRNCY_ADJ_MKT_CAP</stp>
        <stp>[XIDA.xlsm]Peers!R145C13</stp>
        <tr r="M145" s="4"/>
      </tp>
      <tp t="e">
        <v>#N/A</v>
        <stp/>
        <stp>##V3_BDPV12</stp>
        <stp xml:space="preserve"> EQUITY</stp>
        <stp>CRNCY_ADJ_MKT_CAP</stp>
        <stp>[XIDA.xlsm]Peers!R146C13</stp>
        <tr r="M146" s="4"/>
      </tp>
      <tp t="e">
        <v>#N/A</v>
        <stp/>
        <stp>##V3_BDPV12</stp>
        <stp xml:space="preserve"> EQUITY</stp>
        <stp>CRNCY_ADJ_MKT_CAP</stp>
        <stp>[XIDA.xlsm]Peers!R147C13</stp>
        <tr r="M147" s="4"/>
      </tp>
      <tp t="e">
        <v>#N/A</v>
        <stp/>
        <stp>##V3_BDPV12</stp>
        <stp xml:space="preserve"> EQUITY</stp>
        <stp>CRNCY_ADJ_MKT_CAP</stp>
        <stp>[XIDA.xlsm]Peers!R140C13</stp>
        <tr r="M140" s="4"/>
      </tp>
      <tp t="e">
        <v>#N/A</v>
        <stp/>
        <stp>##V3_BDPV12</stp>
        <stp xml:space="preserve"> EQUITY</stp>
        <stp>CRNCY_ADJ_MKT_CAP</stp>
        <stp>[XIDA.xlsm]Peers!R141C13</stp>
        <tr r="M141" s="4"/>
      </tp>
      <tp t="e">
        <v>#N/A</v>
        <stp/>
        <stp>##V3_BDPV12</stp>
        <stp xml:space="preserve"> EQUITY</stp>
        <stp>CRNCY_ADJ_MKT_CAP</stp>
        <stp>[XIDA.xlsm]Peers!R142C13</stp>
        <tr r="M142" s="4"/>
      </tp>
      <tp t="e">
        <v>#N/A</v>
        <stp/>
        <stp>##V3_BDPV12</stp>
        <stp xml:space="preserve"> EQUITY</stp>
        <stp>CRNCY_ADJ_MKT_CAP</stp>
        <stp>[XIDA.xlsm]Peers!R143C13</stp>
        <tr r="M143" s="4"/>
      </tp>
      <tp t="e">
        <v>#N/A</v>
        <stp/>
        <stp>##V3_BDPV12</stp>
        <stp xml:space="preserve"> EQUITY</stp>
        <stp>CRNCY_ADJ_MKT_CAP</stp>
        <stp>[XIDA.xlsm]Peers!R148C13</stp>
        <tr r="M148" s="4"/>
      </tp>
      <tp t="e">
        <v>#N/A</v>
        <stp/>
        <stp>##V3_BDPV12</stp>
        <stp xml:space="preserve"> EQUITY</stp>
        <stp>CRNCY_ADJ_MKT_CAP</stp>
        <stp>[XIDA.xlsm]Peers!R149C13</stp>
        <tr r="M149" s="4"/>
      </tp>
      <tp t="e">
        <v>#N/A</v>
        <stp/>
        <stp>##V3_BDPV12</stp>
        <stp xml:space="preserve"> EQUITY</stp>
        <stp>CRNCY_ADJ_MKT_CAP</stp>
        <stp>[XIDA.xlsm]Peers!R154C13</stp>
        <tr r="M154" s="4"/>
      </tp>
      <tp t="e">
        <v>#N/A</v>
        <stp/>
        <stp>##V3_BDPV12</stp>
        <stp xml:space="preserve"> EQUITY</stp>
        <stp>CRNCY_ADJ_MKT_CAP</stp>
        <stp>[XIDA.xlsm]Peers!R155C13</stp>
        <tr r="M155" s="4"/>
      </tp>
      <tp t="e">
        <v>#N/A</v>
        <stp/>
        <stp>##V3_BDPV12</stp>
        <stp xml:space="preserve"> EQUITY</stp>
        <stp>CRNCY_ADJ_MKT_CAP</stp>
        <stp>[XIDA.xlsm]Peers!R156C13</stp>
        <tr r="M156" s="4"/>
      </tp>
      <tp t="e">
        <v>#N/A</v>
        <stp/>
        <stp>##V3_BDPV12</stp>
        <stp xml:space="preserve"> EQUITY</stp>
        <stp>CRNCY_ADJ_MKT_CAP</stp>
        <stp>[XIDA.xlsm]Peers!R157C13</stp>
        <tr r="M157" s="4"/>
      </tp>
      <tp t="e">
        <v>#N/A</v>
        <stp/>
        <stp>##V3_BDPV12</stp>
        <stp xml:space="preserve"> EQUITY</stp>
        <stp>CRNCY_ADJ_MKT_CAP</stp>
        <stp>[XIDA.xlsm]Peers!R150C13</stp>
        <tr r="M150" s="4"/>
      </tp>
      <tp t="e">
        <v>#N/A</v>
        <stp/>
        <stp>##V3_BDPV12</stp>
        <stp xml:space="preserve"> EQUITY</stp>
        <stp>CRNCY_ADJ_MKT_CAP</stp>
        <stp>[XIDA.xlsm]Peers!R151C13</stp>
        <tr r="M151" s="4"/>
      </tp>
      <tp t="e">
        <v>#N/A</v>
        <stp/>
        <stp>##V3_BDPV12</stp>
        <stp xml:space="preserve"> EQUITY</stp>
        <stp>CRNCY_ADJ_MKT_CAP</stp>
        <stp>[XIDA.xlsm]Peers!R152C13</stp>
        <tr r="M152" s="4"/>
      </tp>
      <tp t="e">
        <v>#N/A</v>
        <stp/>
        <stp>##V3_BDPV12</stp>
        <stp xml:space="preserve"> EQUITY</stp>
        <stp>CRNCY_ADJ_MKT_CAP</stp>
        <stp>[XIDA.xlsm]Peers!R153C13</stp>
        <tr r="M153" s="4"/>
      </tp>
      <tp t="e">
        <v>#N/A</v>
        <stp/>
        <stp>##V3_BDPV12</stp>
        <stp xml:space="preserve"> EQUITY</stp>
        <stp>CRNCY_ADJ_MKT_CAP</stp>
        <stp>[XIDA.xlsm]Peers!R158C13</stp>
        <tr r="M158" s="4"/>
      </tp>
      <tp t="e">
        <v>#N/A</v>
        <stp/>
        <stp>##V3_BDPV12</stp>
        <stp xml:space="preserve"> EQUITY</stp>
        <stp>CRNCY_ADJ_MKT_CAP</stp>
        <stp>[XIDA.xlsm]Peers!R159C13</stp>
        <tr r="M159" s="4"/>
      </tp>
      <tp t="e">
        <v>#N/A</v>
        <stp/>
        <stp>##V3_BDPV12</stp>
        <stp xml:space="preserve"> EQUITY</stp>
        <stp>CRNCY_ADJ_MKT_CAP</stp>
        <stp>[XIDA.xlsm]Peers!R164C13</stp>
        <tr r="M164" s="4"/>
      </tp>
      <tp t="e">
        <v>#N/A</v>
        <stp/>
        <stp>##V3_BDPV12</stp>
        <stp xml:space="preserve"> EQUITY</stp>
        <stp>CRNCY_ADJ_MKT_CAP</stp>
        <stp>[XIDA.xlsm]Peers!R165C13</stp>
        <tr r="M165" s="4"/>
      </tp>
      <tp t="e">
        <v>#N/A</v>
        <stp/>
        <stp>##V3_BDPV12</stp>
        <stp xml:space="preserve"> EQUITY</stp>
        <stp>CRNCY_ADJ_MKT_CAP</stp>
        <stp>[XIDA.xlsm]Peers!R166C13</stp>
        <tr r="M166" s="4"/>
      </tp>
      <tp t="e">
        <v>#N/A</v>
        <stp/>
        <stp>##V3_BDPV12</stp>
        <stp xml:space="preserve"> EQUITY</stp>
        <stp>CRNCY_ADJ_MKT_CAP</stp>
        <stp>[XIDA.xlsm]Peers!R167C13</stp>
        <tr r="M167" s="4"/>
      </tp>
      <tp t="e">
        <v>#N/A</v>
        <stp/>
        <stp>##V3_BDPV12</stp>
        <stp xml:space="preserve"> EQUITY</stp>
        <stp>CRNCY_ADJ_MKT_CAP</stp>
        <stp>[XIDA.xlsm]Peers!R160C13</stp>
        <tr r="M160" s="4"/>
      </tp>
      <tp t="e">
        <v>#N/A</v>
        <stp/>
        <stp>##V3_BDPV12</stp>
        <stp xml:space="preserve"> EQUITY</stp>
        <stp>CRNCY_ADJ_MKT_CAP</stp>
        <stp>[XIDA.xlsm]Peers!R161C13</stp>
        <tr r="M161" s="4"/>
      </tp>
      <tp t="e">
        <v>#N/A</v>
        <stp/>
        <stp>##V3_BDPV12</stp>
        <stp xml:space="preserve"> EQUITY</stp>
        <stp>CRNCY_ADJ_MKT_CAP</stp>
        <stp>[XIDA.xlsm]Peers!R162C13</stp>
        <tr r="M162" s="4"/>
      </tp>
      <tp t="e">
        <v>#N/A</v>
        <stp/>
        <stp>##V3_BDPV12</stp>
        <stp xml:space="preserve"> EQUITY</stp>
        <stp>CRNCY_ADJ_MKT_CAP</stp>
        <stp>[XIDA.xlsm]Peers!R163C13</stp>
        <tr r="M163" s="4"/>
      </tp>
      <tp t="e">
        <v>#N/A</v>
        <stp/>
        <stp>##V3_BDPV12</stp>
        <stp xml:space="preserve"> EQUITY</stp>
        <stp>CRNCY_ADJ_MKT_CAP</stp>
        <stp>[XIDA.xlsm]Peers!R168C13</stp>
        <tr r="M168" s="4"/>
      </tp>
      <tp t="e">
        <v>#N/A</v>
        <stp/>
        <stp>##V3_BDPV12</stp>
        <stp xml:space="preserve"> EQUITY</stp>
        <stp>CRNCY_ADJ_MKT_CAP</stp>
        <stp>[XIDA.xlsm]Peers!R169C13</stp>
        <tr r="M169" s="4"/>
      </tp>
      <tp t="e">
        <v>#N/A</v>
        <stp/>
        <stp>##V3_BDPV12</stp>
        <stp xml:space="preserve"> EQUITY</stp>
        <stp>CRNCY_ADJ_MKT_CAP</stp>
        <stp>[XIDA.xlsm]Peers!R174C13</stp>
        <tr r="M174" s="4"/>
      </tp>
      <tp t="e">
        <v>#N/A</v>
        <stp/>
        <stp>##V3_BDPV12</stp>
        <stp xml:space="preserve"> EQUITY</stp>
        <stp>CRNCY_ADJ_MKT_CAP</stp>
        <stp>[XIDA.xlsm]Peers!R175C13</stp>
        <tr r="M175" s="4"/>
      </tp>
      <tp t="e">
        <v>#N/A</v>
        <stp/>
        <stp>##V3_BDPV12</stp>
        <stp xml:space="preserve"> EQUITY</stp>
        <stp>CRNCY_ADJ_MKT_CAP</stp>
        <stp>[XIDA.xlsm]Peers!R176C13</stp>
        <tr r="M176" s="4"/>
      </tp>
      <tp t="e">
        <v>#N/A</v>
        <stp/>
        <stp>##V3_BDPV12</stp>
        <stp xml:space="preserve"> EQUITY</stp>
        <stp>CRNCY_ADJ_MKT_CAP</stp>
        <stp>[XIDA.xlsm]Peers!R177C13</stp>
        <tr r="M177" s="4"/>
      </tp>
      <tp t="e">
        <v>#N/A</v>
        <stp/>
        <stp>##V3_BDPV12</stp>
        <stp xml:space="preserve"> EQUITY</stp>
        <stp>CRNCY_ADJ_MKT_CAP</stp>
        <stp>[XIDA.xlsm]Peers!R170C13</stp>
        <tr r="M170" s="4"/>
      </tp>
      <tp t="e">
        <v>#N/A</v>
        <stp/>
        <stp>##V3_BDPV12</stp>
        <stp xml:space="preserve"> EQUITY</stp>
        <stp>CRNCY_ADJ_MKT_CAP</stp>
        <stp>[XIDA.xlsm]Peers!R171C13</stp>
        <tr r="M171" s="4"/>
      </tp>
      <tp t="e">
        <v>#N/A</v>
        <stp/>
        <stp>##V3_BDPV12</stp>
        <stp xml:space="preserve"> EQUITY</stp>
        <stp>CRNCY_ADJ_MKT_CAP</stp>
        <stp>[XIDA.xlsm]Peers!R172C13</stp>
        <tr r="M172" s="4"/>
      </tp>
      <tp t="e">
        <v>#N/A</v>
        <stp/>
        <stp>##V3_BDPV12</stp>
        <stp xml:space="preserve"> EQUITY</stp>
        <stp>CRNCY_ADJ_MKT_CAP</stp>
        <stp>[XIDA.xlsm]Peers!R173C13</stp>
        <tr r="M173" s="4"/>
      </tp>
      <tp t="e">
        <v>#N/A</v>
        <stp/>
        <stp>##V3_BDPV12</stp>
        <stp xml:space="preserve"> EQUITY</stp>
        <stp>CRNCY_ADJ_MKT_CAP</stp>
        <stp>[XIDA.xlsm]Peers!R178C13</stp>
        <tr r="M178" s="4"/>
      </tp>
      <tp t="e">
        <v>#N/A</v>
        <stp/>
        <stp>##V3_BDPV12</stp>
        <stp xml:space="preserve"> EQUITY</stp>
        <stp>CRNCY_ADJ_MKT_CAP</stp>
        <stp>[XIDA.xlsm]Peers!R179C13</stp>
        <tr r="M179" s="4"/>
      </tp>
      <tp t="e">
        <v>#N/A</v>
        <stp/>
        <stp>##V3_BDPV12</stp>
        <stp xml:space="preserve"> EQUITY</stp>
        <stp>CRNCY_ADJ_MKT_CAP</stp>
        <stp>[XIDA.xlsm]Peers!R184C13</stp>
        <tr r="M184" s="4"/>
      </tp>
      <tp t="e">
        <v>#N/A</v>
        <stp/>
        <stp>##V3_BDPV12</stp>
        <stp xml:space="preserve"> EQUITY</stp>
        <stp>CRNCY_ADJ_MKT_CAP</stp>
        <stp>[XIDA.xlsm]Peers!R185C13</stp>
        <tr r="M185" s="4"/>
      </tp>
      <tp t="e">
        <v>#N/A</v>
        <stp/>
        <stp>##V3_BDPV12</stp>
        <stp xml:space="preserve"> EQUITY</stp>
        <stp>CRNCY_ADJ_MKT_CAP</stp>
        <stp>[XIDA.xlsm]Peers!R186C13</stp>
        <tr r="M186" s="4"/>
      </tp>
      <tp t="e">
        <v>#N/A</v>
        <stp/>
        <stp>##V3_BDPV12</stp>
        <stp xml:space="preserve"> EQUITY</stp>
        <stp>CRNCY_ADJ_MKT_CAP</stp>
        <stp>[XIDA.xlsm]Peers!R187C13</stp>
        <tr r="M187" s="4"/>
      </tp>
      <tp t="e">
        <v>#N/A</v>
        <stp/>
        <stp>##V3_BDPV12</stp>
        <stp xml:space="preserve"> EQUITY</stp>
        <stp>CRNCY_ADJ_MKT_CAP</stp>
        <stp>[XIDA.xlsm]Peers!R180C13</stp>
        <tr r="M180" s="4"/>
      </tp>
      <tp t="e">
        <v>#N/A</v>
        <stp/>
        <stp>##V3_BDPV12</stp>
        <stp xml:space="preserve"> EQUITY</stp>
        <stp>CRNCY_ADJ_MKT_CAP</stp>
        <stp>[XIDA.xlsm]Peers!R181C13</stp>
        <tr r="M181" s="4"/>
      </tp>
      <tp t="e">
        <v>#N/A</v>
        <stp/>
        <stp>##V3_BDPV12</stp>
        <stp xml:space="preserve"> EQUITY</stp>
        <stp>CRNCY_ADJ_MKT_CAP</stp>
        <stp>[XIDA.xlsm]Peers!R182C13</stp>
        <tr r="M182" s="4"/>
      </tp>
      <tp t="e">
        <v>#N/A</v>
        <stp/>
        <stp>##V3_BDPV12</stp>
        <stp xml:space="preserve"> EQUITY</stp>
        <stp>CRNCY_ADJ_MKT_CAP</stp>
        <stp>[XIDA.xlsm]Peers!R183C13</stp>
        <tr r="M183" s="4"/>
      </tp>
      <tp t="e">
        <v>#N/A</v>
        <stp/>
        <stp>##V3_BDPV12</stp>
        <stp xml:space="preserve"> EQUITY</stp>
        <stp>CRNCY_ADJ_MKT_CAP</stp>
        <stp>[XIDA.xlsm]Peers!R188C13</stp>
        <tr r="M188" s="4"/>
      </tp>
      <tp t="e">
        <v>#N/A</v>
        <stp/>
        <stp>##V3_BDPV12</stp>
        <stp xml:space="preserve"> EQUITY</stp>
        <stp>CRNCY_ADJ_MKT_CAP</stp>
        <stp>[XIDA.xlsm]Peers!R189C13</stp>
        <tr r="M189" s="4"/>
      </tp>
      <tp t="e">
        <v>#N/A</v>
        <stp/>
        <stp>##V3_BDPV12</stp>
        <stp xml:space="preserve"> EQUITY</stp>
        <stp>CRNCY_ADJ_MKT_CAP</stp>
        <stp>[XIDA.xlsm]Peers!R194C13</stp>
        <tr r="M194" s="4"/>
      </tp>
      <tp t="e">
        <v>#N/A</v>
        <stp/>
        <stp>##V3_BDPV12</stp>
        <stp xml:space="preserve"> EQUITY</stp>
        <stp>CRNCY_ADJ_MKT_CAP</stp>
        <stp>[XIDA.xlsm]Peers!R195C13</stp>
        <tr r="M195" s="4"/>
      </tp>
      <tp t="e">
        <v>#N/A</v>
        <stp/>
        <stp>##V3_BDPV12</stp>
        <stp xml:space="preserve"> EQUITY</stp>
        <stp>CRNCY_ADJ_MKT_CAP</stp>
        <stp>[XIDA.xlsm]Peers!R196C13</stp>
        <tr r="M196" s="4"/>
      </tp>
      <tp t="e">
        <v>#N/A</v>
        <stp/>
        <stp>##V3_BDPV12</stp>
        <stp xml:space="preserve"> EQUITY</stp>
        <stp>CRNCY_ADJ_MKT_CAP</stp>
        <stp>[XIDA.xlsm]Peers!R197C13</stp>
        <tr r="M197" s="4"/>
      </tp>
      <tp t="e">
        <v>#N/A</v>
        <stp/>
        <stp>##V3_BDPV12</stp>
        <stp xml:space="preserve"> EQUITY</stp>
        <stp>CRNCY_ADJ_MKT_CAP</stp>
        <stp>[XIDA.xlsm]Peers!R190C13</stp>
        <tr r="M190" s="4"/>
      </tp>
      <tp t="e">
        <v>#N/A</v>
        <stp/>
        <stp>##V3_BDPV12</stp>
        <stp xml:space="preserve"> EQUITY</stp>
        <stp>CRNCY_ADJ_MKT_CAP</stp>
        <stp>[XIDA.xlsm]Peers!R191C13</stp>
        <tr r="M191" s="4"/>
      </tp>
      <tp t="e">
        <v>#N/A</v>
        <stp/>
        <stp>##V3_BDPV12</stp>
        <stp xml:space="preserve"> EQUITY</stp>
        <stp>CRNCY_ADJ_MKT_CAP</stp>
        <stp>[XIDA.xlsm]Peers!R192C13</stp>
        <tr r="M192" s="4"/>
      </tp>
      <tp t="e">
        <v>#N/A</v>
        <stp/>
        <stp>##V3_BDPV12</stp>
        <stp xml:space="preserve"> EQUITY</stp>
        <stp>CRNCY_ADJ_MKT_CAP</stp>
        <stp>[XIDA.xlsm]Peers!R193C13</stp>
        <tr r="M193" s="4"/>
      </tp>
      <tp t="e">
        <v>#N/A</v>
        <stp/>
        <stp>##V3_BDPV12</stp>
        <stp xml:space="preserve"> EQUITY</stp>
        <stp>CRNCY_ADJ_MKT_CAP</stp>
        <stp>[XIDA.xlsm]Peers!R198C13</stp>
        <tr r="M198" s="4"/>
      </tp>
      <tp t="e">
        <v>#N/A</v>
        <stp/>
        <stp>##V3_BDPV12</stp>
        <stp xml:space="preserve"> EQUITY</stp>
        <stp>CRNCY_ADJ_MKT_CAP</stp>
        <stp>[XIDA.xlsm]Peers!R199C13</stp>
        <tr r="M199" s="4"/>
      </tp>
      <tp>
        <v>48.428571428571423</v>
        <stp/>
        <stp>##V3_BDPV12</stp>
        <stp>AAPL US EQUITY</stp>
        <stp>PE_RATIO</stp>
        <stp>[XIDA.xlsm]Financials!R118C7</stp>
        <stp>EQY_FUND_RELATIVE_PERIOD</stp>
        <stp>-10FY</stp>
        <stp>EQY_FUND_CRNCY</stp>
        <stp>USD</stp>
        <stp>EQY_CONSOLIDATED</stp>
        <stp>Y</stp>
        <stp>Fill=B</stp>
        <tr r="G118" s="8"/>
      </tp>
      <tp t="s">
        <v>SEK</v>
        <stp/>
        <stp>##V3_BDPV12</stp>
        <stp>ERICB SS EQUITY</stp>
        <stp>CRNCY</stp>
        <stp>[XIDA.xlsm]Peers!R25C11</stp>
        <tr r="K25" s="4"/>
      </tp>
      <tp>
        <v>42240</v>
        <stp/>
        <stp>##V3_BTODAY</stp>
        <stp>[XIDA.xlsm]Peers!R83C29</stp>
        <tr r="AC83" s="4"/>
      </tp>
      <tp>
        <v>42240</v>
        <stp/>
        <stp>##V3_BTODAY</stp>
        <stp>[XIDA.xlsm]Peers!R82C29</stp>
        <tr r="AC82" s="4"/>
      </tp>
      <tp>
        <v>42240</v>
        <stp/>
        <stp>##V3_BTODAY</stp>
        <stp>[XIDA.xlsm]Peers!R81C29</stp>
        <tr r="AC81" s="4"/>
      </tp>
      <tp>
        <v>42240</v>
        <stp/>
        <stp>##V3_BTODAY</stp>
        <stp>[XIDA.xlsm]Peers!R80C29</stp>
        <tr r="AC80" s="4"/>
      </tp>
      <tp>
        <v>42240</v>
        <stp/>
        <stp>##V3_BTODAY</stp>
        <stp>[XIDA.xlsm]Peers!R87C29</stp>
        <tr r="AC87" s="4"/>
      </tp>
      <tp>
        <v>42240</v>
        <stp/>
        <stp>##V3_BTODAY</stp>
        <stp>[XIDA.xlsm]Peers!R86C29</stp>
        <tr r="AC86" s="4"/>
      </tp>
      <tp>
        <v>42240</v>
        <stp/>
        <stp>##V3_BTODAY</stp>
        <stp>[XIDA.xlsm]Peers!R85C29</stp>
        <tr r="AC85" s="4"/>
      </tp>
      <tp>
        <v>42240</v>
        <stp/>
        <stp>##V3_BTODAY</stp>
        <stp>[XIDA.xlsm]Peers!R84C29</stp>
        <tr r="AC84" s="4"/>
      </tp>
      <tp>
        <v>42240</v>
        <stp/>
        <stp>##V3_BTODAY</stp>
        <stp>[XIDA.xlsm]Peers!R89C29</stp>
        <tr r="AC89" s="4"/>
      </tp>
      <tp>
        <v>42240</v>
        <stp/>
        <stp>##V3_BTODAY</stp>
        <stp>[XIDA.xlsm]Peers!R88C29</stp>
        <tr r="AC88" s="4"/>
      </tp>
      <tp>
        <v>42240</v>
        <stp/>
        <stp>##V3_BTODAY</stp>
        <stp>[XIDA.xlsm]Peers!R93C29</stp>
        <tr r="AC93" s="4"/>
      </tp>
      <tp>
        <v>42240</v>
        <stp/>
        <stp>##V3_BTODAY</stp>
        <stp>[XIDA.xlsm]Peers!R92C29</stp>
        <tr r="AC92" s="4"/>
      </tp>
      <tp>
        <v>42240</v>
        <stp/>
        <stp>##V3_BTODAY</stp>
        <stp>[XIDA.xlsm]Peers!R91C29</stp>
        <tr r="AC91" s="4"/>
      </tp>
      <tp>
        <v>42240</v>
        <stp/>
        <stp>##V3_BTODAY</stp>
        <stp>[XIDA.xlsm]Peers!R90C29</stp>
        <tr r="AC90" s="4"/>
      </tp>
      <tp>
        <v>42240</v>
        <stp/>
        <stp>##V3_BTODAY</stp>
        <stp>[XIDA.xlsm]Peers!R97C29</stp>
        <tr r="AC97" s="4"/>
      </tp>
      <tp>
        <v>42240</v>
        <stp/>
        <stp>##V3_BTODAY</stp>
        <stp>[XIDA.xlsm]Peers!R96C29</stp>
        <tr r="AC96" s="4"/>
      </tp>
      <tp>
        <v>42240</v>
        <stp/>
        <stp>##V3_BTODAY</stp>
        <stp>[XIDA.xlsm]Peers!R95C29</stp>
        <tr r="AC95" s="4"/>
      </tp>
      <tp>
        <v>42240</v>
        <stp/>
        <stp>##V3_BTODAY</stp>
        <stp>[XIDA.xlsm]Peers!R94C29</stp>
        <tr r="AC94" s="4"/>
      </tp>
      <tp>
        <v>42240</v>
        <stp/>
        <stp>##V3_BTODAY</stp>
        <stp>[XIDA.xlsm]Peers!R99C29</stp>
        <tr r="AC99" s="4"/>
      </tp>
      <tp>
        <v>42240</v>
        <stp/>
        <stp>##V3_BTODAY</stp>
        <stp>[XIDA.xlsm]Peers!R98C29</stp>
        <tr r="AC98" s="4"/>
      </tp>
      <tp>
        <v>42240</v>
        <stp/>
        <stp>##V3_BTODAY</stp>
        <stp>[XIDA.xlsm]Peers!R43C29</stp>
        <tr r="AC43" s="4"/>
      </tp>
      <tp>
        <v>42240</v>
        <stp/>
        <stp>##V3_BTODAY</stp>
        <stp>[XIDA.xlsm]Peers!R42C29</stp>
        <tr r="AC42" s="4"/>
      </tp>
      <tp>
        <v>42240</v>
        <stp/>
        <stp>##V3_BTODAY</stp>
        <stp>[XIDA.xlsm]Peers!R41C29</stp>
        <tr r="AC41" s="4"/>
      </tp>
      <tp>
        <v>42240</v>
        <stp/>
        <stp>##V3_BTODAY</stp>
        <stp>[XIDA.xlsm]Peers!R40C29</stp>
        <tr r="AC40" s="4"/>
      </tp>
      <tp>
        <v>42240</v>
        <stp/>
        <stp>##V3_BTODAY</stp>
        <stp>[XIDA.xlsm]Peers!R47C29</stp>
        <tr r="AC47" s="4"/>
      </tp>
      <tp>
        <v>42240</v>
        <stp/>
        <stp>##V3_BTODAY</stp>
        <stp>[XIDA.xlsm]Peers!R46C29</stp>
        <tr r="AC46" s="4"/>
      </tp>
      <tp>
        <v>42240</v>
        <stp/>
        <stp>##V3_BTODAY</stp>
        <stp>[XIDA.xlsm]Peers!R45C29</stp>
        <tr r="AC45" s="4"/>
      </tp>
      <tp>
        <v>42240</v>
        <stp/>
        <stp>##V3_BTODAY</stp>
        <stp>[XIDA.xlsm]Peers!R44C29</stp>
        <tr r="AC44" s="4"/>
      </tp>
      <tp>
        <v>42240</v>
        <stp/>
        <stp>##V3_BTODAY</stp>
        <stp>[XIDA.xlsm]Peers!R49C29</stp>
        <tr r="AC49" s="4"/>
      </tp>
      <tp>
        <v>42240</v>
        <stp/>
        <stp>##V3_BTODAY</stp>
        <stp>[XIDA.xlsm]Peers!R48C29</stp>
        <tr r="AC48" s="4"/>
      </tp>
      <tp>
        <v>42240</v>
        <stp/>
        <stp>##V3_BTODAY</stp>
        <stp>[XIDA.xlsm]Peers!R53C29</stp>
        <tr r="AC53" s="4"/>
      </tp>
      <tp>
        <v>42240</v>
        <stp/>
        <stp>##V3_BTODAY</stp>
        <stp>[XIDA.xlsm]Peers!R52C29</stp>
        <tr r="AC52" s="4"/>
      </tp>
      <tp>
        <v>42240</v>
        <stp/>
        <stp>##V3_BTODAY</stp>
        <stp>[XIDA.xlsm]Peers!R51C29</stp>
        <tr r="AC51" s="4"/>
      </tp>
      <tp>
        <v>42240</v>
        <stp/>
        <stp>##V3_BTODAY</stp>
        <stp>[XIDA.xlsm]Peers!R50C29</stp>
        <tr r="AC50" s="4"/>
      </tp>
      <tp>
        <v>42240</v>
        <stp/>
        <stp>##V3_BTODAY</stp>
        <stp>[XIDA.xlsm]Peers!R57C29</stp>
        <tr r="AC57" s="4"/>
      </tp>
      <tp>
        <v>42240</v>
        <stp/>
        <stp>##V3_BTODAY</stp>
        <stp>[XIDA.xlsm]Peers!R56C29</stp>
        <tr r="AC56" s="4"/>
      </tp>
      <tp>
        <v>42240</v>
        <stp/>
        <stp>##V3_BTODAY</stp>
        <stp>[XIDA.xlsm]Peers!R55C29</stp>
        <tr r="AC55" s="4"/>
      </tp>
      <tp>
        <v>42240</v>
        <stp/>
        <stp>##V3_BTODAY</stp>
        <stp>[XIDA.xlsm]Peers!R54C29</stp>
        <tr r="AC54" s="4"/>
      </tp>
      <tp>
        <v>42240</v>
        <stp/>
        <stp>##V3_BTODAY</stp>
        <stp>[XIDA.xlsm]Peers!R59C29</stp>
        <tr r="AC59" s="4"/>
      </tp>
      <tp>
        <v>42240</v>
        <stp/>
        <stp>##V3_BTODAY</stp>
        <stp>[XIDA.xlsm]Peers!R58C29</stp>
        <tr r="AC58" s="4"/>
      </tp>
      <tp>
        <v>42240</v>
        <stp/>
        <stp>##V3_BTODAY</stp>
        <stp>[XIDA.xlsm]Peers!R63C29</stp>
        <tr r="AC63" s="4"/>
      </tp>
      <tp>
        <v>42240</v>
        <stp/>
        <stp>##V3_BTODAY</stp>
        <stp>[XIDA.xlsm]Peers!R62C29</stp>
        <tr r="AC62" s="4"/>
      </tp>
      <tp>
        <v>42240</v>
        <stp/>
        <stp>##V3_BTODAY</stp>
        <stp>[XIDA.xlsm]Peers!R61C29</stp>
        <tr r="AC61" s="4"/>
      </tp>
      <tp>
        <v>42240</v>
        <stp/>
        <stp>##V3_BTODAY</stp>
        <stp>[XIDA.xlsm]Peers!R60C29</stp>
        <tr r="AC60" s="4"/>
      </tp>
      <tp>
        <v>42240</v>
        <stp/>
        <stp>##V3_BTODAY</stp>
        <stp>[XIDA.xlsm]Peers!R67C29</stp>
        <tr r="AC67" s="4"/>
      </tp>
      <tp>
        <v>42240</v>
        <stp/>
        <stp>##V3_BTODAY</stp>
        <stp>[XIDA.xlsm]Peers!R66C29</stp>
        <tr r="AC66" s="4"/>
      </tp>
      <tp>
        <v>42240</v>
        <stp/>
        <stp>##V3_BTODAY</stp>
        <stp>[XIDA.xlsm]Peers!R65C29</stp>
        <tr r="AC65" s="4"/>
      </tp>
      <tp>
        <v>42240</v>
        <stp/>
        <stp>##V3_BTODAY</stp>
        <stp>[XIDA.xlsm]Peers!R64C29</stp>
        <tr r="AC64" s="4"/>
      </tp>
      <tp>
        <v>42240</v>
        <stp/>
        <stp>##V3_BTODAY</stp>
        <stp>[XIDA.xlsm]Peers!R69C29</stp>
        <tr r="AC69" s="4"/>
      </tp>
      <tp>
        <v>42240</v>
        <stp/>
        <stp>##V3_BTODAY</stp>
        <stp>[XIDA.xlsm]Peers!R68C29</stp>
        <tr r="AC68" s="4"/>
      </tp>
      <tp>
        <v>42240</v>
        <stp/>
        <stp>##V3_BTODAY</stp>
        <stp>[XIDA.xlsm]Peers!R73C29</stp>
        <tr r="AC73" s="4"/>
      </tp>
      <tp>
        <v>42240</v>
        <stp/>
        <stp>##V3_BTODAY</stp>
        <stp>[XIDA.xlsm]Peers!R72C29</stp>
        <tr r="AC72" s="4"/>
      </tp>
      <tp>
        <v>42240</v>
        <stp/>
        <stp>##V3_BTODAY</stp>
        <stp>[XIDA.xlsm]Peers!R71C29</stp>
        <tr r="AC71" s="4"/>
      </tp>
      <tp>
        <v>42240</v>
        <stp/>
        <stp>##V3_BTODAY</stp>
        <stp>[XIDA.xlsm]Peers!R70C29</stp>
        <tr r="AC70" s="4"/>
      </tp>
      <tp>
        <v>42240</v>
        <stp/>
        <stp>##V3_BTODAY</stp>
        <stp>[XIDA.xlsm]Peers!R77C29</stp>
        <tr r="AC77" s="4"/>
      </tp>
      <tp>
        <v>42240</v>
        <stp/>
        <stp>##V3_BTODAY</stp>
        <stp>[XIDA.xlsm]Peers!R76C29</stp>
        <tr r="AC76" s="4"/>
      </tp>
      <tp>
        <v>42240</v>
        <stp/>
        <stp>##V3_BTODAY</stp>
        <stp>[XIDA.xlsm]Peers!R75C29</stp>
        <tr r="AC75" s="4"/>
      </tp>
      <tp>
        <v>42240</v>
        <stp/>
        <stp>##V3_BTODAY</stp>
        <stp>[XIDA.xlsm]Peers!R74C29</stp>
        <tr r="AC74" s="4"/>
      </tp>
      <tp>
        <v>42240</v>
        <stp/>
        <stp>##V3_BTODAY</stp>
        <stp>[XIDA.xlsm]Peers!R79C29</stp>
        <tr r="AC79" s="4"/>
      </tp>
      <tp>
        <v>42240</v>
        <stp/>
        <stp>##V3_BTODAY</stp>
        <stp>[XIDA.xlsm]Peers!R78C29</stp>
        <tr r="AC78" s="4"/>
      </tp>
      <tp>
        <v>42240</v>
        <stp/>
        <stp>##V3_BTODAY</stp>
        <stp>[XIDA.xlsm]Peers!R17C29</stp>
        <tr r="AC17" s="4"/>
        <tr r="AC17" s="4"/>
      </tp>
      <tp>
        <v>42240</v>
        <stp/>
        <stp>##V3_BTODAY</stp>
        <stp>[XIDA.xlsm]Peers!R19C29</stp>
        <tr r="AC19" s="4"/>
        <tr r="AC19" s="4"/>
      </tp>
      <tp>
        <v>42240</v>
        <stp/>
        <stp>##V3_BTODAY</stp>
        <stp>[XIDA.xlsm]Peers!R18C29</stp>
        <tr r="AC18" s="4"/>
        <tr r="AC18" s="4"/>
      </tp>
      <tp>
        <v>42240</v>
        <stp/>
        <stp>##V3_BTODAY</stp>
        <stp>[XIDA.xlsm]Peers!R23C29</stp>
        <tr r="AC23" s="4"/>
        <tr r="AC23" s="4"/>
      </tp>
      <tp>
        <v>42240</v>
        <stp/>
        <stp>##V3_BTODAY</stp>
        <stp>[XIDA.xlsm]Peers!R22C29</stp>
        <tr r="AC22" s="4"/>
        <tr r="AC22" s="4"/>
      </tp>
      <tp>
        <v>42240</v>
        <stp/>
        <stp>##V3_BTODAY</stp>
        <stp>[XIDA.xlsm]Peers!R21C29</stp>
        <tr r="AC21" s="4"/>
        <tr r="AC21" s="4"/>
      </tp>
      <tp>
        <v>42240</v>
        <stp/>
        <stp>##V3_BTODAY</stp>
        <stp>[XIDA.xlsm]Peers!R20C29</stp>
        <tr r="AC20" s="4"/>
        <tr r="AC20" s="4"/>
      </tp>
      <tp>
        <v>42240</v>
        <stp/>
        <stp>##V3_BTODAY</stp>
        <stp>[XIDA.xlsm]Peers!R27C29</stp>
        <tr r="AC27" s="4"/>
      </tp>
      <tp>
        <v>42240</v>
        <stp/>
        <stp>##V3_BTODAY</stp>
        <stp>[XIDA.xlsm]Peers!R26C29</stp>
        <tr r="AC26" s="4"/>
      </tp>
      <tp>
        <v>42240</v>
        <stp/>
        <stp>##V3_BTODAY</stp>
        <stp>[XIDA.xlsm]Peers!R25C29</stp>
        <tr r="AC25" s="4"/>
        <tr r="AC25" s="4"/>
      </tp>
      <tp>
        <v>42240</v>
        <stp/>
        <stp>##V3_BTODAY</stp>
        <stp>[XIDA.xlsm]Peers!R24C29</stp>
        <tr r="AC24" s="4"/>
        <tr r="AC24" s="4"/>
      </tp>
      <tp>
        <v>42240</v>
        <stp/>
        <stp>##V3_BTODAY</stp>
        <stp>[XIDA.xlsm]Peers!R29C29</stp>
        <tr r="AC29" s="4"/>
      </tp>
      <tp>
        <v>42240</v>
        <stp/>
        <stp>##V3_BTODAY</stp>
        <stp>[XIDA.xlsm]Peers!R28C29</stp>
        <tr r="AC28" s="4"/>
      </tp>
      <tp>
        <v>42240</v>
        <stp/>
        <stp>##V3_BTODAY</stp>
        <stp>[XIDA.xlsm]Peers!R33C29</stp>
        <tr r="AC33" s="4"/>
      </tp>
      <tp>
        <v>42240</v>
        <stp/>
        <stp>##V3_BTODAY</stp>
        <stp>[XIDA.xlsm]Peers!R32C29</stp>
        <tr r="AC32" s="4"/>
      </tp>
      <tp>
        <v>42240</v>
        <stp/>
        <stp>##V3_BTODAY</stp>
        <stp>[XIDA.xlsm]Peers!R31C29</stp>
        <tr r="AC31" s="4"/>
      </tp>
      <tp>
        <v>42240</v>
        <stp/>
        <stp>##V3_BTODAY</stp>
        <stp>[XIDA.xlsm]Peers!R30C29</stp>
        <tr r="AC30" s="4"/>
      </tp>
      <tp>
        <v>42240</v>
        <stp/>
        <stp>##V3_BTODAY</stp>
        <stp>[XIDA.xlsm]Peers!R37C29</stp>
        <tr r="AC37" s="4"/>
      </tp>
      <tp>
        <v>42240</v>
        <stp/>
        <stp>##V3_BTODAY</stp>
        <stp>[XIDA.xlsm]Peers!R36C29</stp>
        <tr r="AC36" s="4"/>
      </tp>
      <tp>
        <v>42240</v>
        <stp/>
        <stp>##V3_BTODAY</stp>
        <stp>[XIDA.xlsm]Peers!R35C29</stp>
        <tr r="AC35" s="4"/>
      </tp>
      <tp>
        <v>42240</v>
        <stp/>
        <stp>##V3_BTODAY</stp>
        <stp>[XIDA.xlsm]Peers!R34C29</stp>
        <tr r="AC34" s="4"/>
      </tp>
      <tp>
        <v>42240</v>
        <stp/>
        <stp>##V3_BTODAY</stp>
        <stp>[XIDA.xlsm]Peers!R39C29</stp>
        <tr r="AC39" s="4"/>
      </tp>
      <tp>
        <v>42240</v>
        <stp/>
        <stp>##V3_BTODAY</stp>
        <stp>[XIDA.xlsm]Peers!R38C29</stp>
        <tr r="AC38" s="4"/>
      </tp>
      <tp t="e">
        <v>#N/A</v>
        <stp/>
        <stp>##V3_BDHV12</stp>
        <stp>AAPL US EQUITY</stp>
        <stp>BEST_EBITDA</stp>
        <stp>1/1/2015</stp>
        <stp>4/13/2015</stp>
        <stp>[XIDA.xlsm]DataH!R3C30</stp>
        <stp>BEST FPERIOD OVERRIDE</stp>
        <stp>3GY</stp>
        <stp>BEST_CONSOLIDATED_OVERRIDE</stp>
        <stp>C</stp>
        <stp>PER=CW</stp>
        <stp>SORT=D</stp>
        <stp>DAYS=A</stp>
        <stp>Fill=P</stp>
        <stp>DTS=H</stp>
        <stp>cols=1;rows=15</stp>
        <tr r="AD3" s="16"/>
      </tp>
      <tp t="e">
        <v>#N/A</v>
        <stp/>
        <stp>##V3_BDHV12</stp>
        <stp>AAPL US EQUITY</stp>
        <stp>BEST_EBITDA</stp>
        <stp>1/1/2015</stp>
        <stp>4/13/2015</stp>
        <stp>[XIDA.xlsm]DataH!R3C29</stp>
        <stp>BEST FPERIOD OVERRIDE</stp>
        <stp>2GY</stp>
        <stp>BEST_CONSOLIDATED_OVERRIDE</stp>
        <stp>C</stp>
        <stp>PER=CW</stp>
        <stp>SORT=D</stp>
        <stp>DAYS=A</stp>
        <stp>Fill=P</stp>
        <stp>DTS=H</stp>
        <stp>cols=1;rows=15</stp>
        <tr r="AC3" s="16"/>
      </tp>
      <tp t="e">
        <v>#N/A</v>
        <stp/>
        <stp>##V3_BDHV12</stp>
        <stp>AAPL US EQUITY</stp>
        <stp>BEST_EBITDA</stp>
        <stp>1/1/2015</stp>
        <stp>4/13/2015</stp>
        <stp>[XIDA.xlsm]DataH!R3C28</stp>
        <stp>BEST FPERIOD OVERRIDE</stp>
        <stp>1GY</stp>
        <stp>BEST_CONSOLIDATED_OVERRIDE</stp>
        <stp>C</stp>
        <stp>PER=CW</stp>
        <stp>SORT=D</stp>
        <stp>DAYS=A</stp>
        <stp>Fill=P</stp>
        <stp>DTS=H</stp>
        <stp>cols=1;rows=15</stp>
        <tr r="AB3" s="16"/>
      </tp>
      <tp>
        <v>21701</v>
        <stp/>
        <stp>##V3_BDPV12</stp>
        <stp>AAPL US EQUITY</stp>
        <stp>BS_CUR_ASSET_REPORT</stp>
        <stp>[XIDA.xlsm]Financials!R48C10</stp>
        <stp>EQY_FUND_RELATIVE_PERIOD</stp>
        <stp>-7FY</stp>
        <stp>EQY_FUND_CRNCY</stp>
        <stp>USD</stp>
        <stp>EQY_CONSOLIDATED</stp>
        <stp>Y</stp>
        <stp>Fill=B</stp>
        <tr r="J48" s="8"/>
      </tp>
      <tp>
        <v>30006</v>
        <stp/>
        <stp>##V3_BDPV12</stp>
        <stp>AAPL US EQUITY</stp>
        <stp>BS_CUR_ASSET_REPORT</stp>
        <stp>[XIDA.xlsm]Financials!R48C11</stp>
        <stp>EQY_FUND_RELATIVE_PERIOD</stp>
        <stp>-6FY</stp>
        <stp>EQY_FUND_CRNCY</stp>
        <stp>USD</stp>
        <stp>EQY_CONSOLIDATED</stp>
        <stp>Y</stp>
        <stp>Fill=B</stp>
        <tr r="K48" s="8"/>
      </tp>
      <tp>
        <v>31555</v>
        <stp/>
        <stp>##V3_BDPV12</stp>
        <stp>AAPL US EQUITY</stp>
        <stp>BS_CUR_ASSET_REPORT</stp>
        <stp>[XIDA.xlsm]Financials!R48C12</stp>
        <stp>EQY_FUND_RELATIVE_PERIOD</stp>
        <stp>-5FY</stp>
        <stp>EQY_FUND_CRNCY</stp>
        <stp>USD</stp>
        <stp>EQY_CONSOLIDATED</stp>
        <stp>Y</stp>
        <stp>Fill=B</stp>
        <tr r="L48" s="8"/>
      </tp>
      <tp>
        <v>41678</v>
        <stp/>
        <stp>##V3_BDPV12</stp>
        <stp>AAPL US EQUITY</stp>
        <stp>BS_CUR_ASSET_REPORT</stp>
        <stp>[XIDA.xlsm]Financials!R48C13</stp>
        <stp>EQY_FUND_RELATIVE_PERIOD</stp>
        <stp>-4FY</stp>
        <stp>EQY_FUND_CRNCY</stp>
        <stp>USD</stp>
        <stp>EQY_CONSOLIDATED</stp>
        <stp>Y</stp>
        <stp>Fill=B</stp>
        <tr r="M48" s="8"/>
      </tp>
      <tp>
        <v>44988</v>
        <stp/>
        <stp>##V3_BDPV12</stp>
        <stp>AAPL US EQUITY</stp>
        <stp>BS_CUR_ASSET_REPORT</stp>
        <stp>[XIDA.xlsm]Financials!R48C14</stp>
        <stp>EQY_FUND_RELATIVE_PERIOD</stp>
        <stp>-3FY</stp>
        <stp>EQY_FUND_CRNCY</stp>
        <stp>USD</stp>
        <stp>EQY_CONSOLIDATED</stp>
        <stp>Y</stp>
        <stp>Fill=B</stp>
        <tr r="N48" s="8"/>
      </tp>
      <tp>
        <v>57653</v>
        <stp/>
        <stp>##V3_BDPV12</stp>
        <stp>AAPL US EQUITY</stp>
        <stp>BS_CUR_ASSET_REPORT</stp>
        <stp>[XIDA.xlsm]Financials!R48C15</stp>
        <stp>EQY_FUND_RELATIVE_PERIOD</stp>
        <stp>-2FY</stp>
        <stp>EQY_FUND_CRNCY</stp>
        <stp>USD</stp>
        <stp>EQY_CONSOLIDATED</stp>
        <stp>Y</stp>
        <stp>Fill=B</stp>
        <tr r="O48" s="8"/>
      </tp>
      <tp>
        <v>73286</v>
        <stp/>
        <stp>##V3_BDPV12</stp>
        <stp>AAPL US EQUITY</stp>
        <stp>BS_CUR_ASSET_REPORT</stp>
        <stp>[XIDA.xlsm]Financials!R48C16</stp>
        <stp>EQY_FUND_RELATIVE_PERIOD</stp>
        <stp>-1FY</stp>
        <stp>EQY_FUND_CRNCY</stp>
        <stp>USD</stp>
        <stp>EQY_CONSOLIDATED</stp>
        <stp>Y</stp>
        <stp>Fill=B</stp>
        <tr r="P48" s="8"/>
      </tp>
      <tp>
        <v>68531</v>
        <stp/>
        <stp>##V3_BDPV12</stp>
        <stp>AAPL US EQUITY</stp>
        <stp>BS_CUR_ASSET_REPORT</stp>
        <stp>[XIDA.xlsm]Financials!R48C17</stp>
        <stp>EQY_FUND_RELATIVE_PERIOD</stp>
        <stp>-0FY</stp>
        <stp>EQY_FUND_CRNCY</stp>
        <stp>USD</stp>
        <stp>EQY_CONSOLIDATED</stp>
        <stp>Y</stp>
        <stp>Fill=B</stp>
        <tr r="Q48" s="8"/>
      </tp>
      <tp>
        <v>9106</v>
        <stp/>
        <stp>##V3_BDPV12</stp>
        <stp>AAPL US EQUITY</stp>
        <stp>BS_CUR_LIAB</stp>
        <stp>[XIDA.xlsm]Financials!R62C10</stp>
        <stp>EQY_FUND_RELATIVE_PERIOD</stp>
        <stp>-7FY</stp>
        <stp>EQY_FUND_CRNCY</stp>
        <stp>USD</stp>
        <stp>EQY_CONSOLIDATED</stp>
        <stp>Y</stp>
        <stp>Fill=B</stp>
        <tr r="J62" s="8"/>
      </tp>
      <tp>
        <v>11361</v>
        <stp/>
        <stp>##V3_BDPV12</stp>
        <stp>AAPL US EQUITY</stp>
        <stp>BS_CUR_LIAB</stp>
        <stp>[XIDA.xlsm]Financials!R62C11</stp>
        <stp>EQY_FUND_RELATIVE_PERIOD</stp>
        <stp>-6FY</stp>
        <stp>EQY_FUND_CRNCY</stp>
        <stp>USD</stp>
        <stp>EQY_CONSOLIDATED</stp>
        <stp>Y</stp>
        <stp>Fill=B</stp>
        <tr r="K62" s="8"/>
      </tp>
      <tp>
        <v>11506</v>
        <stp/>
        <stp>##V3_BDPV12</stp>
        <stp>AAPL US EQUITY</stp>
        <stp>BS_CUR_LIAB</stp>
        <stp>[XIDA.xlsm]Financials!R62C12</stp>
        <stp>EQY_FUND_RELATIVE_PERIOD</stp>
        <stp>-5FY</stp>
        <stp>EQY_FUND_CRNCY</stp>
        <stp>USD</stp>
        <stp>EQY_CONSOLIDATED</stp>
        <stp>Y</stp>
        <stp>Fill=B</stp>
        <tr r="L62" s="8"/>
      </tp>
      <tp>
        <v>20722</v>
        <stp/>
        <stp>##V3_BDPV12</stp>
        <stp>AAPL US EQUITY</stp>
        <stp>BS_CUR_LIAB</stp>
        <stp>[XIDA.xlsm]Financials!R62C13</stp>
        <stp>EQY_FUND_RELATIVE_PERIOD</stp>
        <stp>-4FY</stp>
        <stp>EQY_FUND_CRNCY</stp>
        <stp>USD</stp>
        <stp>EQY_CONSOLIDATED</stp>
        <stp>Y</stp>
        <stp>Fill=B</stp>
        <tr r="M62" s="8"/>
      </tp>
      <tp>
        <v>27970</v>
        <stp/>
        <stp>##V3_BDPV12</stp>
        <stp>AAPL US EQUITY</stp>
        <stp>BS_CUR_LIAB</stp>
        <stp>[XIDA.xlsm]Financials!R62C14</stp>
        <stp>EQY_FUND_RELATIVE_PERIOD</stp>
        <stp>-3FY</stp>
        <stp>EQY_FUND_CRNCY</stp>
        <stp>USD</stp>
        <stp>EQY_CONSOLIDATED</stp>
        <stp>Y</stp>
        <stp>Fill=B</stp>
        <tr r="N62" s="8"/>
      </tp>
      <tp>
        <v>38542</v>
        <stp/>
        <stp>##V3_BDPV12</stp>
        <stp>AAPL US EQUITY</stp>
        <stp>BS_CUR_LIAB</stp>
        <stp>[XIDA.xlsm]Financials!R62C15</stp>
        <stp>EQY_FUND_RELATIVE_PERIOD</stp>
        <stp>-2FY</stp>
        <stp>EQY_FUND_CRNCY</stp>
        <stp>USD</stp>
        <stp>EQY_CONSOLIDATED</stp>
        <stp>Y</stp>
        <stp>Fill=B</stp>
        <tr r="O62" s="8"/>
      </tp>
      <tp>
        <v>43658</v>
        <stp/>
        <stp>##V3_BDPV12</stp>
        <stp>AAPL US EQUITY</stp>
        <stp>BS_CUR_LIAB</stp>
        <stp>[XIDA.xlsm]Financials!R62C16</stp>
        <stp>EQY_FUND_RELATIVE_PERIOD</stp>
        <stp>-1FY</stp>
        <stp>EQY_FUND_CRNCY</stp>
        <stp>USD</stp>
        <stp>EQY_CONSOLIDATED</stp>
        <stp>Y</stp>
        <stp>Fill=B</stp>
        <tr r="P62" s="8"/>
      </tp>
      <tp>
        <v>63448</v>
        <stp/>
        <stp>##V3_BDPV12</stp>
        <stp>AAPL US EQUITY</stp>
        <stp>BS_CUR_LIAB</stp>
        <stp>[XIDA.xlsm]Financials!R62C17</stp>
        <stp>EQY_FUND_RELATIVE_PERIOD</stp>
        <stp>-0FY</stp>
        <stp>EQY_FUND_CRNCY</stp>
        <stp>USD</stp>
        <stp>EQY_CONSOLIDATED</stp>
        <stp>Y</stp>
        <stp>Fill=B</stp>
        <tr r="Q62" s="8"/>
      </tp>
      <tp>
        <v>0</v>
        <stp/>
        <stp>##V3_BDPV12</stp>
        <stp>AAPL US EQUITY</stp>
        <stp>CF_DVD_PAID</stp>
        <stp>[XIDA.xlsm]Financials!R98C10</stp>
        <stp>EQY_FUND_RELATIVE_PERIOD</stp>
        <stp>-7FY</stp>
        <stp>EQY_FUND_CRNCY</stp>
        <stp>USD</stp>
        <stp>EQY_CONSOLIDATED</stp>
        <stp>Y</stp>
        <stp>Fill=B</stp>
        <tr r="J98" s="8"/>
      </tp>
      <tp>
        <v>0</v>
        <stp/>
        <stp>##V3_BDPV12</stp>
        <stp>AAPL US EQUITY</stp>
        <stp>CF_DVD_PAID</stp>
        <stp>[XIDA.xlsm]Financials!R98C11</stp>
        <stp>EQY_FUND_RELATIVE_PERIOD</stp>
        <stp>-6FY</stp>
        <stp>EQY_FUND_CRNCY</stp>
        <stp>USD</stp>
        <stp>EQY_CONSOLIDATED</stp>
        <stp>Y</stp>
        <stp>Fill=B</stp>
        <tr r="K98" s="8"/>
      </tp>
      <tp>
        <v>0</v>
        <stp/>
        <stp>##V3_BDPV12</stp>
        <stp>AAPL US EQUITY</stp>
        <stp>CF_DVD_PAID</stp>
        <stp>[XIDA.xlsm]Financials!R98C12</stp>
        <stp>EQY_FUND_RELATIVE_PERIOD</stp>
        <stp>-5FY</stp>
        <stp>EQY_FUND_CRNCY</stp>
        <stp>USD</stp>
        <stp>EQY_CONSOLIDATED</stp>
        <stp>Y</stp>
        <stp>Fill=B</stp>
        <tr r="L98" s="8"/>
      </tp>
      <tp>
        <v>0</v>
        <stp/>
        <stp>##V3_BDPV12</stp>
        <stp>AAPL US EQUITY</stp>
        <stp>CF_DVD_PAID</stp>
        <stp>[XIDA.xlsm]Financials!R98C13</stp>
        <stp>EQY_FUND_RELATIVE_PERIOD</stp>
        <stp>-4FY</stp>
        <stp>EQY_FUND_CRNCY</stp>
        <stp>USD</stp>
        <stp>EQY_CONSOLIDATED</stp>
        <stp>Y</stp>
        <stp>Fill=B</stp>
        <tr r="M98" s="8"/>
      </tp>
      <tp>
        <v>0</v>
        <stp/>
        <stp>##V3_BDPV12</stp>
        <stp>AAPL US EQUITY</stp>
        <stp>CF_DVD_PAID</stp>
        <stp>[XIDA.xlsm]Financials!R98C14</stp>
        <stp>EQY_FUND_RELATIVE_PERIOD</stp>
        <stp>-3FY</stp>
        <stp>EQY_FUND_CRNCY</stp>
        <stp>USD</stp>
        <stp>EQY_CONSOLIDATED</stp>
        <stp>Y</stp>
        <stp>Fill=B</stp>
        <tr r="N98" s="8"/>
      </tp>
      <tp>
        <v>-2488</v>
        <stp/>
        <stp>##V3_BDPV12</stp>
        <stp>AAPL US EQUITY</stp>
        <stp>CF_DVD_PAID</stp>
        <stp>[XIDA.xlsm]Financials!R98C15</stp>
        <stp>EQY_FUND_RELATIVE_PERIOD</stp>
        <stp>-2FY</stp>
        <stp>EQY_FUND_CRNCY</stp>
        <stp>USD</stp>
        <stp>EQY_CONSOLIDATED</stp>
        <stp>Y</stp>
        <stp>Fill=B</stp>
        <tr r="O98" s="8"/>
      </tp>
      <tp>
        <v>-10564</v>
        <stp/>
        <stp>##V3_BDPV12</stp>
        <stp>AAPL US EQUITY</stp>
        <stp>CF_DVD_PAID</stp>
        <stp>[XIDA.xlsm]Financials!R98C16</stp>
        <stp>EQY_FUND_RELATIVE_PERIOD</stp>
        <stp>-1FY</stp>
        <stp>EQY_FUND_CRNCY</stp>
        <stp>USD</stp>
        <stp>EQY_CONSOLIDATED</stp>
        <stp>Y</stp>
        <stp>Fill=B</stp>
        <tr r="P98" s="8"/>
      </tp>
      <tp>
        <v>-11126</v>
        <stp/>
        <stp>##V3_BDPV12</stp>
        <stp>AAPL US EQUITY</stp>
        <stp>CF_DVD_PAID</stp>
        <stp>[XIDA.xlsm]Financials!R98C17</stp>
        <stp>EQY_FUND_RELATIVE_PERIOD</stp>
        <stp>-0FY</stp>
        <stp>EQY_FUND_CRNCY</stp>
        <stp>USD</stp>
        <stp>EQY_CONSOLIDATED</stp>
        <stp>Y</stp>
        <stp>Fill=B</stp>
        <tr r="Q98" s="8"/>
      </tp>
      <tp>
        <v>1779</v>
        <stp/>
        <stp>##V3_BDPV12</stp>
        <stp>AAPL US EQUITY</stp>
        <stp>BS_ACCT_PAYABLE</stp>
        <stp>[XIDA.xlsm]Financials!R63C8</stp>
        <stp>EQY_FUND_RELATIVE_PERIOD</stp>
        <stp>-9FY</stp>
        <stp>EQY_FUND_CRNCY</stp>
        <stp>USD</stp>
        <stp>EQY_CONSOLIDATED</stp>
        <stp>Y</stp>
        <stp>Fill=B</stp>
        <tr r="H63" s="8"/>
      </tp>
      <tp>
        <v>3390</v>
        <stp/>
        <stp>##V3_BDPV12</stp>
        <stp>AAPL US EQUITY</stp>
        <stp>BS_ACCT_PAYABLE</stp>
        <stp>[XIDA.xlsm]Financials!R63C9</stp>
        <stp>EQY_FUND_RELATIVE_PERIOD</stp>
        <stp>-8FY</stp>
        <stp>EQY_FUND_CRNCY</stp>
        <stp>USD</stp>
        <stp>EQY_CONSOLIDATED</stp>
        <stp>Y</stp>
        <stp>Fill=B</stp>
        <tr r="I63" s="8"/>
      </tp>
      <tp>
        <v>182795</v>
        <stp/>
        <stp>##V3_BDPV12</stp>
        <stp>AAPL US EQUITY</stp>
        <stp>SALES_REV_TURN</stp>
        <stp>[XIDA.xlsm]Overview!R15C10</stp>
        <stp>EQY_FUND_CRNCY</stp>
        <stp>USD</stp>
        <stp>EQY_CONSOLIDATED</stp>
        <stp>Y</stp>
        <stp>Fill=-</stp>
        <tr r="J15" s="3"/>
      </tp>
      <tp>
        <v>0</v>
        <stp/>
        <stp>##V3_BDPV12</stp>
        <stp>AAPL US EQUITY</stp>
        <stp>TOT_DEBT_TO_TOT_EQY</stp>
        <stp>[XIDA.xlsm]Financials!R138C8</stp>
        <stp>EQY_FUND_RELATIVE_PERIOD</stp>
        <stp>-9FY</stp>
        <stp>EQY_FUND_CRNCY</stp>
        <stp>USD</stp>
        <stp>EQY_CONSOLIDATED</stp>
        <stp>Y</stp>
        <stp>Fill=0</stp>
        <tr r="H138" s="8"/>
      </tp>
      <tp>
        <v>0</v>
        <stp/>
        <stp>##V3_BDPV12</stp>
        <stp>AAPL US EQUITY</stp>
        <stp>TOT_DEBT_TO_TOT_EQY</stp>
        <stp>[XIDA.xlsm]Financials!R138C9</stp>
        <stp>EQY_FUND_RELATIVE_PERIOD</stp>
        <stp>-8FY</stp>
        <stp>EQY_FUND_CRNCY</stp>
        <stp>USD</stp>
        <stp>EQY_CONSOLIDATED</stp>
        <stp>Y</stp>
        <stp>Fill=0</stp>
        <tr r="I138" s="8"/>
      </tp>
      <tp>
        <v>0.5614285714285715</v>
        <stp/>
        <stp>##V3_BDPV12</stp>
        <stp>AAPL US EQUITY</stp>
        <stp>IS_COMP_EPS_ADJUSTED</stp>
        <stp>[XIDA.xlsm]Financials!R36C10</stp>
        <stp>EQY_FUND_RELATIVE_PERIOD</stp>
        <stp>-7FY</stp>
        <stp>EQY_FUND_CRNCY</stp>
        <stp>USD</stp>
        <stp>EQY_CONSOLIDATED</stp>
        <stp>Y</stp>
        <stp>Fill=B</stp>
        <tr r="J36" s="8"/>
      </tp>
      <tp>
        <v>0.76571428571428579</v>
        <stp/>
        <stp>##V3_BDPV12</stp>
        <stp>AAPL US EQUITY</stp>
        <stp>IS_COMP_EPS_ADJUSTED</stp>
        <stp>[XIDA.xlsm]Financials!R36C11</stp>
        <stp>EQY_FUND_RELATIVE_PERIOD</stp>
        <stp>-6FY</stp>
        <stp>EQY_FUND_CRNCY</stp>
        <stp>USD</stp>
        <stp>EQY_CONSOLIDATED</stp>
        <stp>Y</stp>
        <stp>Fill=B</stp>
        <tr r="K36" s="8"/>
      </tp>
      <tp>
        <v>0.89857142857142858</v>
        <stp/>
        <stp>##V3_BDPV12</stp>
        <stp>AAPL US EQUITY</stp>
        <stp>IS_COMP_EPS_ADJUSTED</stp>
        <stp>[XIDA.xlsm]Financials!R36C12</stp>
        <stp>EQY_FUND_RELATIVE_PERIOD</stp>
        <stp>-5FY</stp>
        <stp>EQY_FUND_CRNCY</stp>
        <stp>USD</stp>
        <stp>EQY_CONSOLIDATED</stp>
        <stp>Y</stp>
        <stp>Fill=B</stp>
        <tr r="L36" s="8"/>
      </tp>
      <tp>
        <v>2.1642857142857141</v>
        <stp/>
        <stp>##V3_BDPV12</stp>
        <stp>AAPL US EQUITY</stp>
        <stp>IS_COMP_EPS_ADJUSTED</stp>
        <stp>[XIDA.xlsm]Financials!R36C13</stp>
        <stp>EQY_FUND_RELATIVE_PERIOD</stp>
        <stp>-4FY</stp>
        <stp>EQY_FUND_CRNCY</stp>
        <stp>USD</stp>
        <stp>EQY_CONSOLIDATED</stp>
        <stp>Y</stp>
        <stp>Fill=B</stp>
        <tr r="M36" s="8"/>
      </tp>
      <tp>
        <v>3.9542857142857142</v>
        <stp/>
        <stp>##V3_BDPV12</stp>
        <stp>AAPL US EQUITY</stp>
        <stp>IS_COMP_EPS_ADJUSTED</stp>
        <stp>[XIDA.xlsm]Financials!R36C14</stp>
        <stp>EQY_FUND_RELATIVE_PERIOD</stp>
        <stp>-3FY</stp>
        <stp>EQY_FUND_CRNCY</stp>
        <stp>USD</stp>
        <stp>EQY_CONSOLIDATED</stp>
        <stp>Y</stp>
        <stp>Fill=B</stp>
        <tr r="N36" s="8"/>
      </tp>
      <tp>
        <v>6.3071428571428569</v>
        <stp/>
        <stp>##V3_BDPV12</stp>
        <stp>AAPL US EQUITY</stp>
        <stp>IS_COMP_EPS_ADJUSTED</stp>
        <stp>[XIDA.xlsm]Financials!R36C15</stp>
        <stp>EQY_FUND_RELATIVE_PERIOD</stp>
        <stp>-2FY</stp>
        <stp>EQY_FUND_CRNCY</stp>
        <stp>USD</stp>
        <stp>EQY_CONSOLIDATED</stp>
        <stp>Y</stp>
        <stp>Fill=B</stp>
        <tr r="O36" s="8"/>
      </tp>
      <tp>
        <v>5.6785714285714288</v>
        <stp/>
        <stp>##V3_BDPV12</stp>
        <stp>AAPL US EQUITY</stp>
        <stp>IS_COMP_EPS_ADJUSTED</stp>
        <stp>[XIDA.xlsm]Financials!R36C16</stp>
        <stp>EQY_FUND_RELATIVE_PERIOD</stp>
        <stp>-1FY</stp>
        <stp>EQY_FUND_CRNCY</stp>
        <stp>USD</stp>
        <stp>EQY_CONSOLIDATED</stp>
        <stp>Y</stp>
        <stp>Fill=B</stp>
        <tr r="P36" s="8"/>
      </tp>
      <tp>
        <v>6.45</v>
        <stp/>
        <stp>##V3_BDPV12</stp>
        <stp>AAPL US EQUITY</stp>
        <stp>IS_COMP_EPS_ADJUSTED</stp>
        <stp>[XIDA.xlsm]Financials!R36C17</stp>
        <stp>EQY_FUND_RELATIVE_PERIOD</stp>
        <stp>-0FY</stp>
        <stp>EQY_FUND_CRNCY</stp>
        <stp>USD</stp>
        <stp>EQY_CONSOLIDATED</stp>
        <stp>Y</stp>
        <stp>Fill=B</stp>
        <tr r="Q36" s="8"/>
      </tp>
      <tp t="e">
        <v>#N/A</v>
        <stp/>
        <stp>##V3_BDSV12</stp>
        <stp>AAPL US EQUITY</stp>
        <stp>BLOOMBERG_PEERS</stp>
        <stp>[XIDA.xlsm]Peers!R18C3</stp>
        <stp>StartRow=1</stp>
        <stp>EndRow=180</stp>
        <stp>cols=1;rows=8</stp>
        <tr r="C18" s="4"/>
      </tp>
      <tp>
        <v>0</v>
        <stp/>
        <stp>##V3_BDPV12</stp>
        <stp>AAPL US EQUITY</stp>
        <stp>BS_LT_INVEST</stp>
        <stp>[XIDA.xlsm]Financials!R56C7</stp>
        <stp>EQY_FUND_RELATIVE_PERIOD</stp>
        <stp>-10FY</stp>
        <stp>EQY_FUND_CRNCY</stp>
        <stp>USD</stp>
        <stp>EQY_CONSOLIDATED</stp>
        <stp>Y</stp>
        <stp>Fill=B</stp>
        <tr r="G56" s="8"/>
      </tp>
      <tp t="s">
        <v>#N/A Requesting Data...</v>
        <stp/>
        <stp>##V3_BDSV12</stp>
        <stp>AAPL US EQUITY</stp>
        <stp>BEST_ROA_BRK_GRID</stp>
        <stp>[XIDA.xlsm]DataH!R8C111</stp>
        <stp>BEST_FPERIOD_OVERRIDE</stp>
        <stp>1FQ</stp>
        <stp>STARTCOL=1</stp>
        <stp>ENDCOL=1</stp>
        <stp>EQY_FUND_CRNCY</stp>
        <stp>USD</stp>
        <stp>BEST_CONSOLIDATED_OVERRIDE</stp>
        <stp>C</stp>
        <tr r="DG8" s="16"/>
      </tp>
      <tp>
        <v>39.657000000000004</v>
        <stp/>
        <stp>##V3_BDPV12</stp>
        <stp>AAPL US EQUITY</stp>
        <stp>BEST_GROSS_MARGIN</stp>
        <stp>[XIDA.xlsm]Financials!R126C19</stp>
        <stp>BEST_FPERIOD_OVERRIDE</stp>
        <stp>2FY</stp>
        <stp>EQY_FUND_CRNCY</stp>
        <stp>USD</stp>
        <stp>BEST_CONSOLIDATED_OVERRIDE</stp>
        <stp>C</stp>
        <stp>Fill=0</stp>
        <tr r="S126" s="8"/>
      </tp>
      <tp>
        <v>39.975999999999999</v>
        <stp/>
        <stp>##V3_BDPV12</stp>
        <stp>AAPL US EQUITY</stp>
        <stp>BEST_GROSS_MARGIN</stp>
        <stp>[XIDA.xlsm]Financials!R126C18</stp>
        <stp>BEST_FPERIOD_OVERRIDE</stp>
        <stp>1FY</stp>
        <stp>EQY_FUND_CRNCY</stp>
        <stp>USD</stp>
        <stp>BEST_CONSOLIDATED_OVERRIDE</stp>
        <stp>C</stp>
        <stp>Fill=0</stp>
        <tr r="R126" s="8"/>
      </tp>
      <tp t="s">
        <v>#N/A Requesting Data...</v>
        <stp/>
        <stp>##V3_BDSV12</stp>
        <stp>AAPL US EQUITY</stp>
        <stp>BEST_BPS_BRK_GRID</stp>
        <stp>[XIDA.xlsm]DataH!R8C101</stp>
        <stp>BEST_FPERIOD_OVERRIDE</stp>
        <stp>1FQ</stp>
        <stp>STARTCOL=1</stp>
        <stp>ENDCOL=1</stp>
        <stp>EQY_FUND_CRNCY</stp>
        <stp>USD</stp>
        <stp>BEST_CONSOLIDATED_OVERRIDE</stp>
        <stp>C</stp>
        <tr r="CW8" s="16"/>
      </tp>
      <tp>
        <v>0</v>
        <stp/>
        <stp>##V3_BDPV12</stp>
        <stp>AAPL US EQUITY</stp>
        <stp>CF_INCR_LT_BORROW</stp>
        <stp>[XIDA.xlsm]Financials!R100C7</stp>
        <stp>EQY_FUND_RELATIVE_PERIOD</stp>
        <stp>-10FY</stp>
        <stp>EQY_FUND_CRNCY</stp>
        <stp>USD</stp>
        <stp>EQY_CONSOLIDATED</stp>
        <stp>Y</stp>
        <stp>Fill=B</stp>
        <tr r="G100" s="8"/>
      </tp>
      <tp>
        <v>15.167</v>
        <stp/>
        <stp>##V3_BDPV12</stp>
        <stp>AAPL US EQUITY</stp>
        <stp>BEST_ROA</stp>
        <stp>[XIDA.xlsm]DataH!R5C112</stp>
        <stp>BEST_FPERIOD_OVERRIDE</stp>
        <stp>1FQ</stp>
        <stp>BEST_DATA_SOURCE_OVERRIDE</stp>
        <stp>BPE</stp>
        <stp>EQY_FUND_CRNCY</stp>
        <stp>USD</stp>
        <stp>BEST_CONSOLIDATED_OVERRIDE</stp>
        <stp>C</stp>
        <tr r="DH5" s="16"/>
      </tp>
      <tp>
        <v>21</v>
        <stp/>
        <stp>##V3_BDPV12</stp>
        <stp>AAPL US EQUITY</stp>
        <stp>BEST_ROA</stp>
        <stp>[XIDA.xlsm]DataH!R5C113</stp>
        <stp>BEST_FPERIOD_OVERRIDE</stp>
        <stp>2FQ</stp>
        <stp>BEST_DATA_SOURCE_OVERRIDE</stp>
        <stp>BPE</stp>
        <stp>EQY_FUND_CRNCY</stp>
        <stp>USD</stp>
        <stp>BEST_CONSOLIDATED_OVERRIDE</stp>
        <stp>C</stp>
        <tr r="DI5" s="16"/>
      </tp>
      <tp>
        <v>15.4</v>
        <stp/>
        <stp>##V3_BDPV12</stp>
        <stp>AAPL US EQUITY</stp>
        <stp>BEST_ROA</stp>
        <stp>[XIDA.xlsm]DataH!R5C115</stp>
        <stp>BEST_FPERIOD_OVERRIDE</stp>
        <stp>3FQ</stp>
        <stp>BEST_DATA_SOURCE_OVERRIDE</stp>
        <stp>BPE</stp>
        <stp>EQY_FUND_CRNCY</stp>
        <stp>USD</stp>
        <stp>BEST_CONSOLIDATED_OVERRIDE</stp>
        <stp>C</stp>
        <tr r="DK5" s="16"/>
      </tp>
      <tp>
        <v>36.9</v>
        <stp/>
        <stp>##V3_BDPV12</stp>
        <stp>AAPL US EQUITY</stp>
        <stp>BEST_ROE</stp>
        <stp>[XIDA.xlsm]DataH!R5C110</stp>
        <stp>BEST_FPERIOD_OVERRIDE</stp>
        <stp>3FQ</stp>
        <stp>BEST_DATA_SOURCE_OVERRIDE</stp>
        <stp>BPE</stp>
        <stp>EQY_FUND_CRNCY</stp>
        <stp>USD</stp>
        <stp>BEST_CONSOLIDATED_OVERRIDE</stp>
        <stp>C</stp>
        <tr r="DF5" s="16"/>
      </tp>
      <tp>
        <v>33.1</v>
        <stp/>
        <stp>##V3_BDPV12</stp>
        <stp>AAPL US EQUITY</stp>
        <stp>BEST_ROE</stp>
        <stp>[XIDA.xlsm]DataH!R5C107</stp>
        <stp>BEST_FPERIOD_OVERRIDE</stp>
        <stp>1FQ</stp>
        <stp>BEST_DATA_SOURCE_OVERRIDE</stp>
        <stp>BPE</stp>
        <stp>EQY_FUND_CRNCY</stp>
        <stp>USD</stp>
        <stp>BEST_CONSOLIDATED_OVERRIDE</stp>
        <stp>C</stp>
        <tr r="DC5" s="16"/>
      </tp>
      <tp>
        <v>50.1</v>
        <stp/>
        <stp>##V3_BDPV12</stp>
        <stp>AAPL US EQUITY</stp>
        <stp>BEST_ROE</stp>
        <stp>[XIDA.xlsm]DataH!R5C108</stp>
        <stp>BEST_FPERIOD_OVERRIDE</stp>
        <stp>2FQ</stp>
        <stp>BEST_DATA_SOURCE_OVERRIDE</stp>
        <stp>BPE</stp>
        <stp>EQY_FUND_CRNCY</stp>
        <stp>USD</stp>
        <stp>BEST_CONSOLIDATED_OVERRIDE</stp>
        <stp>C</stp>
        <tr r="DD5" s="16"/>
      </tp>
      <tp>
        <v>33.1</v>
        <stp/>
        <stp>##V3_BDPV12</stp>
        <stp>AAPL US EQUITY</stp>
        <stp>BEST_ROE</stp>
        <stp>[XIDA.xlsm]DataH!R3C107</stp>
        <stp>BEST_FPERIOD_OVERRIDE</stp>
        <stp>1FQ</stp>
        <stp>BEST_DATA_SOURCE_OVERRIDE</stp>
        <stp>BST</stp>
        <stp>EQY_FUND_CRNCY</stp>
        <stp>USD</stp>
        <stp>BEST_CONSOLIDATED_OVERRIDE</stp>
        <stp>C</stp>
        <tr r="DC3" s="16"/>
      </tp>
      <tp>
        <v>50.1</v>
        <stp/>
        <stp>##V3_BDPV12</stp>
        <stp>AAPL US EQUITY</stp>
        <stp>BEST_ROE</stp>
        <stp>[XIDA.xlsm]DataH!R3C108</stp>
        <stp>BEST_FPERIOD_OVERRIDE</stp>
        <stp>2FQ</stp>
        <stp>BEST_DATA_SOURCE_OVERRIDE</stp>
        <stp>BST</stp>
        <stp>EQY_FUND_CRNCY</stp>
        <stp>USD</stp>
        <stp>BEST_CONSOLIDATED_OVERRIDE</stp>
        <stp>C</stp>
        <tr r="DD3" s="16"/>
      </tp>
      <tp>
        <v>36.9</v>
        <stp/>
        <stp>##V3_BDPV12</stp>
        <stp>AAPL US EQUITY</stp>
        <stp>BEST_ROE</stp>
        <stp>[XIDA.xlsm]DataH!R3C110</stp>
        <stp>BEST_FPERIOD_OVERRIDE</stp>
        <stp>3FQ</stp>
        <stp>BEST_DATA_SOURCE_OVERRIDE</stp>
        <stp>BST</stp>
        <stp>EQY_FUND_CRNCY</stp>
        <stp>USD</stp>
        <stp>BEST_CONSOLIDATED_OVERRIDE</stp>
        <stp>C</stp>
        <tr r="DF3" s="16"/>
      </tp>
      <tp>
        <v>15.4</v>
        <stp/>
        <stp>##V3_BDPV12</stp>
        <stp>AAPL US EQUITY</stp>
        <stp>BEST_ROA</stp>
        <stp>[XIDA.xlsm]DataH!R3C115</stp>
        <stp>BEST_FPERIOD_OVERRIDE</stp>
        <stp>3FQ</stp>
        <stp>BEST_DATA_SOURCE_OVERRIDE</stp>
        <stp>BST</stp>
        <stp>EQY_FUND_CRNCY</stp>
        <stp>USD</stp>
        <stp>BEST_CONSOLIDATED_OVERRIDE</stp>
        <stp>C</stp>
        <tr r="DK3" s="16"/>
      </tp>
      <tp>
        <v>21</v>
        <stp/>
        <stp>##V3_BDPV12</stp>
        <stp>AAPL US EQUITY</stp>
        <stp>BEST_ROA</stp>
        <stp>[XIDA.xlsm]DataH!R3C113</stp>
        <stp>BEST_FPERIOD_OVERRIDE</stp>
        <stp>2FQ</stp>
        <stp>BEST_DATA_SOURCE_OVERRIDE</stp>
        <stp>BST</stp>
        <stp>EQY_FUND_CRNCY</stp>
        <stp>USD</stp>
        <stp>BEST_CONSOLIDATED_OVERRIDE</stp>
        <stp>C</stp>
        <tr r="DI3" s="16"/>
      </tp>
      <tp>
        <v>15.167</v>
        <stp/>
        <stp>##V3_BDPV12</stp>
        <stp>AAPL US EQUITY</stp>
        <stp>BEST_ROA</stp>
        <stp>[XIDA.xlsm]DataH!R3C112</stp>
        <stp>BEST_FPERIOD_OVERRIDE</stp>
        <stp>1FQ</stp>
        <stp>BEST_DATA_SOURCE_OVERRIDE</stp>
        <stp>BST</stp>
        <stp>EQY_FUND_CRNCY</stp>
        <stp>USD</stp>
        <stp>BEST_CONSOLIDATED_OVERRIDE</stp>
        <stp>C</stp>
        <tr r="DH3" s="16"/>
      </tp>
      <tp>
        <v>48050.639691600001</v>
        <stp/>
        <stp>##V3_BDPV12</stp>
        <stp>HPQ US EQUITY</stp>
        <stp>CRNCY_ADJ_MKT_CAP</stp>
        <stp>[XIDA.xlsm]Peers!R22C13</stp>
        <tr r="M22" s="4"/>
        <tr r="M22" s="4"/>
      </tp>
      <tp t="s">
        <v>#N/A N/A</v>
        <stp/>
        <stp>##V3_BDPV12</stp>
        <stp>AAPL US EQUITY</stp>
        <stp>BEST_ROE</stp>
        <stp>[XIDA.xlsm]DataH!R4C110</stp>
        <stp>BEST_FPERIOD_OVERRIDE</stp>
        <stp>3FQ</stp>
        <stp>BEST_DATA_SOURCE_OVERRIDE</stp>
        <stp>BLI</stp>
        <stp>EQY_FUND_CRNCY</stp>
        <stp>USD</stp>
        <stp>BEST_CONSOLIDATED_OVERRIDE</stp>
        <stp>C</stp>
        <tr r="DF4" s="16"/>
      </tp>
      <tp t="s">
        <v>#N/A N/A</v>
        <stp/>
        <stp>##V3_BDPV12</stp>
        <stp>AAPL US EQUITY</stp>
        <stp>BEST_ROA</stp>
        <stp>[XIDA.xlsm]DataH!R4C115</stp>
        <stp>BEST_FPERIOD_OVERRIDE</stp>
        <stp>3FQ</stp>
        <stp>BEST_DATA_SOURCE_OVERRIDE</stp>
        <stp>BLI</stp>
        <stp>EQY_FUND_CRNCY</stp>
        <stp>USD</stp>
        <stp>BEST_CONSOLIDATED_OVERRIDE</stp>
        <stp>C</stp>
        <tr r="DK4" s="16"/>
      </tp>
      <tp t="s">
        <v>#N/A N/A</v>
        <stp/>
        <stp>##V3_BDPV12</stp>
        <stp>AAPL US EQUITY</stp>
        <stp>BEST_ROA</stp>
        <stp>[XIDA.xlsm]DataH!R4C112</stp>
        <stp>BEST_FPERIOD_OVERRIDE</stp>
        <stp>1FQ</stp>
        <stp>BEST_DATA_SOURCE_OVERRIDE</stp>
        <stp>BLI</stp>
        <stp>EQY_FUND_CRNCY</stp>
        <stp>USD</stp>
        <stp>BEST_CONSOLIDATED_OVERRIDE</stp>
        <stp>C</stp>
        <tr r="DH4" s="16"/>
      </tp>
      <tp t="s">
        <v>#N/A N/A</v>
        <stp/>
        <stp>##V3_BDPV12</stp>
        <stp>AAPL US EQUITY</stp>
        <stp>BEST_ROA</stp>
        <stp>[XIDA.xlsm]DataH!R4C113</stp>
        <stp>BEST_FPERIOD_OVERRIDE</stp>
        <stp>2FQ</stp>
        <stp>BEST_DATA_SOURCE_OVERRIDE</stp>
        <stp>BLI</stp>
        <stp>EQY_FUND_CRNCY</stp>
        <stp>USD</stp>
        <stp>BEST_CONSOLIDATED_OVERRIDE</stp>
        <stp>C</stp>
        <tr r="DI4" s="16"/>
      </tp>
      <tp t="s">
        <v>#N/A N/A</v>
        <stp/>
        <stp>##V3_BDPV12</stp>
        <stp>AAPL US EQUITY</stp>
        <stp>BEST_ROE</stp>
        <stp>[XIDA.xlsm]DataH!R4C108</stp>
        <stp>BEST_FPERIOD_OVERRIDE</stp>
        <stp>2FQ</stp>
        <stp>BEST_DATA_SOURCE_OVERRIDE</stp>
        <stp>BLI</stp>
        <stp>EQY_FUND_CRNCY</stp>
        <stp>USD</stp>
        <stp>BEST_CONSOLIDATED_OVERRIDE</stp>
        <stp>C</stp>
        <tr r="DD4" s="16"/>
      </tp>
      <tp t="s">
        <v>#N/A N/A</v>
        <stp/>
        <stp>##V3_BDPV12</stp>
        <stp>AAPL US EQUITY</stp>
        <stp>BEST_ROE</stp>
        <stp>[XIDA.xlsm]DataH!R4C107</stp>
        <stp>BEST_FPERIOD_OVERRIDE</stp>
        <stp>1FQ</stp>
        <stp>BEST_DATA_SOURCE_OVERRIDE</stp>
        <stp>BLI</stp>
        <stp>EQY_FUND_CRNCY</stp>
        <stp>USD</stp>
        <stp>BEST_CONSOLIDATED_OVERRIDE</stp>
        <stp>C</stp>
        <tr r="DC4" s="16"/>
      </tp>
      <tp>
        <v>21171</v>
        <stp/>
        <stp>##V3_BDPV12</stp>
        <stp>AAPL US EQUITY</stp>
        <stp>BEST_EBITDA</stp>
        <stp>[XIDA.xlsm]DataH!R4C70</stp>
        <stp>BEST_FPERIOD_OVERRIDE</stp>
        <stp>3FQ</stp>
        <stp>BEST_DATA_SOURCE_OVERRIDE</stp>
        <stp>BLI</stp>
        <stp>EQY_FUND_CRNCY</stp>
        <stp>USD</stp>
        <stp>BEST_CONSOLIDATED_OVERRIDE</stp>
        <stp>C</stp>
        <tr r="BR4" s="16"/>
      </tp>
      <tp>
        <v>26862.5</v>
        <stp/>
        <stp>##V3_BDPV12</stp>
        <stp>AAPL US EQUITY</stp>
        <stp>BEST_EBITDA</stp>
        <stp>[XIDA.xlsm]DataH!R4C68</stp>
        <stp>BEST_FPERIOD_OVERRIDE</stp>
        <stp>2FQ</stp>
        <stp>BEST_DATA_SOURCE_OVERRIDE</stp>
        <stp>BLI</stp>
        <stp>EQY_FUND_CRNCY</stp>
        <stp>USD</stp>
        <stp>BEST_CONSOLIDATED_OVERRIDE</stp>
        <stp>C</stp>
        <tr r="BP4" s="16"/>
      </tp>
      <tp>
        <v>17287.5</v>
        <stp/>
        <stp>##V3_BDPV12</stp>
        <stp>AAPL US EQUITY</stp>
        <stp>BEST_EBITDA</stp>
        <stp>[XIDA.xlsm]DataH!R4C67</stp>
        <stp>BEST_FPERIOD_OVERRIDE</stp>
        <stp>1FQ</stp>
        <stp>BEST_DATA_SOURCE_OVERRIDE</stp>
        <stp>BLI</stp>
        <stp>EQY_FUND_CRNCY</stp>
        <stp>USD</stp>
        <stp>BEST_CONSOLIDATED_OVERRIDE</stp>
        <stp>C</stp>
        <tr r="BO4" s="16"/>
      </tp>
      <tp>
        <v>20932.75</v>
        <stp/>
        <stp>##V3_BDPV12</stp>
        <stp>AAPL US EQUITY</stp>
        <stp>BEST_EBITDA</stp>
        <stp>[XIDA.xlsm]DataH!R5C70</stp>
        <stp>BEST_FPERIOD_OVERRIDE</stp>
        <stp>3FQ</stp>
        <stp>BEST_DATA_SOURCE_OVERRIDE</stp>
        <stp>BPE</stp>
        <stp>EQY_FUND_CRNCY</stp>
        <stp>USD</stp>
        <stp>BEST_CONSOLIDATED_OVERRIDE</stp>
        <stp>C</stp>
        <tr r="BR5" s="16"/>
      </tp>
      <tp>
        <v>16909.5</v>
        <stp/>
        <stp>##V3_BDPV12</stp>
        <stp>AAPL US EQUITY</stp>
        <stp>BEST_EBITDA</stp>
        <stp>[XIDA.xlsm]DataH!R5C67</stp>
        <stp>BEST_FPERIOD_OVERRIDE</stp>
        <stp>1FQ</stp>
        <stp>BEST_DATA_SOURCE_OVERRIDE</stp>
        <stp>BPE</stp>
        <stp>EQY_FUND_CRNCY</stp>
        <stp>USD</stp>
        <stp>BEST_CONSOLIDATED_OVERRIDE</stp>
        <stp>C</stp>
        <tr r="BO5" s="16"/>
      </tp>
      <tp>
        <v>26939.8</v>
        <stp/>
        <stp>##V3_BDPV12</stp>
        <stp>AAPL US EQUITY</stp>
        <stp>BEST_EBITDA</stp>
        <stp>[XIDA.xlsm]DataH!R5C68</stp>
        <stp>BEST_FPERIOD_OVERRIDE</stp>
        <stp>2FQ</stp>
        <stp>BEST_DATA_SOURCE_OVERRIDE</stp>
        <stp>BPE</stp>
        <stp>EQY_FUND_CRNCY</stp>
        <stp>USD</stp>
        <stp>BEST_CONSOLIDATED_OVERRIDE</stp>
        <stp>C</stp>
        <tr r="BP5" s="16"/>
      </tp>
      <tp>
        <v>16882.143</v>
        <stp/>
        <stp>##V3_BDPV12</stp>
        <stp>AAPL US EQUITY</stp>
        <stp>BEST_EBITDA</stp>
        <stp>[XIDA.xlsm]DataH!R3C67</stp>
        <stp>BEST_FPERIOD_OVERRIDE</stp>
        <stp>1FQ</stp>
        <stp>BEST_DATA_SOURCE_OVERRIDE</stp>
        <stp>BST</stp>
        <stp>EQY_FUND_CRNCY</stp>
        <stp>USD</stp>
        <stp>BEST_CONSOLIDATED_OVERRIDE</stp>
        <stp>C</stp>
        <tr r="BO3" s="16"/>
      </tp>
      <tp>
        <v>27325.429</v>
        <stp/>
        <stp>##V3_BDPV12</stp>
        <stp>AAPL US EQUITY</stp>
        <stp>BEST_EBITDA</stp>
        <stp>[XIDA.xlsm]DataH!R3C68</stp>
        <stp>BEST_FPERIOD_OVERRIDE</stp>
        <stp>2FQ</stp>
        <stp>BEST_DATA_SOURCE_OVERRIDE</stp>
        <stp>BST</stp>
        <stp>EQY_FUND_CRNCY</stp>
        <stp>USD</stp>
        <stp>BEST_CONSOLIDATED_OVERRIDE</stp>
        <stp>C</stp>
        <tr r="BP3" s="16"/>
      </tp>
      <tp>
        <v>21124.5</v>
        <stp/>
        <stp>##V3_BDPV12</stp>
        <stp>AAPL US EQUITY</stp>
        <stp>BEST_EBITDA</stp>
        <stp>[XIDA.xlsm]DataH!R3C70</stp>
        <stp>BEST_FPERIOD_OVERRIDE</stp>
        <stp>3FQ</stp>
        <stp>BEST_DATA_SOURCE_OVERRIDE</stp>
        <stp>BST</stp>
        <stp>EQY_FUND_CRNCY</stp>
        <stp>USD</stp>
        <stp>BEST_CONSOLIDATED_OVERRIDE</stp>
        <stp>C</stp>
        <tr r="BR3" s="16"/>
      </tp>
      <tp>
        <v>3.7261065943992775</v>
        <stp/>
        <stp>##V3_BDPV12</stp>
        <stp>AAPL US EQUITY</stp>
        <stp>BEST_PX_BPS_RATIO</stp>
        <stp>[XIDA.xlsm]Financials!R122C19</stp>
        <stp>BEST_FPERIOD_OVERRIDE</stp>
        <stp>2FY</stp>
        <stp>EQY_FUND_CRNCY</stp>
        <stp>USD</stp>
        <stp>BEST_CONSOLIDATED_OVERRIDE</stp>
        <stp>C</stp>
        <stp>Fill=B</stp>
        <tr r="S122" s="8"/>
      </tp>
      <tp>
        <v>4.5447333627148527</v>
        <stp/>
        <stp>##V3_BDPV12</stp>
        <stp>AAPL US EQUITY</stp>
        <stp>BEST_PX_BPS_RATIO</stp>
        <stp>[XIDA.xlsm]Financials!R122C18</stp>
        <stp>BEST_FPERIOD_OVERRIDE</stp>
        <stp>1FY</stp>
        <stp>EQY_FUND_CRNCY</stp>
        <stp>USD</stp>
        <stp>BEST_CONSOLIDATED_OVERRIDE</stp>
        <stp>C</stp>
        <stp>Fill=B</stp>
        <tr r="R122" s="8"/>
      </tp>
      <tp t="s">
        <v>#N/A Requesting Data...</v>
        <stp/>
        <stp>##V3_BDSV12</stp>
        <stp>AAPL US EQUITY</stp>
        <stp>BEST_ROE_BRK_GRID</stp>
        <stp>[XIDA.xlsm]DataH!R8C106</stp>
        <stp>BEST_FPERIOD_OVERRIDE</stp>
        <stp>1FQ</stp>
        <stp>STARTCOL=1</stp>
        <stp>ENDCOL=1</stp>
        <stp>EQY_FUND_CRNCY</stp>
        <stp>USD</stp>
        <stp>BEST_CONSOLIDATED_OVERRIDE</stp>
        <stp>C</stp>
        <tr r="DB8" s="16"/>
      </tp>
      <tp t="s">
        <v>#N/A Requesting Data...</v>
        <stp/>
        <stp>##V3_BDSV12</stp>
        <stp>AAPL US EQUITY</stp>
        <stp>BEST_ROA_BRK_GRID</stp>
        <stp>[XIDA.xlsm]DataH!R8C114</stp>
        <stp>BEST_FPERIOD_OVERRIDE</stp>
        <stp>3FQ</stp>
        <stp>STARTCOL=1</stp>
        <stp>ENDCOL=1</stp>
        <stp>EQY_FUND_CRNCY</stp>
        <stp>USD</stp>
        <stp>BEST_CONSOLIDATED_OVERRIDE</stp>
        <stp>C</stp>
        <tr r="DJ8" s="16"/>
      </tp>
      <tp>
        <v>4.6564299424184261</v>
        <stp/>
        <stp>##V3_BDPV12</stp>
        <stp>AAPL US EQUITY</stp>
        <stp>ACCOUNTS_PAYABLE_TURNOVER</stp>
        <stp>[XIDA.xlsm]Financials!R143C7</stp>
        <stp>EQY_FUND_RELATIVE_PERIOD</stp>
        <stp>-10FY</stp>
        <stp>EQY_FUND_CRNCY</stp>
        <stp>USD</stp>
        <stp>EQY_CONSOLIDATED</stp>
        <stp>Y</stp>
        <stp>Fill=B</stp>
        <tr r="G143" s="8"/>
      </tp>
      <tp t="s">
        <v>#N/A Requesting Data...</v>
        <stp/>
        <stp>##V3_BDSV12</stp>
        <stp>AAPL US EQUITY</stp>
        <stp>BEST_BPS_BRK_GRID</stp>
        <stp>[XIDA.xlsm]DataH!R8C104</stp>
        <stp>BEST_FPERIOD_OVERRIDE</stp>
        <stp>3FQ</stp>
        <stp>STARTCOL=1</stp>
        <stp>ENDCOL=1</stp>
        <stp>EQY_FUND_CRNCY</stp>
        <stp>USD</stp>
        <stp>BEST_CONSOLIDATED_OVERRIDE</stp>
        <stp>C</stp>
        <tr r="CZ8" s="16"/>
      </tp>
      <tp>
        <v>-13.80888</v>
        <stp/>
        <stp>##V3_BDPV12</stp>
        <stp>ALU FP EQUITY</stp>
        <stp>CUST_TRR_RETURN_HOLDING_PER</stp>
        <stp>[XIDA.xlsm]DataH!R29C6</stp>
        <stp>CUST_TRR_START_DT</stp>
        <stp>20150724</stp>
        <stp>CUST_TRR_END_DT</stp>
        <stp>20150824</stp>
        <stp>CUST_TRR_CRNCY</stp>
        <stp>USD</stp>
        <tr r="F29" s="16"/>
      </tp>
      <tp>
        <v>0</v>
        <stp/>
        <stp>##V3_BDPV12</stp>
        <stp>AAPL US EQUITY</stp>
        <stp>TOT_DEBT_TO_TOT_CAP</stp>
        <stp>[XIDA.xlsm]Financials!R137C8</stp>
        <stp>EQY_FUND_RELATIVE_PERIOD</stp>
        <stp>-9FY</stp>
        <stp>EQY_FUND_CRNCY</stp>
        <stp>USD</stp>
        <stp>EQY_CONSOLIDATED</stp>
        <stp>Y</stp>
        <stp>Fill=0</stp>
        <tr r="H137" s="8"/>
      </tp>
      <tp>
        <v>0</v>
        <stp/>
        <stp>##V3_BDPV12</stp>
        <stp>AAPL US EQUITY</stp>
        <stp>TOT_DEBT_TO_TOT_CAP</stp>
        <stp>[XIDA.xlsm]Financials!R137C9</stp>
        <stp>EQY_FUND_RELATIVE_PERIOD</stp>
        <stp>-8FY</stp>
        <stp>EQY_FUND_CRNCY</stp>
        <stp>USD</stp>
        <stp>EQY_CONSOLIDATED</stp>
        <stp>Y</stp>
        <stp>Fill=0</stp>
        <tr r="I137" s="8"/>
      </tp>
      <tp>
        <v>2.3108909683870307</v>
        <stp/>
        <stp>##V3_BDPV12</stp>
        <stp>AAPL US EQUITY</stp>
        <stp>TANG_BOOK_VAL_PER_SH</stp>
        <stp>[XIDA.xlsm]Financials!R82C10</stp>
        <stp>EQY_FUND_RELATIVE_PERIOD</stp>
        <stp>-7FY</stp>
        <stp>EQY_FUND_CRNCY</stp>
        <stp>USD</stp>
        <stp>EQY_CONSOLIDATED</stp>
        <stp>Y</stp>
        <stp>Fill=B</stp>
        <tr r="J82" s="8"/>
      </tp>
      <tp>
        <v>3.4958209776768188</v>
        <stp/>
        <stp>##V3_BDPV12</stp>
        <stp>AAPL US EQUITY</stp>
        <stp>TANG_BOOK_VAL_PER_SH</stp>
        <stp>[XIDA.xlsm]Financials!R82C11</stp>
        <stp>EQY_FUND_RELATIVE_PERIOD</stp>
        <stp>-6FY</stp>
        <stp>EQY_FUND_CRNCY</stp>
        <stp>USD</stp>
        <stp>EQY_CONSOLIDATED</stp>
        <stp>Y</stp>
        <stp>Fill=B</stp>
        <tr r="K82" s="8"/>
      </tp>
      <tp>
        <v>4.9513875101738254</v>
        <stp/>
        <stp>##V3_BDPV12</stp>
        <stp>AAPL US EQUITY</stp>
        <stp>TANG_BOOK_VAL_PER_SH</stp>
        <stp>[XIDA.xlsm]Financials!R82C12</stp>
        <stp>EQY_FUND_RELATIVE_PERIOD</stp>
        <stp>-5FY</stp>
        <stp>EQY_FUND_CRNCY</stp>
        <stp>USD</stp>
        <stp>EQY_CONSOLIDATED</stp>
        <stp>Y</stp>
        <stp>Fill=B</stp>
        <tr r="L82" s="8"/>
      </tp>
      <tp>
        <v>7.2847048094764988</v>
        <stp/>
        <stp>##V3_BDPV12</stp>
        <stp>AAPL US EQUITY</stp>
        <stp>TANG_BOOK_VAL_PER_SH</stp>
        <stp>[XIDA.xlsm]Financials!R82C13</stp>
        <stp>EQY_FUND_RELATIVE_PERIOD</stp>
        <stp>-4FY</stp>
        <stp>EQY_FUND_CRNCY</stp>
        <stp>USD</stp>
        <stp>EQY_CONSOLIDATED</stp>
        <stp>Y</stp>
        <stp>Fill=B</stp>
        <tr r="M82" s="8"/>
      </tp>
      <tp>
        <v>11.096645179916367</v>
        <stp/>
        <stp>##V3_BDPV12</stp>
        <stp>AAPL US EQUITY</stp>
        <stp>TANG_BOOK_VAL_PER_SH</stp>
        <stp>[XIDA.xlsm]Financials!R82C14</stp>
        <stp>EQY_FUND_RELATIVE_PERIOD</stp>
        <stp>-3FY</stp>
        <stp>EQY_FUND_CRNCY</stp>
        <stp>USD</stp>
        <stp>EQY_CONSOLIDATED</stp>
        <stp>Y</stp>
        <stp>Fill=B</stp>
        <tr r="N82" s="8"/>
      </tp>
      <tp>
        <v>17.165070387572751</v>
        <stp/>
        <stp>##V3_BDPV12</stp>
        <stp>AAPL US EQUITY</stp>
        <stp>TANG_BOOK_VAL_PER_SH</stp>
        <stp>[XIDA.xlsm]Financials!R82C15</stp>
        <stp>EQY_FUND_RELATIVE_PERIOD</stp>
        <stp>-2FY</stp>
        <stp>EQY_FUND_CRNCY</stp>
        <stp>USD</stp>
        <stp>EQY_CONSOLIDATED</stp>
        <stp>Y</stp>
        <stp>Fill=B</stp>
        <tr r="O82" s="8"/>
      </tp>
      <tp>
        <v>18.7136656482629</v>
        <stp/>
        <stp>##V3_BDPV12</stp>
        <stp>AAPL US EQUITY</stp>
        <stp>TANG_BOOK_VAL_PER_SH</stp>
        <stp>[XIDA.xlsm]Financials!R82C16</stp>
        <stp>EQY_FUND_RELATIVE_PERIOD</stp>
        <stp>-1FY</stp>
        <stp>EQY_FUND_CRNCY</stp>
        <stp>USD</stp>
        <stp>EQY_CONSOLIDATED</stp>
        <stp>Y</stp>
        <stp>Fill=B</stp>
        <tr r="P82" s="8"/>
      </tp>
      <tp>
        <v>17.522362580911093</v>
        <stp/>
        <stp>##V3_BDPV12</stp>
        <stp>AAPL US EQUITY</stp>
        <stp>TANG_BOOK_VAL_PER_SH</stp>
        <stp>[XIDA.xlsm]Financials!R82C17</stp>
        <stp>EQY_FUND_RELATIVE_PERIOD</stp>
        <stp>-0FY</stp>
        <stp>EQY_FUND_CRNCY</stp>
        <stp>USD</stp>
        <stp>EQY_CONSOLIDATED</stp>
        <stp>Y</stp>
        <stp>Fill=B</stp>
        <tr r="Q82" s="8"/>
      </tp>
      <tp>
        <v>-1488</v>
        <stp/>
        <stp>##V3_BDPV12</stp>
        <stp>AAPL US EQUITY</stp>
        <stp>CF_CASH_FROM_INV_ACT</stp>
        <stp>[XIDA.xlsm]Financials!R96C7</stp>
        <stp>EQY_FUND_RELATIVE_PERIOD</stp>
        <stp>-10FY</stp>
        <stp>EQY_FUND_CRNCY</stp>
        <stp>USD</stp>
        <stp>EQY_CONSOLIDATED</stp>
        <stp>Y</stp>
        <stp>Fill=B</stp>
        <tr r="G96" s="8"/>
      </tp>
      <tp t="s">
        <v>#N/A Requesting Data...</v>
        <stp/>
        <stp>##V3_BDSV12</stp>
        <stp>AAPL US EQUITY</stp>
        <stp>BEST_ROE_BRK_GRID</stp>
        <stp>[XIDA.xlsm]DataH!R8C107</stp>
        <stp>BEST_FPERIOD_OVERRIDE</stp>
        <stp>1FQ</stp>
        <stp>STARTCOL=4</stp>
        <stp>ENDCOL=4</stp>
        <stp>EQY_FUND_CRNCY</stp>
        <stp>USD</stp>
        <stp>BEST_CONSOLIDATED_OVERRIDE</stp>
        <stp>C</stp>
        <tr r="DC8" s="16"/>
      </tp>
      <tp t="s">
        <v>#N/A Requesting Data...</v>
        <stp/>
        <stp>##V3_BDSV12</stp>
        <stp>AAPL US EQUITY</stp>
        <stp>BEST_ROA_BRK_GRID</stp>
        <stp>[XIDA.xlsm]DataH!R8C115</stp>
        <stp>BEST_FPERIOD_OVERRIDE</stp>
        <stp>3FQ</stp>
        <stp>STARTCOL=4</stp>
        <stp>ENDCOL=4</stp>
        <stp>EQY_FUND_CRNCY</stp>
        <stp>USD</stp>
        <stp>BEST_CONSOLIDATED_OVERRIDE</stp>
        <stp>C</stp>
        <tr r="DK8" s="16"/>
      </tp>
      <tp>
        <v>0</v>
        <stp/>
        <stp>##V3_BDPV12</stp>
        <stp>AAPL US EQUITY</stp>
        <stp>IS_INT_EXPENSE</stp>
        <stp>[XIDA.xlsm]Financials!R22C8</stp>
        <stp>EQY_FUND_RELATIVE_PERIOD</stp>
        <stp>-9FY</stp>
        <stp>EQY_FUND_CRNCY</stp>
        <stp>USD</stp>
        <stp>EQY_CONSOLIDATED</stp>
        <stp>Y</stp>
        <stp>Fill=B</stp>
        <tr r="H22" s="8"/>
      </tp>
      <tp>
        <v>0</v>
        <stp/>
        <stp>##V3_BDPV12</stp>
        <stp>AAPL US EQUITY</stp>
        <stp>IS_INT_EXPENSE</stp>
        <stp>[XIDA.xlsm]Financials!R22C9</stp>
        <stp>EQY_FUND_RELATIVE_PERIOD</stp>
        <stp>-8FY</stp>
        <stp>EQY_FUND_CRNCY</stp>
        <stp>USD</stp>
        <stp>EQY_CONSOLIDATED</stp>
        <stp>Y</stp>
        <stp>Fill=B</stp>
        <tr r="I22" s="8"/>
      </tp>
      <tp t="s">
        <v>#N/A Requesting Data...</v>
        <stp/>
        <stp>##V3_BDSV12</stp>
        <stp>AAPL US EQUITY</stp>
        <stp>BEST_BPS_BRK_GRID</stp>
        <stp>[XIDA.xlsm]DataH!R8C105</stp>
        <stp>BEST_FPERIOD_OVERRIDE</stp>
        <stp>3FQ</stp>
        <stp>STARTCOL=4</stp>
        <stp>ENDCOL=4</stp>
        <stp>EQY_FUND_CRNCY</stp>
        <stp>USD</stp>
        <stp>BEST_CONSOLIDATED_OVERRIDE</stp>
        <stp>C</stp>
        <tr r="DA8" s="16"/>
      </tp>
      <tp>
        <v>2.3831539644190642</v>
        <stp/>
        <stp>##V3_BDPV12</stp>
        <stp>AAPL US EQUITY</stp>
        <stp>CUR_RATIO</stp>
        <stp>[XIDA.xlsm]Financials!R134C10</stp>
        <stp>EQY_FUND_RELATIVE_PERIOD</stp>
        <stp>-7FY</stp>
        <stp>EQY_FUND_CRNCY</stp>
        <stp>USD</stp>
        <stp>EQY_CONSOLIDATED</stp>
        <stp>Y</stp>
        <stp>Fill=B</stp>
        <tr r="J134" s="8"/>
      </tp>
      <tp>
        <v>2.6411407446527595</v>
        <stp/>
        <stp>##V3_BDPV12</stp>
        <stp>AAPL US EQUITY</stp>
        <stp>CUR_RATIO</stp>
        <stp>[XIDA.xlsm]Financials!R134C11</stp>
        <stp>EQY_FUND_RELATIVE_PERIOD</stp>
        <stp>-6FY</stp>
        <stp>EQY_FUND_CRNCY</stp>
        <stp>USD</stp>
        <stp>EQY_CONSOLIDATED</stp>
        <stp>Y</stp>
        <stp>Fill=B</stp>
        <tr r="K134" s="8"/>
      </tp>
      <tp>
        <v>2.7424821832087605</v>
        <stp/>
        <stp>##V3_BDPV12</stp>
        <stp>AAPL US EQUITY</stp>
        <stp>CUR_RATIO</stp>
        <stp>[XIDA.xlsm]Financials!R134C12</stp>
        <stp>EQY_FUND_RELATIVE_PERIOD</stp>
        <stp>-5FY</stp>
        <stp>EQY_FUND_CRNCY</stp>
        <stp>USD</stp>
        <stp>EQY_CONSOLIDATED</stp>
        <stp>Y</stp>
        <stp>Fill=B</stp>
        <tr r="L134" s="8"/>
      </tp>
      <tp>
        <v>2.0112923462986196</v>
        <stp/>
        <stp>##V3_BDPV12</stp>
        <stp>AAPL US EQUITY</stp>
        <stp>CUR_RATIO</stp>
        <stp>[XIDA.xlsm]Financials!R134C13</stp>
        <stp>EQY_FUND_RELATIVE_PERIOD</stp>
        <stp>-4FY</stp>
        <stp>EQY_FUND_CRNCY</stp>
        <stp>USD</stp>
        <stp>EQY_CONSOLIDATED</stp>
        <stp>Y</stp>
        <stp>Fill=B</stp>
        <tr r="M134" s="8"/>
      </tp>
      <tp>
        <v>1.6084376117268502</v>
        <stp/>
        <stp>##V3_BDPV12</stp>
        <stp>AAPL US EQUITY</stp>
        <stp>CUR_RATIO</stp>
        <stp>[XIDA.xlsm]Financials!R134C14</stp>
        <stp>EQY_FUND_RELATIVE_PERIOD</stp>
        <stp>-3FY</stp>
        <stp>EQY_FUND_CRNCY</stp>
        <stp>USD</stp>
        <stp>EQY_CONSOLIDATED</stp>
        <stp>Y</stp>
        <stp>Fill=B</stp>
        <tr r="N134" s="8"/>
      </tp>
      <tp>
        <v>1.4958486845519174</v>
        <stp/>
        <stp>##V3_BDPV12</stp>
        <stp>AAPL US EQUITY</stp>
        <stp>CUR_RATIO</stp>
        <stp>[XIDA.xlsm]Financials!R134C15</stp>
        <stp>EQY_FUND_RELATIVE_PERIOD</stp>
        <stp>-2FY</stp>
        <stp>EQY_FUND_CRNCY</stp>
        <stp>USD</stp>
        <stp>EQY_CONSOLIDATED</stp>
        <stp>Y</stp>
        <stp>Fill=B</stp>
        <tr r="O134" s="8"/>
      </tp>
      <tp>
        <v>1.6786385084062485</v>
        <stp/>
        <stp>##V3_BDPV12</stp>
        <stp>AAPL US EQUITY</stp>
        <stp>CUR_RATIO</stp>
        <stp>[XIDA.xlsm]Financials!R134C16</stp>
        <stp>EQY_FUND_RELATIVE_PERIOD</stp>
        <stp>-1FY</stp>
        <stp>EQY_FUND_CRNCY</stp>
        <stp>USD</stp>
        <stp>EQY_CONSOLIDATED</stp>
        <stp>Y</stp>
        <stp>Fill=B</stp>
        <tr r="P134" s="8"/>
      </tp>
      <tp>
        <v>1.0801128483167317</v>
        <stp/>
        <stp>##V3_BDPV12</stp>
        <stp>AAPL US EQUITY</stp>
        <stp>CUR_RATIO</stp>
        <stp>[XIDA.xlsm]Financials!R134C17</stp>
        <stp>EQY_FUND_RELATIVE_PERIOD</stp>
        <stp>-0FY</stp>
        <stp>EQY_FUND_CRNCY</stp>
        <stp>USD</stp>
        <stp>EQY_CONSOLIDATED</stp>
        <stp>Y</stp>
        <stp>Fill=B</stp>
        <tr r="Q134" s="8"/>
      </tp>
      <tp>
        <v>42240</v>
        <stp/>
        <stp>##V3_BTODAY</stp>
        <stp>[XIDA.xlsm]DataH!R22C12</stp>
        <tr r="L22" s="16"/>
      </tp>
      <tp t="s">
        <v>Technology Hardware, Storage &amp;</v>
        <stp/>
        <stp>##V3_BDPV12</stp>
        <stp>HPQ US EQUITY</stp>
        <stp>GICS_SUB_INDUSTRY_NAME</stp>
        <stp>[XIDA.xlsm]Peers!R22C8</stp>
        <tr r="H22" s="4"/>
      </tp>
      <tp>
        <v>5866.1610000000001</v>
        <stp/>
        <stp>##V3_BDPV12</stp>
        <stp>AAPL US EQUITY</stp>
        <stp>BS_SH_OUT</stp>
        <stp>[XIDA.xlsm]Overview!R50C20</stp>
        <stp>EQY_CONSOLIDATED</stp>
        <stp>Y</stp>
        <stp>Fill=B</stp>
        <tr r="T50" s="3"/>
      </tp>
      <tp>
        <v>0</v>
        <stp/>
        <stp>##V3_BDPV12</stp>
        <stp>AAPL US EQUITY</stp>
        <stp>MIN_NONCONTROL_INTEREST_CREDITS</stp>
        <stp>[XIDA.xlsm]Financials!R31C8</stp>
        <stp>EQY_FUND_RELATIVE_PERIOD</stp>
        <stp>-9FY</stp>
        <stp>EQY_FUND_CRNCY</stp>
        <stp>USD</stp>
        <stp>EQY_CONSOLIDATED</stp>
        <stp>Y</stp>
        <stp>Fill=B</stp>
        <tr r="H31" s="8"/>
      </tp>
      <tp>
        <v>0</v>
        <stp/>
        <stp>##V3_BDPV12</stp>
        <stp>AAPL US EQUITY</stp>
        <stp>MIN_NONCONTROL_INTEREST_CREDITS</stp>
        <stp>[XIDA.xlsm]Financials!R31C9</stp>
        <stp>EQY_FUND_RELATIVE_PERIOD</stp>
        <stp>-8FY</stp>
        <stp>EQY_FUND_CRNCY</stp>
        <stp>USD</stp>
        <stp>EQY_CONSOLIDATED</stp>
        <stp>Y</stp>
        <stp>Fill=B</stp>
        <tr r="I31" s="8"/>
      </tp>
      <tp>
        <v>1.2773014310257704</v>
        <stp/>
        <stp>##V3_BDPV12</stp>
        <stp>AAPL US EQUITY</stp>
        <stp>BOOK_VAL_PER_SH</stp>
        <stp>[XIDA.xlsm]Financials!R81C8</stp>
        <stp>EQY_FUND_RELATIVE_PERIOD</stp>
        <stp>-9FY</stp>
        <stp>EQY_FUND_CRNCY</stp>
        <stp>USD</stp>
        <stp>EQY_CONSOLIDATED</stp>
        <stp>Y</stp>
        <stp>Fill=B</stp>
        <tr r="H81" s="8"/>
      </tp>
      <tp>
        <v>1.6676582930795518</v>
        <stp/>
        <stp>##V3_BDPV12</stp>
        <stp>AAPL US EQUITY</stp>
        <stp>BOOK_VAL_PER_SH</stp>
        <stp>[XIDA.xlsm]Financials!R81C9</stp>
        <stp>EQY_FUND_RELATIVE_PERIOD</stp>
        <stp>-8FY</stp>
        <stp>EQY_FUND_CRNCY</stp>
        <stp>USD</stp>
        <stp>EQY_CONSOLIDATED</stp>
        <stp>Y</stp>
        <stp>Fill=B</stp>
        <tr r="I81" s="8"/>
      </tp>
      <tp>
        <v>53.18956</v>
        <stp/>
        <stp>##V3_BDHV12</stp>
        <stp>066570 KS EQUITY</stp>
        <stp>PX_LAST</stp>
        <stp>1/1/2015</stp>
        <stp>4/13/2015</stp>
        <stp>[XIDA.xlsm]PricesH!R4C4</stp>
        <stp>Dts=H</stp>
        <stp>FX=USD</stp>
        <stp>CDR=US</stp>
        <stp/>
        <stp>PER=CD</stp>
        <stp>cols=1;rows=69</stp>
        <tr r="D4" s="6"/>
      </tp>
      <tp>
        <v>81402.111000000004</v>
        <stp/>
        <stp>##V3_BDPV12</stp>
        <stp>AAPL US EQUITY</stp>
        <stp>BEST_EBITDA</stp>
        <stp>[XIDA.xlsm]Financials!R127C18</stp>
        <stp>BEST_FPERIOD_OVERRIDE</stp>
        <stp>1FY</stp>
        <stp>BEST_CONSOLIDATED_OVERRIDE</stp>
        <stp>C</stp>
        <tr r="R127" s="8"/>
        <tr r="R127" s="8"/>
      </tp>
      <tp>
        <v>85131.111000000004</v>
        <stp/>
        <stp>##V3_BDPV12</stp>
        <stp>AAPL US EQUITY</stp>
        <stp>BEST_EBITDA</stp>
        <stp>[XIDA.xlsm]Financials!R127C19</stp>
        <stp>BEST_FPERIOD_OVERRIDE</stp>
        <stp>2FY</stp>
        <stp>BEST_CONSOLIDATED_OVERRIDE</stp>
        <stp>C</stp>
        <tr r="S127" s="8"/>
        <tr r="S127" s="8"/>
      </tp>
      <tp>
        <v>87718.167000000001</v>
        <stp/>
        <stp>##V3_BDPV12</stp>
        <stp>AAPL US EQUITY</stp>
        <stp>BEST_EBITDA</stp>
        <stp>[XIDA.xlsm]Financials!R127C20</stp>
        <stp>BEST_FPERIOD_OVERRIDE</stp>
        <stp>3FY</stp>
        <stp>BEST_CONSOLIDATED_OVERRIDE</stp>
        <stp>C</stp>
        <tr r="T127" s="8"/>
        <tr r="T127" s="8"/>
      </tp>
      <tp>
        <v>3.0791280979396833</v>
        <stp/>
        <stp>##V3_BDPV12</stp>
        <stp>AAPL US EQUITY</stp>
        <stp>BEST_PX_BPS_RATIO</stp>
        <stp>[XIDA.xlsm]Financials!R122C20</stp>
        <stp>BEST_FPERIOD_OVERRIDE</stp>
        <stp>3FY</stp>
        <stp>EQY_FUND_CRNCY</stp>
        <stp>USD</stp>
        <stp>BEST_CONSOLIDATED_OVERRIDE</stp>
        <stp>C</stp>
        <stp>Fill=B</stp>
        <tr r="T122" s="8"/>
      </tp>
      <tp>
        <v>742</v>
        <stp/>
        <stp>##V3_BDPV12</stp>
        <stp>AAPL US EQUITY</stp>
        <stp>CF_INCR_CAP_STOCK</stp>
        <stp>[XIDA.xlsm]Financials!R102C10</stp>
        <stp>EQY_FUND_RELATIVE_PERIOD</stp>
        <stp>-7FY</stp>
        <stp>EQY_FUND_CRNCY</stp>
        <stp>USD</stp>
        <stp>EQY_CONSOLIDATED</stp>
        <stp>Y</stp>
        <stp>Fill=B</stp>
        <tr r="J102" s="8"/>
      </tp>
      <tp>
        <v>1240</v>
        <stp/>
        <stp>##V3_BDPV12</stp>
        <stp>AAPL US EQUITY</stp>
        <stp>CF_INCR_CAP_STOCK</stp>
        <stp>[XIDA.xlsm]Financials!R102C11</stp>
        <stp>EQY_FUND_RELATIVE_PERIOD</stp>
        <stp>-6FY</stp>
        <stp>EQY_FUND_CRNCY</stp>
        <stp>USD</stp>
        <stp>EQY_CONSOLIDATED</stp>
        <stp>Y</stp>
        <stp>Fill=B</stp>
        <tr r="K102" s="8"/>
      </tp>
      <tp>
        <v>745</v>
        <stp/>
        <stp>##V3_BDPV12</stp>
        <stp>AAPL US EQUITY</stp>
        <stp>CF_INCR_CAP_STOCK</stp>
        <stp>[XIDA.xlsm]Financials!R102C12</stp>
        <stp>EQY_FUND_RELATIVE_PERIOD</stp>
        <stp>-5FY</stp>
        <stp>EQY_FUND_CRNCY</stp>
        <stp>USD</stp>
        <stp>EQY_CONSOLIDATED</stp>
        <stp>Y</stp>
        <stp>Fill=B</stp>
        <tr r="L102" s="8"/>
      </tp>
      <tp>
        <v>1663</v>
        <stp/>
        <stp>##V3_BDPV12</stp>
        <stp>AAPL US EQUITY</stp>
        <stp>CF_INCR_CAP_STOCK</stp>
        <stp>[XIDA.xlsm]Financials!R102C13</stp>
        <stp>EQY_FUND_RELATIVE_PERIOD</stp>
        <stp>-4FY</stp>
        <stp>EQY_FUND_CRNCY</stp>
        <stp>USD</stp>
        <stp>EQY_CONSOLIDATED</stp>
        <stp>Y</stp>
        <stp>Fill=B</stp>
        <tr r="M102" s="8"/>
      </tp>
      <tp>
        <v>1964</v>
        <stp/>
        <stp>##V3_BDPV12</stp>
        <stp>AAPL US EQUITY</stp>
        <stp>CF_INCR_CAP_STOCK</stp>
        <stp>[XIDA.xlsm]Financials!R102C14</stp>
        <stp>EQY_FUND_RELATIVE_PERIOD</stp>
        <stp>-3FY</stp>
        <stp>EQY_FUND_CRNCY</stp>
        <stp>USD</stp>
        <stp>EQY_CONSOLIDATED</stp>
        <stp>Y</stp>
        <stp>Fill=B</stp>
        <tr r="N102" s="8"/>
      </tp>
      <tp>
        <v>2016</v>
        <stp/>
        <stp>##V3_BDPV12</stp>
        <stp>AAPL US EQUITY</stp>
        <stp>CF_INCR_CAP_STOCK</stp>
        <stp>[XIDA.xlsm]Financials!R102C15</stp>
        <stp>EQY_FUND_RELATIVE_PERIOD</stp>
        <stp>-2FY</stp>
        <stp>EQY_FUND_CRNCY</stp>
        <stp>USD</stp>
        <stp>EQY_CONSOLIDATED</stp>
        <stp>Y</stp>
        <stp>Fill=B</stp>
        <tr r="O102" s="8"/>
      </tp>
      <tp>
        <v>1231</v>
        <stp/>
        <stp>##V3_BDPV12</stp>
        <stp>AAPL US EQUITY</stp>
        <stp>CF_INCR_CAP_STOCK</stp>
        <stp>[XIDA.xlsm]Financials!R102C16</stp>
        <stp>EQY_FUND_RELATIVE_PERIOD</stp>
        <stp>-1FY</stp>
        <stp>EQY_FUND_CRNCY</stp>
        <stp>USD</stp>
        <stp>EQY_CONSOLIDATED</stp>
        <stp>Y</stp>
        <stp>Fill=B</stp>
        <tr r="P102" s="8"/>
      </tp>
      <tp>
        <v>1469</v>
        <stp/>
        <stp>##V3_BDPV12</stp>
        <stp>AAPL US EQUITY</stp>
        <stp>CF_INCR_CAP_STOCK</stp>
        <stp>[XIDA.xlsm]Financials!R102C17</stp>
        <stp>EQY_FUND_RELATIVE_PERIOD</stp>
        <stp>-0FY</stp>
        <stp>EQY_FUND_CRNCY</stp>
        <stp>USD</stp>
        <stp>EQY_CONSOLIDATED</stp>
        <stp>Y</stp>
        <stp>Fill=B</stp>
        <tr r="Q102" s="8"/>
      </tp>
      <tp t="e">
        <v>#N/A</v>
        <stp/>
        <stp>##V3_BDPV12</stp>
        <stp xml:space="preserve"> EQUITY</stp>
        <stp>EQY_FISCAL_YR_END</stp>
        <stp>[XIDA.xlsm]Peers!R185C29</stp>
        <tr r="AC185" s="4"/>
      </tp>
      <tp t="e">
        <v>#N/A</v>
        <stp/>
        <stp>##V3_BDPV12</stp>
        <stp xml:space="preserve"> EQUITY</stp>
        <stp>EQY_FISCAL_YR_END</stp>
        <stp>[XIDA.xlsm]Peers!R184C29</stp>
        <tr r="AC184" s="4"/>
      </tp>
      <tp t="e">
        <v>#N/A</v>
        <stp/>
        <stp>##V3_BDPV12</stp>
        <stp xml:space="preserve"> EQUITY</stp>
        <stp>EQY_FISCAL_YR_END</stp>
        <stp>[XIDA.xlsm]Peers!R187C29</stp>
        <tr r="AC187" s="4"/>
      </tp>
      <tp t="e">
        <v>#N/A</v>
        <stp/>
        <stp>##V3_BDPV12</stp>
        <stp xml:space="preserve"> EQUITY</stp>
        <stp>EQY_FISCAL_YR_END</stp>
        <stp>[XIDA.xlsm]Peers!R186C29</stp>
        <tr r="AC186" s="4"/>
      </tp>
      <tp t="e">
        <v>#N/A</v>
        <stp/>
        <stp>##V3_BDPV12</stp>
        <stp xml:space="preserve"> EQUITY</stp>
        <stp>EQY_FISCAL_YR_END</stp>
        <stp>[XIDA.xlsm]Peers!R181C29</stp>
        <tr r="AC181" s="4"/>
      </tp>
      <tp t="e">
        <v>#N/A</v>
        <stp/>
        <stp>##V3_BDPV12</stp>
        <stp xml:space="preserve"> EQUITY</stp>
        <stp>EQY_FISCAL_YR_END</stp>
        <stp>[XIDA.xlsm]Peers!R180C29</stp>
        <tr r="AC180" s="4"/>
      </tp>
      <tp t="e">
        <v>#N/A</v>
        <stp/>
        <stp>##V3_BDPV12</stp>
        <stp xml:space="preserve"> EQUITY</stp>
        <stp>EQY_FISCAL_YR_END</stp>
        <stp>[XIDA.xlsm]Peers!R183C29</stp>
        <tr r="AC183" s="4"/>
      </tp>
      <tp t="e">
        <v>#N/A</v>
        <stp/>
        <stp>##V3_BDPV12</stp>
        <stp xml:space="preserve"> EQUITY</stp>
        <stp>EQY_FISCAL_YR_END</stp>
        <stp>[XIDA.xlsm]Peers!R182C29</stp>
        <tr r="AC182" s="4"/>
      </tp>
      <tp t="e">
        <v>#N/A</v>
        <stp/>
        <stp>##V3_BDPV12</stp>
        <stp xml:space="preserve"> EQUITY</stp>
        <stp>EQY_FISCAL_YR_END</stp>
        <stp>[XIDA.xlsm]Peers!R189C29</stp>
        <tr r="AC189" s="4"/>
      </tp>
      <tp t="e">
        <v>#N/A</v>
        <stp/>
        <stp>##V3_BDPV12</stp>
        <stp xml:space="preserve"> EQUITY</stp>
        <stp>EQY_FISCAL_YR_END</stp>
        <stp>[XIDA.xlsm]Peers!R188C29</stp>
        <tr r="AC188" s="4"/>
      </tp>
      <tp t="e">
        <v>#N/A</v>
        <stp/>
        <stp>##V3_BDPV12</stp>
        <stp xml:space="preserve"> EQUITY</stp>
        <stp>EQY_FISCAL_YR_END</stp>
        <stp>[XIDA.xlsm]Peers!R195C29</stp>
        <tr r="AC195" s="4"/>
      </tp>
      <tp t="e">
        <v>#N/A</v>
        <stp/>
        <stp>##V3_BDPV12</stp>
        <stp xml:space="preserve"> EQUITY</stp>
        <stp>EQY_FISCAL_YR_END</stp>
        <stp>[XIDA.xlsm]Peers!R194C29</stp>
        <tr r="AC194" s="4"/>
      </tp>
      <tp t="e">
        <v>#N/A</v>
        <stp/>
        <stp>##V3_BDPV12</stp>
        <stp xml:space="preserve"> EQUITY</stp>
        <stp>EQY_FISCAL_YR_END</stp>
        <stp>[XIDA.xlsm]Peers!R197C29</stp>
        <tr r="AC197" s="4"/>
      </tp>
      <tp t="e">
        <v>#N/A</v>
        <stp/>
        <stp>##V3_BDPV12</stp>
        <stp xml:space="preserve"> EQUITY</stp>
        <stp>EQY_FISCAL_YR_END</stp>
        <stp>[XIDA.xlsm]Peers!R196C29</stp>
        <tr r="AC196" s="4"/>
      </tp>
      <tp t="e">
        <v>#N/A</v>
        <stp/>
        <stp>##V3_BDPV12</stp>
        <stp xml:space="preserve"> EQUITY</stp>
        <stp>EQY_FISCAL_YR_END</stp>
        <stp>[XIDA.xlsm]Peers!R191C29</stp>
        <tr r="AC191" s="4"/>
      </tp>
      <tp t="e">
        <v>#N/A</v>
        <stp/>
        <stp>##V3_BDPV12</stp>
        <stp xml:space="preserve"> EQUITY</stp>
        <stp>EQY_FISCAL_YR_END</stp>
        <stp>[XIDA.xlsm]Peers!R190C29</stp>
        <tr r="AC190" s="4"/>
      </tp>
      <tp t="e">
        <v>#N/A</v>
        <stp/>
        <stp>##V3_BDPV12</stp>
        <stp xml:space="preserve"> EQUITY</stp>
        <stp>EQY_FISCAL_YR_END</stp>
        <stp>[XIDA.xlsm]Peers!R193C29</stp>
        <tr r="AC193" s="4"/>
      </tp>
      <tp t="e">
        <v>#N/A</v>
        <stp/>
        <stp>##V3_BDPV12</stp>
        <stp xml:space="preserve"> EQUITY</stp>
        <stp>EQY_FISCAL_YR_END</stp>
        <stp>[XIDA.xlsm]Peers!R192C29</stp>
        <tr r="AC192" s="4"/>
      </tp>
      <tp t="e">
        <v>#N/A</v>
        <stp/>
        <stp>##V3_BDPV12</stp>
        <stp xml:space="preserve"> EQUITY</stp>
        <stp>EQY_FISCAL_YR_END</stp>
        <stp>[XIDA.xlsm]Peers!R199C29</stp>
        <tr r="AC199" s="4"/>
      </tp>
      <tp t="e">
        <v>#N/A</v>
        <stp/>
        <stp>##V3_BDPV12</stp>
        <stp xml:space="preserve"> EQUITY</stp>
        <stp>EQY_FISCAL_YR_END</stp>
        <stp>[XIDA.xlsm]Peers!R198C29</stp>
        <tr r="AC198" s="4"/>
      </tp>
      <tp t="e">
        <v>#N/A</v>
        <stp/>
        <stp>##V3_BDPV12</stp>
        <stp xml:space="preserve"> EQUITY</stp>
        <stp>EQY_FISCAL_YR_END</stp>
        <stp>[XIDA.xlsm]Peers!R145C29</stp>
        <tr r="AC145" s="4"/>
      </tp>
      <tp t="e">
        <v>#N/A</v>
        <stp/>
        <stp>##V3_BDPV12</stp>
        <stp xml:space="preserve"> EQUITY</stp>
        <stp>EQY_FISCAL_YR_END</stp>
        <stp>[XIDA.xlsm]Peers!R144C29</stp>
        <tr r="AC144" s="4"/>
      </tp>
      <tp t="e">
        <v>#N/A</v>
        <stp/>
        <stp>##V3_BDPV12</stp>
        <stp xml:space="preserve"> EQUITY</stp>
        <stp>EQY_FISCAL_YR_END</stp>
        <stp>[XIDA.xlsm]Peers!R147C29</stp>
        <tr r="AC147" s="4"/>
      </tp>
      <tp t="e">
        <v>#N/A</v>
        <stp/>
        <stp>##V3_BDPV12</stp>
        <stp xml:space="preserve"> EQUITY</stp>
        <stp>EQY_FISCAL_YR_END</stp>
        <stp>[XIDA.xlsm]Peers!R146C29</stp>
        <tr r="AC146" s="4"/>
      </tp>
      <tp t="e">
        <v>#N/A</v>
        <stp/>
        <stp>##V3_BDPV12</stp>
        <stp xml:space="preserve"> EQUITY</stp>
        <stp>EQY_FISCAL_YR_END</stp>
        <stp>[XIDA.xlsm]Peers!R141C29</stp>
        <tr r="AC141" s="4"/>
      </tp>
      <tp t="e">
        <v>#N/A</v>
        <stp/>
        <stp>##V3_BDPV12</stp>
        <stp xml:space="preserve"> EQUITY</stp>
        <stp>EQY_FISCAL_YR_END</stp>
        <stp>[XIDA.xlsm]Peers!R140C29</stp>
        <tr r="AC140" s="4"/>
      </tp>
      <tp t="e">
        <v>#N/A</v>
        <stp/>
        <stp>##V3_BDPV12</stp>
        <stp xml:space="preserve"> EQUITY</stp>
        <stp>EQY_FISCAL_YR_END</stp>
        <stp>[XIDA.xlsm]Peers!R143C29</stp>
        <tr r="AC143" s="4"/>
      </tp>
      <tp t="e">
        <v>#N/A</v>
        <stp/>
        <stp>##V3_BDPV12</stp>
        <stp xml:space="preserve"> EQUITY</stp>
        <stp>EQY_FISCAL_YR_END</stp>
        <stp>[XIDA.xlsm]Peers!R142C29</stp>
        <tr r="AC142" s="4"/>
      </tp>
      <tp t="e">
        <v>#N/A</v>
        <stp/>
        <stp>##V3_BDPV12</stp>
        <stp xml:space="preserve"> EQUITY</stp>
        <stp>EQY_FISCAL_YR_END</stp>
        <stp>[XIDA.xlsm]Peers!R149C29</stp>
        <tr r="AC149" s="4"/>
      </tp>
      <tp t="e">
        <v>#N/A</v>
        <stp/>
        <stp>##V3_BDPV12</stp>
        <stp xml:space="preserve"> EQUITY</stp>
        <stp>EQY_FISCAL_YR_END</stp>
        <stp>[XIDA.xlsm]Peers!R148C29</stp>
        <tr r="AC148" s="4"/>
      </tp>
      <tp t="e">
        <v>#N/A</v>
        <stp/>
        <stp>##V3_BDPV12</stp>
        <stp xml:space="preserve"> EQUITY</stp>
        <stp>EQY_FISCAL_YR_END</stp>
        <stp>[XIDA.xlsm]Peers!R155C29</stp>
        <tr r="AC155" s="4"/>
      </tp>
      <tp t="e">
        <v>#N/A</v>
        <stp/>
        <stp>##V3_BDPV12</stp>
        <stp xml:space="preserve"> EQUITY</stp>
        <stp>EQY_FISCAL_YR_END</stp>
        <stp>[XIDA.xlsm]Peers!R154C29</stp>
        <tr r="AC154" s="4"/>
      </tp>
      <tp t="e">
        <v>#N/A</v>
        <stp/>
        <stp>##V3_BDPV12</stp>
        <stp xml:space="preserve"> EQUITY</stp>
        <stp>EQY_FISCAL_YR_END</stp>
        <stp>[XIDA.xlsm]Peers!R157C29</stp>
        <tr r="AC157" s="4"/>
      </tp>
      <tp t="e">
        <v>#N/A</v>
        <stp/>
        <stp>##V3_BDPV12</stp>
        <stp xml:space="preserve"> EQUITY</stp>
        <stp>EQY_FISCAL_YR_END</stp>
        <stp>[XIDA.xlsm]Peers!R156C29</stp>
        <tr r="AC156" s="4"/>
      </tp>
      <tp t="e">
        <v>#N/A</v>
        <stp/>
        <stp>##V3_BDPV12</stp>
        <stp xml:space="preserve"> EQUITY</stp>
        <stp>EQY_FISCAL_YR_END</stp>
        <stp>[XIDA.xlsm]Peers!R151C29</stp>
        <tr r="AC151" s="4"/>
      </tp>
      <tp t="e">
        <v>#N/A</v>
        <stp/>
        <stp>##V3_BDPV12</stp>
        <stp xml:space="preserve"> EQUITY</stp>
        <stp>EQY_FISCAL_YR_END</stp>
        <stp>[XIDA.xlsm]Peers!R150C29</stp>
        <tr r="AC150" s="4"/>
      </tp>
      <tp t="e">
        <v>#N/A</v>
        <stp/>
        <stp>##V3_BDPV12</stp>
        <stp xml:space="preserve"> EQUITY</stp>
        <stp>EQY_FISCAL_YR_END</stp>
        <stp>[XIDA.xlsm]Peers!R153C29</stp>
        <tr r="AC153" s="4"/>
      </tp>
      <tp t="e">
        <v>#N/A</v>
        <stp/>
        <stp>##V3_BDPV12</stp>
        <stp xml:space="preserve"> EQUITY</stp>
        <stp>EQY_FISCAL_YR_END</stp>
        <stp>[XIDA.xlsm]Peers!R152C29</stp>
        <tr r="AC152" s="4"/>
      </tp>
      <tp t="e">
        <v>#N/A</v>
        <stp/>
        <stp>##V3_BDPV12</stp>
        <stp xml:space="preserve"> EQUITY</stp>
        <stp>EQY_FISCAL_YR_END</stp>
        <stp>[XIDA.xlsm]Peers!R159C29</stp>
        <tr r="AC159" s="4"/>
      </tp>
      <tp t="e">
        <v>#N/A</v>
        <stp/>
        <stp>##V3_BDPV12</stp>
        <stp xml:space="preserve"> EQUITY</stp>
        <stp>EQY_FISCAL_YR_END</stp>
        <stp>[XIDA.xlsm]Peers!R158C29</stp>
        <tr r="AC158" s="4"/>
      </tp>
      <tp t="e">
        <v>#N/A</v>
        <stp/>
        <stp>##V3_BDPV12</stp>
        <stp xml:space="preserve"> EQUITY</stp>
        <stp>EQY_FISCAL_YR_END</stp>
        <stp>[XIDA.xlsm]Peers!R165C29</stp>
        <tr r="AC165" s="4"/>
      </tp>
      <tp t="e">
        <v>#N/A</v>
        <stp/>
        <stp>##V3_BDPV12</stp>
        <stp xml:space="preserve"> EQUITY</stp>
        <stp>EQY_FISCAL_YR_END</stp>
        <stp>[XIDA.xlsm]Peers!R164C29</stp>
        <tr r="AC164" s="4"/>
      </tp>
      <tp t="e">
        <v>#N/A</v>
        <stp/>
        <stp>##V3_BDPV12</stp>
        <stp xml:space="preserve"> EQUITY</stp>
        <stp>EQY_FISCAL_YR_END</stp>
        <stp>[XIDA.xlsm]Peers!R167C29</stp>
        <tr r="AC167" s="4"/>
      </tp>
      <tp t="e">
        <v>#N/A</v>
        <stp/>
        <stp>##V3_BDPV12</stp>
        <stp xml:space="preserve"> EQUITY</stp>
        <stp>EQY_FISCAL_YR_END</stp>
        <stp>[XIDA.xlsm]Peers!R166C29</stp>
        <tr r="AC166" s="4"/>
      </tp>
      <tp t="e">
        <v>#N/A</v>
        <stp/>
        <stp>##V3_BDPV12</stp>
        <stp xml:space="preserve"> EQUITY</stp>
        <stp>EQY_FISCAL_YR_END</stp>
        <stp>[XIDA.xlsm]Peers!R161C29</stp>
        <tr r="AC161" s="4"/>
      </tp>
      <tp t="e">
        <v>#N/A</v>
        <stp/>
        <stp>##V3_BDPV12</stp>
        <stp xml:space="preserve"> EQUITY</stp>
        <stp>EQY_FISCAL_YR_END</stp>
        <stp>[XIDA.xlsm]Peers!R160C29</stp>
        <tr r="AC160" s="4"/>
      </tp>
      <tp t="e">
        <v>#N/A</v>
        <stp/>
        <stp>##V3_BDPV12</stp>
        <stp xml:space="preserve"> EQUITY</stp>
        <stp>EQY_FISCAL_YR_END</stp>
        <stp>[XIDA.xlsm]Peers!R163C29</stp>
        <tr r="AC163" s="4"/>
      </tp>
      <tp t="e">
        <v>#N/A</v>
        <stp/>
        <stp>##V3_BDPV12</stp>
        <stp xml:space="preserve"> EQUITY</stp>
        <stp>EQY_FISCAL_YR_END</stp>
        <stp>[XIDA.xlsm]Peers!R162C29</stp>
        <tr r="AC162" s="4"/>
      </tp>
      <tp t="e">
        <v>#N/A</v>
        <stp/>
        <stp>##V3_BDPV12</stp>
        <stp xml:space="preserve"> EQUITY</stp>
        <stp>EQY_FISCAL_YR_END</stp>
        <stp>[XIDA.xlsm]Peers!R169C29</stp>
        <tr r="AC169" s="4"/>
      </tp>
      <tp t="e">
        <v>#N/A</v>
        <stp/>
        <stp>##V3_BDPV12</stp>
        <stp xml:space="preserve"> EQUITY</stp>
        <stp>EQY_FISCAL_YR_END</stp>
        <stp>[XIDA.xlsm]Peers!R168C29</stp>
        <tr r="AC168" s="4"/>
      </tp>
      <tp t="e">
        <v>#N/A</v>
        <stp/>
        <stp>##V3_BDPV12</stp>
        <stp xml:space="preserve"> EQUITY</stp>
        <stp>EQY_FISCAL_YR_END</stp>
        <stp>[XIDA.xlsm]Peers!R175C29</stp>
        <tr r="AC175" s="4"/>
      </tp>
      <tp t="e">
        <v>#N/A</v>
        <stp/>
        <stp>##V3_BDPV12</stp>
        <stp xml:space="preserve"> EQUITY</stp>
        <stp>EQY_FISCAL_YR_END</stp>
        <stp>[XIDA.xlsm]Peers!R174C29</stp>
        <tr r="AC174" s="4"/>
      </tp>
      <tp t="e">
        <v>#N/A</v>
        <stp/>
        <stp>##V3_BDPV12</stp>
        <stp xml:space="preserve"> EQUITY</stp>
        <stp>EQY_FISCAL_YR_END</stp>
        <stp>[XIDA.xlsm]Peers!R177C29</stp>
        <tr r="AC177" s="4"/>
      </tp>
      <tp t="e">
        <v>#N/A</v>
        <stp/>
        <stp>##V3_BDPV12</stp>
        <stp xml:space="preserve"> EQUITY</stp>
        <stp>EQY_FISCAL_YR_END</stp>
        <stp>[XIDA.xlsm]Peers!R176C29</stp>
        <tr r="AC176" s="4"/>
      </tp>
      <tp t="e">
        <v>#N/A</v>
        <stp/>
        <stp>##V3_BDPV12</stp>
        <stp xml:space="preserve"> EQUITY</stp>
        <stp>EQY_FISCAL_YR_END</stp>
        <stp>[XIDA.xlsm]Peers!R171C29</stp>
        <tr r="AC171" s="4"/>
      </tp>
      <tp t="e">
        <v>#N/A</v>
        <stp/>
        <stp>##V3_BDPV12</stp>
        <stp xml:space="preserve"> EQUITY</stp>
        <stp>EQY_FISCAL_YR_END</stp>
        <stp>[XIDA.xlsm]Peers!R170C29</stp>
        <tr r="AC170" s="4"/>
      </tp>
      <tp t="e">
        <v>#N/A</v>
        <stp/>
        <stp>##V3_BDPV12</stp>
        <stp xml:space="preserve"> EQUITY</stp>
        <stp>EQY_FISCAL_YR_END</stp>
        <stp>[XIDA.xlsm]Peers!R173C29</stp>
        <tr r="AC173" s="4"/>
      </tp>
      <tp t="e">
        <v>#N/A</v>
        <stp/>
        <stp>##V3_BDPV12</stp>
        <stp xml:space="preserve"> EQUITY</stp>
        <stp>EQY_FISCAL_YR_END</stp>
        <stp>[XIDA.xlsm]Peers!R172C29</stp>
        <tr r="AC172" s="4"/>
      </tp>
      <tp t="e">
        <v>#N/A</v>
        <stp/>
        <stp>##V3_BDPV12</stp>
        <stp xml:space="preserve"> EQUITY</stp>
        <stp>EQY_FISCAL_YR_END</stp>
        <stp>[XIDA.xlsm]Peers!R179C29</stp>
        <tr r="AC179" s="4"/>
      </tp>
      <tp t="e">
        <v>#N/A</v>
        <stp/>
        <stp>##V3_BDPV12</stp>
        <stp xml:space="preserve"> EQUITY</stp>
        <stp>EQY_FISCAL_YR_END</stp>
        <stp>[XIDA.xlsm]Peers!R178C29</stp>
        <tr r="AC178" s="4"/>
      </tp>
      <tp t="e">
        <v>#N/A</v>
        <stp/>
        <stp>##V3_BDPV12</stp>
        <stp xml:space="preserve"> EQUITY</stp>
        <stp>EQY_FISCAL_YR_END</stp>
        <stp>[XIDA.xlsm]Peers!R105C29</stp>
        <tr r="AC105" s="4"/>
      </tp>
      <tp t="e">
        <v>#N/A</v>
        <stp/>
        <stp>##V3_BDPV12</stp>
        <stp xml:space="preserve"> EQUITY</stp>
        <stp>EQY_FISCAL_YR_END</stp>
        <stp>[XIDA.xlsm]Peers!R104C29</stp>
        <tr r="AC104" s="4"/>
      </tp>
      <tp t="e">
        <v>#N/A</v>
        <stp/>
        <stp>##V3_BDPV12</stp>
        <stp xml:space="preserve"> EQUITY</stp>
        <stp>EQY_FISCAL_YR_END</stp>
        <stp>[XIDA.xlsm]Peers!R107C29</stp>
        <tr r="AC107" s="4"/>
      </tp>
      <tp t="e">
        <v>#N/A</v>
        <stp/>
        <stp>##V3_BDPV12</stp>
        <stp xml:space="preserve"> EQUITY</stp>
        <stp>EQY_FISCAL_YR_END</stp>
        <stp>[XIDA.xlsm]Peers!R106C29</stp>
        <tr r="AC106" s="4"/>
      </tp>
      <tp t="e">
        <v>#N/A</v>
        <stp/>
        <stp>##V3_BDPV12</stp>
        <stp xml:space="preserve"> EQUITY</stp>
        <stp>EQY_FISCAL_YR_END</stp>
        <stp>[XIDA.xlsm]Peers!R101C29</stp>
        <tr r="AC101" s="4"/>
      </tp>
      <tp t="e">
        <v>#N/A</v>
        <stp/>
        <stp>##V3_BDPV12</stp>
        <stp xml:space="preserve"> EQUITY</stp>
        <stp>EQY_FISCAL_YR_END</stp>
        <stp>[XIDA.xlsm]Peers!R100C29</stp>
        <tr r="AC100" s="4"/>
      </tp>
      <tp t="e">
        <v>#N/A</v>
        <stp/>
        <stp>##V3_BDPV12</stp>
        <stp xml:space="preserve"> EQUITY</stp>
        <stp>EQY_FISCAL_YR_END</stp>
        <stp>[XIDA.xlsm]Peers!R103C29</stp>
        <tr r="AC103" s="4"/>
      </tp>
      <tp t="e">
        <v>#N/A</v>
        <stp/>
        <stp>##V3_BDPV12</stp>
        <stp xml:space="preserve"> EQUITY</stp>
        <stp>EQY_FISCAL_YR_END</stp>
        <stp>[XIDA.xlsm]Peers!R102C29</stp>
        <tr r="AC102" s="4"/>
      </tp>
      <tp t="e">
        <v>#N/A</v>
        <stp/>
        <stp>##V3_BDPV12</stp>
        <stp xml:space="preserve"> EQUITY</stp>
        <stp>EQY_FISCAL_YR_END</stp>
        <stp>[XIDA.xlsm]Peers!R109C29</stp>
        <tr r="AC109" s="4"/>
      </tp>
      <tp t="e">
        <v>#N/A</v>
        <stp/>
        <stp>##V3_BDPV12</stp>
        <stp xml:space="preserve"> EQUITY</stp>
        <stp>EQY_FISCAL_YR_END</stp>
        <stp>[XIDA.xlsm]Peers!R108C29</stp>
        <tr r="AC108" s="4"/>
      </tp>
      <tp t="e">
        <v>#N/A</v>
        <stp/>
        <stp>##V3_BDPV12</stp>
        <stp xml:space="preserve"> EQUITY</stp>
        <stp>EQY_FISCAL_YR_END</stp>
        <stp>[XIDA.xlsm]Peers!R115C29</stp>
        <tr r="AC115" s="4"/>
      </tp>
      <tp t="e">
        <v>#N/A</v>
        <stp/>
        <stp>##V3_BDPV12</stp>
        <stp xml:space="preserve"> EQUITY</stp>
        <stp>EQY_FISCAL_YR_END</stp>
        <stp>[XIDA.xlsm]Peers!R114C29</stp>
        <tr r="AC114" s="4"/>
      </tp>
      <tp t="e">
        <v>#N/A</v>
        <stp/>
        <stp>##V3_BDPV12</stp>
        <stp xml:space="preserve"> EQUITY</stp>
        <stp>EQY_FISCAL_YR_END</stp>
        <stp>[XIDA.xlsm]Peers!R117C29</stp>
        <tr r="AC117" s="4"/>
      </tp>
      <tp t="e">
        <v>#N/A</v>
        <stp/>
        <stp>##V3_BDPV12</stp>
        <stp xml:space="preserve"> EQUITY</stp>
        <stp>EQY_FISCAL_YR_END</stp>
        <stp>[XIDA.xlsm]Peers!R116C29</stp>
        <tr r="AC116" s="4"/>
      </tp>
      <tp t="e">
        <v>#N/A</v>
        <stp/>
        <stp>##V3_BDPV12</stp>
        <stp xml:space="preserve"> EQUITY</stp>
        <stp>EQY_FISCAL_YR_END</stp>
        <stp>[XIDA.xlsm]Peers!R111C29</stp>
        <tr r="AC111" s="4"/>
      </tp>
      <tp t="e">
        <v>#N/A</v>
        <stp/>
        <stp>##V3_BDPV12</stp>
        <stp xml:space="preserve"> EQUITY</stp>
        <stp>EQY_FISCAL_YR_END</stp>
        <stp>[XIDA.xlsm]Peers!R110C29</stp>
        <tr r="AC110" s="4"/>
      </tp>
      <tp t="e">
        <v>#N/A</v>
        <stp/>
        <stp>##V3_BDPV12</stp>
        <stp xml:space="preserve"> EQUITY</stp>
        <stp>EQY_FISCAL_YR_END</stp>
        <stp>[XIDA.xlsm]Peers!R113C29</stp>
        <tr r="AC113" s="4"/>
      </tp>
      <tp t="e">
        <v>#N/A</v>
        <stp/>
        <stp>##V3_BDPV12</stp>
        <stp xml:space="preserve"> EQUITY</stp>
        <stp>EQY_FISCAL_YR_END</stp>
        <stp>[XIDA.xlsm]Peers!R112C29</stp>
        <tr r="AC112" s="4"/>
      </tp>
      <tp t="e">
        <v>#N/A</v>
        <stp/>
        <stp>##V3_BDPV12</stp>
        <stp xml:space="preserve"> EQUITY</stp>
        <stp>EQY_FISCAL_YR_END</stp>
        <stp>[XIDA.xlsm]Peers!R119C29</stp>
        <tr r="AC119" s="4"/>
      </tp>
      <tp t="e">
        <v>#N/A</v>
        <stp/>
        <stp>##V3_BDPV12</stp>
        <stp xml:space="preserve"> EQUITY</stp>
        <stp>EQY_FISCAL_YR_END</stp>
        <stp>[XIDA.xlsm]Peers!R118C29</stp>
        <tr r="AC118" s="4"/>
      </tp>
      <tp t="e">
        <v>#N/A</v>
        <stp/>
        <stp>##V3_BDPV12</stp>
        <stp xml:space="preserve"> EQUITY</stp>
        <stp>EQY_FISCAL_YR_END</stp>
        <stp>[XIDA.xlsm]Peers!R125C29</stp>
        <tr r="AC125" s="4"/>
      </tp>
      <tp t="e">
        <v>#N/A</v>
        <stp/>
        <stp>##V3_BDPV12</stp>
        <stp xml:space="preserve"> EQUITY</stp>
        <stp>EQY_FISCAL_YR_END</stp>
        <stp>[XIDA.xlsm]Peers!R124C29</stp>
        <tr r="AC124" s="4"/>
      </tp>
      <tp t="e">
        <v>#N/A</v>
        <stp/>
        <stp>##V3_BDPV12</stp>
        <stp xml:space="preserve"> EQUITY</stp>
        <stp>EQY_FISCAL_YR_END</stp>
        <stp>[XIDA.xlsm]Peers!R127C29</stp>
        <tr r="AC127" s="4"/>
      </tp>
      <tp t="e">
        <v>#N/A</v>
        <stp/>
        <stp>##V3_BDPV12</stp>
        <stp xml:space="preserve"> EQUITY</stp>
        <stp>EQY_FISCAL_YR_END</stp>
        <stp>[XIDA.xlsm]Peers!R126C29</stp>
        <tr r="AC126" s="4"/>
      </tp>
      <tp t="e">
        <v>#N/A</v>
        <stp/>
        <stp>##V3_BDPV12</stp>
        <stp xml:space="preserve"> EQUITY</stp>
        <stp>EQY_FISCAL_YR_END</stp>
        <stp>[XIDA.xlsm]Peers!R121C29</stp>
        <tr r="AC121" s="4"/>
      </tp>
      <tp t="e">
        <v>#N/A</v>
        <stp/>
        <stp>##V3_BDPV12</stp>
        <stp xml:space="preserve"> EQUITY</stp>
        <stp>EQY_FISCAL_YR_END</stp>
        <stp>[XIDA.xlsm]Peers!R120C29</stp>
        <tr r="AC120" s="4"/>
      </tp>
      <tp t="e">
        <v>#N/A</v>
        <stp/>
        <stp>##V3_BDPV12</stp>
        <stp xml:space="preserve"> EQUITY</stp>
        <stp>EQY_FISCAL_YR_END</stp>
        <stp>[XIDA.xlsm]Peers!R123C29</stp>
        <tr r="AC123" s="4"/>
      </tp>
      <tp t="e">
        <v>#N/A</v>
        <stp/>
        <stp>##V3_BDPV12</stp>
        <stp xml:space="preserve"> EQUITY</stp>
        <stp>EQY_FISCAL_YR_END</stp>
        <stp>[XIDA.xlsm]Peers!R122C29</stp>
        <tr r="AC122" s="4"/>
      </tp>
      <tp t="e">
        <v>#N/A</v>
        <stp/>
        <stp>##V3_BDPV12</stp>
        <stp xml:space="preserve"> EQUITY</stp>
        <stp>EQY_FISCAL_YR_END</stp>
        <stp>[XIDA.xlsm]Peers!R129C29</stp>
        <tr r="AC129" s="4"/>
      </tp>
      <tp t="e">
        <v>#N/A</v>
        <stp/>
        <stp>##V3_BDPV12</stp>
        <stp xml:space="preserve"> EQUITY</stp>
        <stp>EQY_FISCAL_YR_END</stp>
        <stp>[XIDA.xlsm]Peers!R128C29</stp>
        <tr r="AC128" s="4"/>
      </tp>
      <tp t="e">
        <v>#N/A</v>
        <stp/>
        <stp>##V3_BDPV12</stp>
        <stp xml:space="preserve"> EQUITY</stp>
        <stp>EQY_FISCAL_YR_END</stp>
        <stp>[XIDA.xlsm]Peers!R135C29</stp>
        <tr r="AC135" s="4"/>
      </tp>
      <tp t="e">
        <v>#N/A</v>
        <stp/>
        <stp>##V3_BDPV12</stp>
        <stp xml:space="preserve"> EQUITY</stp>
        <stp>EQY_FISCAL_YR_END</stp>
        <stp>[XIDA.xlsm]Peers!R134C29</stp>
        <tr r="AC134" s="4"/>
      </tp>
      <tp t="e">
        <v>#N/A</v>
        <stp/>
        <stp>##V3_BDPV12</stp>
        <stp xml:space="preserve"> EQUITY</stp>
        <stp>EQY_FISCAL_YR_END</stp>
        <stp>[XIDA.xlsm]Peers!R137C29</stp>
        <tr r="AC137" s="4"/>
      </tp>
      <tp t="e">
        <v>#N/A</v>
        <stp/>
        <stp>##V3_BDPV12</stp>
        <stp xml:space="preserve"> EQUITY</stp>
        <stp>EQY_FISCAL_YR_END</stp>
        <stp>[XIDA.xlsm]Peers!R136C29</stp>
        <tr r="AC136" s="4"/>
      </tp>
      <tp t="e">
        <v>#N/A</v>
        <stp/>
        <stp>##V3_BDPV12</stp>
        <stp xml:space="preserve"> EQUITY</stp>
        <stp>EQY_FISCAL_YR_END</stp>
        <stp>[XIDA.xlsm]Peers!R131C29</stp>
        <tr r="AC131" s="4"/>
      </tp>
      <tp t="e">
        <v>#N/A</v>
        <stp/>
        <stp>##V3_BDPV12</stp>
        <stp xml:space="preserve"> EQUITY</stp>
        <stp>EQY_FISCAL_YR_END</stp>
        <stp>[XIDA.xlsm]Peers!R130C29</stp>
        <tr r="AC130" s="4"/>
      </tp>
      <tp t="e">
        <v>#N/A</v>
        <stp/>
        <stp>##V3_BDPV12</stp>
        <stp xml:space="preserve"> EQUITY</stp>
        <stp>EQY_FISCAL_YR_END</stp>
        <stp>[XIDA.xlsm]Peers!R133C29</stp>
        <tr r="AC133" s="4"/>
      </tp>
      <tp t="e">
        <v>#N/A</v>
        <stp/>
        <stp>##V3_BDPV12</stp>
        <stp xml:space="preserve"> EQUITY</stp>
        <stp>EQY_FISCAL_YR_END</stp>
        <stp>[XIDA.xlsm]Peers!R132C29</stp>
        <tr r="AC132" s="4"/>
      </tp>
      <tp t="e">
        <v>#N/A</v>
        <stp/>
        <stp>##V3_BDPV12</stp>
        <stp xml:space="preserve"> EQUITY</stp>
        <stp>EQY_FISCAL_YR_END</stp>
        <stp>[XIDA.xlsm]Peers!R139C29</stp>
        <tr r="AC139" s="4"/>
      </tp>
      <tp t="e">
        <v>#N/A</v>
        <stp/>
        <stp>##V3_BDPV12</stp>
        <stp xml:space="preserve"> EQUITY</stp>
        <stp>EQY_FISCAL_YR_END</stp>
        <stp>[XIDA.xlsm]Peers!R138C29</stp>
        <tr r="AC138" s="4"/>
      </tp>
      <tp>
        <v>74.345864661654133</v>
        <stp/>
        <stp>##V3_BDPV12</stp>
        <stp>AAPL US EQUITY</stp>
        <stp>INVENT_TURN</stp>
        <stp>[XIDA.xlsm]Financials!R144C8</stp>
        <stp>EQY_FUND_RELATIVE_PERIOD</stp>
        <stp>-9FY</stp>
        <stp>EQY_FUND_CRNCY</stp>
        <stp>USD</stp>
        <stp>EQY_CONSOLIDATED</stp>
        <stp>Y</stp>
        <stp>Fill=B</stp>
        <tr r="H144" s="8"/>
      </tp>
      <tp>
        <v>63.06666666666667</v>
        <stp/>
        <stp>##V3_BDPV12</stp>
        <stp>AAPL US EQUITY</stp>
        <stp>INVENT_TURN</stp>
        <stp>[XIDA.xlsm]Financials!R144C9</stp>
        <stp>EQY_FUND_RELATIVE_PERIOD</stp>
        <stp>-8FY</stp>
        <stp>EQY_FUND_CRNCY</stp>
        <stp>USD</stp>
        <stp>EQY_CONSOLIDATED</stp>
        <stp>Y</stp>
        <stp>Fill=B</stp>
        <tr r="I144" s="8"/>
      </tp>
      <tp>
        <v>4894.0344129600007</v>
        <stp/>
        <stp>##V3_BDPV12</stp>
        <stp>BB CN EQUITY</stp>
        <stp>CRNCY_ADJ_MKT_CAP</stp>
        <stp>[XIDA.xlsm]Peers!R19C13</stp>
        <tr r="M19" s="4"/>
        <tr r="M19" s="4"/>
      </tp>
      <tp>
        <v>5.2983560360206905</v>
        <stp/>
        <stp>##V3_BDPV12</stp>
        <stp>AAPL US EQUITY</stp>
        <stp>PX_TO_BOOK_RATIO</stp>
        <stp>[XIDA.xlsm]Overview!R37C8</stp>
        <stp>EQY_FUND_RELATIVE_PERIOD</stp>
        <stp>-0FY</stp>
        <stp>EQY_CONSOLIDATED</stp>
        <stp>Y</stp>
        <stp>Fill=-</stp>
        <tr r="H37" s="3"/>
      </tp>
      <tp>
        <v>4.9038268106767609</v>
        <stp/>
        <stp>##V3_BDPV12</stp>
        <stp>AAPL US EQUITY</stp>
        <stp>PX_TO_BOOK_RATIO</stp>
        <stp>[XIDA.xlsm]Overview!R37C5</stp>
        <stp>EQY_FUND_RELATIVE_PERIOD</stp>
        <stp>-3FY</stp>
        <stp>EQY_CONSOLIDATED</stp>
        <stp>Y</stp>
        <stp>Fill=-</stp>
        <tr r="E37" s="3"/>
      </tp>
      <tp>
        <v>3.513545846182486</v>
        <stp/>
        <stp>##V3_BDPV12</stp>
        <stp>AAPL US EQUITY</stp>
        <stp>PX_TO_BOOK_RATIO</stp>
        <stp>[XIDA.xlsm]Overview!R37C7</stp>
        <stp>EQY_FUND_RELATIVE_PERIOD</stp>
        <stp>-1FY</stp>
        <stp>EQY_CONSOLIDATED</stp>
        <stp>Y</stp>
        <stp>Fill=-</stp>
        <tr r="G37" s="3"/>
      </tp>
      <tp>
        <v>5.300315987141528</v>
        <stp/>
        <stp>##V3_BDPV12</stp>
        <stp>AAPL US EQUITY</stp>
        <stp>PX_TO_BOOK_RATIO</stp>
        <stp>[XIDA.xlsm]Overview!R37C6</stp>
        <stp>EQY_FUND_RELATIVE_PERIOD</stp>
        <stp>-2FY</stp>
        <stp>EQY_CONSOLIDATED</stp>
        <stp>Y</stp>
        <stp>Fill=-</stp>
        <tr r="F37" s="3"/>
      </tp>
      <tp t="s">
        <v>9/30/2011</v>
        <stp/>
        <stp>##V3_BDPV12</stp>
        <stp>AAPL US EQUITY</stp>
        <stp>BEST_PERIOD_END_DATE</stp>
        <stp>[XIDA.xlsm]Financials!R11C14</stp>
        <stp>BEST_FPERIOD_OVERRIDE</stp>
        <stp>-3FY</stp>
        <tr r="N11" s="8"/>
        <tr r="N11" s="8"/>
      </tp>
      <tp>
        <v>107.35</v>
        <stp/>
        <stp>##V3_BDHV12</stp>
        <stp>AAPL US EQUITY</stp>
        <stp>PX_LOW</stp>
        <stp>1/1/2015</stp>
        <stp>4/13/2015</stp>
        <stp>[XIDA.xlsm]Indices!R10C26</stp>
        <stp>FX=USD</stp>
        <stp>CDR=US</stp>
        <stp/>
        <stp>Per=CD</stp>
        <stp>Dts=H</stp>
        <stp>cols=1;rows=69</stp>
        <tr r="Z10" s="5"/>
      </tp>
      <tp>
        <v>1.1423709343017734</v>
        <stp/>
        <stp>##V3_BDPV12</stp>
        <stp>ERICB SS EQUITY</stp>
        <stp>BEST_PX_SALES_RATIO</stp>
        <stp>[XIDA.xlsm]DataH!R30C10</stp>
        <stp>BEST_FPERIOD_OVERRIDE</stp>
        <stp>13BC</stp>
        <stp>EQY_CONSOLIDATED</stp>
        <stp>Y</stp>
        <tr r="J30" s="16"/>
      </tp>
      <tp>
        <v>1.1393293954277293</v>
        <stp/>
        <stp>##V3_BDPV12</stp>
        <stp>ERICB SS EQUITY</stp>
        <stp>BEST_PX_SALES_RATIO</stp>
        <stp>[XIDA.xlsm]DataH!R30C11</stp>
        <stp>BEST_FPERIOD_OVERRIDE</stp>
        <stp>14BC</stp>
        <stp>EQY_CONSOLIDATED</stp>
        <stp>Y</stp>
        <tr r="K30" s="16"/>
      </tp>
      <tp t="s">
        <v>9/30/2012</v>
        <stp/>
        <stp>##V3_BDPV12</stp>
        <stp>AAPL US EQUITY</stp>
        <stp>BEST_PERIOD_END_DATE</stp>
        <stp>[XIDA.xlsm]Financials!R11C15</stp>
        <stp>BEST_FPERIOD_OVERRIDE</stp>
        <stp>-2FY</stp>
        <tr r="O11" s="8"/>
        <tr r="O11" s="8"/>
      </tp>
      <tp t="s">
        <v>#N/A Requesting Data...</v>
        <stp/>
        <stp>##V3_BDSV12</stp>
        <stp>AAPL US EQUITY</stp>
        <stp>BEST_ROE_BRK_GRID</stp>
        <stp>[XIDA.xlsm]DataH!R8C109</stp>
        <stp>BEST_FPERIOD_OVERRIDE</stp>
        <stp>3FQ</stp>
        <stp>STARTCOL=1</stp>
        <stp>ENDCOL=1</stp>
        <stp>EQY_FUND_CRNCY</stp>
        <stp>USD</stp>
        <stp>BEST_CONSOLIDATED_OVERRIDE</stp>
        <stp>C</stp>
        <tr r="DE8" s="16"/>
      </tp>
      <tp>
        <v>13931</v>
        <stp/>
        <stp>##V3_BDPV12</stp>
        <stp>AAPL US EQUITY</stp>
        <stp>SALES_REV_TURN</stp>
        <stp>[XIDA.xlsm]Financials!R14C8</stp>
        <stp>EQY_FUND_RELATIVE_PERIOD</stp>
        <stp>-9FY</stp>
        <stp>EQY_FUND_CRNCY</stp>
        <stp>USD</stp>
        <stp>EQY_CONSOLIDATED</stp>
        <stp>Y</stp>
        <stp>Fill=B</stp>
        <tr r="H14" s="8"/>
      </tp>
      <tp>
        <v>19315</v>
        <stp/>
        <stp>##V3_BDPV12</stp>
        <stp>AAPL US EQUITY</stp>
        <stp>SALES_REV_TURN</stp>
        <stp>[XIDA.xlsm]Financials!R14C9</stp>
        <stp>EQY_FUND_RELATIVE_PERIOD</stp>
        <stp>-8FY</stp>
        <stp>EQY_FUND_CRNCY</stp>
        <stp>USD</stp>
        <stp>EQY_CONSOLIDATED</stp>
        <stp>Y</stp>
        <stp>Fill=B</stp>
        <tr r="I14" s="8"/>
      </tp>
      <tp>
        <v>39.975999999999999</v>
        <stp/>
        <stp>##V3_BDPV12</stp>
        <stp>AAPL US EQUITY</stp>
        <stp>BEST_GROSS_MARGIN</stp>
        <stp>[XIDA.xlsm]Financials!R17C18</stp>
        <stp>BEST_FPERIOD_OVERRIDE</stp>
        <stp>1FY</stp>
        <stp>BEST_CONSOLIDATED_OVERRIDE</stp>
        <stp>C</stp>
        <tr r="R17" s="8"/>
        <tr r="R17" s="8"/>
      </tp>
      <tp>
        <v>39.657000000000004</v>
        <stp/>
        <stp>##V3_BDPV12</stp>
        <stp>AAPL US EQUITY</stp>
        <stp>BEST_GROSS_MARGIN</stp>
        <stp>[XIDA.xlsm]Financials!R17C19</stp>
        <stp>BEST_FPERIOD_OVERRIDE</stp>
        <stp>2FY</stp>
        <stp>BEST_CONSOLIDATED_OVERRIDE</stp>
        <stp>C</stp>
        <tr r="S17" s="8"/>
        <tr r="S17" s="8"/>
      </tp>
      <tp>
        <v>39.795000000000002</v>
        <stp/>
        <stp>##V3_BDPV12</stp>
        <stp>AAPL US EQUITY</stp>
        <stp>BEST_GROSS_MARGIN</stp>
        <stp>[XIDA.xlsm]Financials!R17C20</stp>
        <stp>BEST_FPERIOD_OVERRIDE</stp>
        <stp>3FY</stp>
        <stp>BEST_CONSOLIDATED_OVERRIDE</stp>
        <stp>C</stp>
        <tr r="T17" s="8"/>
        <tr r="T17" s="8"/>
      </tp>
      <tp>
        <v>13.128992893546767</v>
        <stp/>
        <stp>##V3_BDPV12</stp>
        <stp>AAPL US EQUITY</stp>
        <stp>EBITDA_TO_NET_SALES</stp>
        <stp>[XIDA.xlsm]Financials!R127C8</stp>
        <stp>EQY_FUND_RELATIVE_PERIOD</stp>
        <stp>-9FY</stp>
        <stp>EQY_FUND_CRNCY</stp>
        <stp>USD</stp>
        <stp>EQY_CONSOLIDATED</stp>
        <stp>Y</stp>
        <stp>Fill=0</stp>
        <tr r="H127" s="8"/>
      </tp>
      <tp>
        <v>13.864871861247735</v>
        <stp/>
        <stp>##V3_BDPV12</stp>
        <stp>AAPL US EQUITY</stp>
        <stp>EBITDA_TO_NET_SALES</stp>
        <stp>[XIDA.xlsm]Financials!R127C9</stp>
        <stp>EQY_FUND_RELATIVE_PERIOD</stp>
        <stp>-8FY</stp>
        <stp>EQY_FUND_CRNCY</stp>
        <stp>USD</stp>
        <stp>EQY_CONSOLIDATED</stp>
        <stp>Y</stp>
        <stp>Fill=0</stp>
        <tr r="I127" s="8"/>
      </tp>
      <tp>
        <v>1.0553254643915413</v>
        <stp/>
        <stp>##V3_BDPV12</stp>
        <stp>ERICB SS EQUITY</stp>
        <stp>BEST_PX_SALES_RATIO</stp>
        <stp>[XIDA.xlsm]DataH!R30C12</stp>
        <stp>BEST_FPERIOD_OVERRIDE</stp>
        <stp>15BC</stp>
        <stp>EQY_CONSOLIDATED</stp>
        <stp>Y</stp>
        <tr r="L30" s="16"/>
      </tp>
      <tp t="s">
        <v>9/30/2013</v>
        <stp/>
        <stp>##V3_BDPV12</stp>
        <stp>AAPL US EQUITY</stp>
        <stp>BEST_PERIOD_END_DATE</stp>
        <stp>[XIDA.xlsm]Financials!R11C16</stp>
        <stp>BEST_FPERIOD_OVERRIDE</stp>
        <stp>-1FY</stp>
        <tr r="P11" s="8"/>
        <tr r="P11" s="8"/>
      </tp>
      <tp t="s">
        <v>#N/A Requesting Data...</v>
        <stp/>
        <stp>##V3_BDSV12</stp>
        <stp>AAPL US EQUITY</stp>
        <stp>BEST_ROE_BRK_GRID</stp>
        <stp>[XIDA.xlsm]DataH!R8C108</stp>
        <stp>BEST_FPERIOD_OVERRIDE</stp>
        <stp>1FQ</stp>
        <stp>STARTCOL=6</stp>
        <stp>ENDCOL=6</stp>
        <stp>EQY_FUND_CRNCY</stp>
        <stp>USD</stp>
        <stp>BEST_CONSOLIDATED_OVERRIDE</stp>
        <stp>C</stp>
        <tr r="DD8" s="16"/>
      </tp>
      <tp>
        <v>1203.0972999999999</v>
        <stp/>
        <stp>##V3_BDHV12</stp>
        <stp>005930 KS EQUITY</stp>
        <stp>PX_LAST</stp>
        <stp>1/1/2015</stp>
        <stp>4/13/2015</stp>
        <stp>[XIDA.xlsm]PricesH!R4C1</stp>
        <stp>Dts=H</stp>
        <stp>FX=USD</stp>
        <stp>CDR=US</stp>
        <stp/>
        <stp>PER=CD</stp>
        <stp>cols=1;rows=69</stp>
        <tr r="A4" s="6"/>
      </tp>
      <tp>
        <v>11.844088722991888</v>
        <stp/>
        <stp>##V3_BDPV12</stp>
        <stp>AAPL US EQUITY</stp>
        <stp>OPER_MARGIN</stp>
        <stp>[XIDA.xlsm]Financials!R128C8</stp>
        <stp>EQY_FUND_RELATIVE_PERIOD</stp>
        <stp>-9FY</stp>
        <stp>EQY_FUND_CRNCY</stp>
        <stp>USD</stp>
        <stp>EQY_CONSOLIDATED</stp>
        <stp>Y</stp>
        <stp>Fill=0</stp>
        <tr r="H128" s="8"/>
      </tp>
      <tp>
        <v>12.69997411338338</v>
        <stp/>
        <stp>##V3_BDPV12</stp>
        <stp>AAPL US EQUITY</stp>
        <stp>OPER_MARGIN</stp>
        <stp>[XIDA.xlsm]Financials!R128C9</stp>
        <stp>EQY_FUND_RELATIVE_PERIOD</stp>
        <stp>-8FY</stp>
        <stp>EQY_FUND_CRNCY</stp>
        <stp>USD</stp>
        <stp>EQY_CONSOLIDATED</stp>
        <stp>Y</stp>
        <stp>Fill=0</stp>
        <tr r="I128" s="8"/>
      </tp>
      <tp>
        <v>-37</v>
        <stp/>
        <stp>##V3_BDPV12</stp>
        <stp>AAPL US EQUITY</stp>
        <stp>IS_NET_NON_OPER_LOSS</stp>
        <stp>[XIDA.xlsm]Financials!R24C7</stp>
        <stp>EQY_FUND_RELATIVE_PERIOD</stp>
        <stp>-10FY</stp>
        <stp>EQY_FUND_CRNCY</stp>
        <stp>USD</stp>
        <stp>EQY_CONSOLIDATED</stp>
        <stp>Y</stp>
        <stp>Fill=B</stp>
        <tr r="G24" s="8"/>
      </tp>
      <tp>
        <v>1.031211200569502</v>
        <stp/>
        <stp>##V3_BDPV12</stp>
        <stp>ERICB SS EQUITY</stp>
        <stp>BEST_PX_SALES_RATIO</stp>
        <stp>[XIDA.xlsm]DataH!R30C13</stp>
        <stp>BEST_FPERIOD_OVERRIDE</stp>
        <stp>16BC</stp>
        <stp>EQY_CONSOLIDATED</stp>
        <stp>Y</stp>
        <tr r="M30" s="16"/>
      </tp>
      <tp t="s">
        <v>9/30/2014</v>
        <stp/>
        <stp>##V3_BDPV12</stp>
        <stp>AAPL US EQUITY</stp>
        <stp>BEST_PERIOD_END_DATE</stp>
        <stp>[XIDA.xlsm]Financials!R11C17</stp>
        <stp>BEST_FPERIOD_OVERRIDE</stp>
        <stp>-0FY</stp>
        <tr r="Q11" s="8"/>
        <tr r="Q11" s="8"/>
      </tp>
      <tp>
        <v>2974</v>
        <stp/>
        <stp>##V3_BDPV12</stp>
        <stp>AAPL US EQUITY</stp>
        <stp>BS_TOT_LIAB2</stp>
        <stp>[XIDA.xlsm]Financials!R71C7</stp>
        <stp>EQY_FUND_RELATIVE_PERIOD</stp>
        <stp>-10FY</stp>
        <stp>EQY_FUND_CRNCY</stp>
        <stp>USD</stp>
        <stp>EQY_CONSOLIDATED</stp>
        <stp>Y</stp>
        <stp>Fill=B</stp>
        <tr r="G71" s="8"/>
      </tp>
      <tp>
        <v>8.9722819791250021</v>
        <stp/>
        <stp>##V3_BDPV12</stp>
        <stp>AAPL US EQUITY</stp>
        <stp>EV_TO_T12M_EBIT</stp>
        <stp>[XIDA.xlsm]Overview!R34C8</stp>
        <stp>EQY_FUND_RELATIVE_PERIOD</stp>
        <stp>-0FY</stp>
        <stp>EQY_CONSOLIDATED</stp>
        <stp>Y</stp>
        <stp>Fill=-</stp>
        <tr r="H34" s="3"/>
      </tp>
      <tp>
        <v>9.1471796824822142</v>
        <stp/>
        <stp>##V3_BDPV12</stp>
        <stp>AAPL US EQUITY</stp>
        <stp>EV_TO_T12M_EBIT</stp>
        <stp>[XIDA.xlsm]Overview!R34C6</stp>
        <stp>EQY_FUND_RELATIVE_PERIOD</stp>
        <stp>-2FY</stp>
        <stp>EQY_CONSOLIDATED</stp>
        <stp>Y</stp>
        <stp>Fill=-</stp>
        <tr r="F34" s="3"/>
      </tp>
      <tp>
        <v>8.7048443651968057</v>
        <stp/>
        <stp>##V3_BDPV12</stp>
        <stp>AAPL US EQUITY</stp>
        <stp>EV_TO_T12M_EBIT</stp>
        <stp>[XIDA.xlsm]Overview!R34C5</stp>
        <stp>EQY_FUND_RELATIVE_PERIOD</stp>
        <stp>-3FY</stp>
        <stp>EQY_CONSOLIDATED</stp>
        <stp>Y</stp>
        <stp>Fill=-</stp>
        <tr r="E34" s="3"/>
      </tp>
      <tp>
        <v>6.2102099175493368</v>
        <stp/>
        <stp>##V3_BDPV12</stp>
        <stp>AAPL US EQUITY</stp>
        <stp>EV_TO_T12M_EBIT</stp>
        <stp>[XIDA.xlsm]Overview!R34C7</stp>
        <stp>EQY_FUND_RELATIVE_PERIOD</stp>
        <stp>-1FY</stp>
        <stp>EQY_CONSOLIDATED</stp>
        <stp>Y</stp>
        <stp>Fill=-</stp>
        <tr r="G34" s="3"/>
      </tp>
      <tp>
        <v>0</v>
        <stp/>
        <stp>##V3_BDPV12</stp>
        <stp>AAPL US EQUITY</stp>
        <stp>CF_DECR_CAP_STOCK</stp>
        <stp>[XIDA.xlsm]Financials!R103C10</stp>
        <stp>EQY_FUND_RELATIVE_PERIOD</stp>
        <stp>-7FY</stp>
        <stp>EQY_FUND_CRNCY</stp>
        <stp>USD</stp>
        <stp>EQY_CONSOLIDATED</stp>
        <stp>Y</stp>
        <stp>Fill=B</stp>
        <tr r="J103" s="8"/>
      </tp>
      <tp>
        <v>0</v>
        <stp/>
        <stp>##V3_BDPV12</stp>
        <stp>AAPL US EQUITY</stp>
        <stp>CF_DECR_CAP_STOCK</stp>
        <stp>[XIDA.xlsm]Financials!R103C11</stp>
        <stp>EQY_FUND_RELATIVE_PERIOD</stp>
        <stp>-6FY</stp>
        <stp>EQY_FUND_CRNCY</stp>
        <stp>USD</stp>
        <stp>EQY_CONSOLIDATED</stp>
        <stp>Y</stp>
        <stp>Fill=B</stp>
        <tr r="K103" s="8"/>
      </tp>
      <tp>
        <v>0</v>
        <stp/>
        <stp>##V3_BDPV12</stp>
        <stp>AAPL US EQUITY</stp>
        <stp>CF_DECR_CAP_STOCK</stp>
        <stp>[XIDA.xlsm]Financials!R103C12</stp>
        <stp>EQY_FUND_RELATIVE_PERIOD</stp>
        <stp>-5FY</stp>
        <stp>EQY_FUND_CRNCY</stp>
        <stp>USD</stp>
        <stp>EQY_CONSOLIDATED</stp>
        <stp>Y</stp>
        <stp>Fill=B</stp>
        <tr r="L103" s="8"/>
      </tp>
      <tp>
        <v>0</v>
        <stp/>
        <stp>##V3_BDPV12</stp>
        <stp>AAPL US EQUITY</stp>
        <stp>CF_DECR_CAP_STOCK</stp>
        <stp>[XIDA.xlsm]Financials!R103C13</stp>
        <stp>EQY_FUND_RELATIVE_PERIOD</stp>
        <stp>-4FY</stp>
        <stp>EQY_FUND_CRNCY</stp>
        <stp>USD</stp>
        <stp>EQY_CONSOLIDATED</stp>
        <stp>Y</stp>
        <stp>Fill=B</stp>
        <tr r="M103" s="8"/>
      </tp>
      <tp>
        <v>0</v>
        <stp/>
        <stp>##V3_BDPV12</stp>
        <stp>AAPL US EQUITY</stp>
        <stp>CF_DECR_CAP_STOCK</stp>
        <stp>[XIDA.xlsm]Financials!R103C14</stp>
        <stp>EQY_FUND_RELATIVE_PERIOD</stp>
        <stp>-3FY</stp>
        <stp>EQY_FUND_CRNCY</stp>
        <stp>USD</stp>
        <stp>EQY_CONSOLIDATED</stp>
        <stp>Y</stp>
        <stp>Fill=B</stp>
        <tr r="N103" s="8"/>
      </tp>
      <tp>
        <v>0</v>
        <stp/>
        <stp>##V3_BDPV12</stp>
        <stp>AAPL US EQUITY</stp>
        <stp>CF_DECR_CAP_STOCK</stp>
        <stp>[XIDA.xlsm]Financials!R103C15</stp>
        <stp>EQY_FUND_RELATIVE_PERIOD</stp>
        <stp>-2FY</stp>
        <stp>EQY_FUND_CRNCY</stp>
        <stp>USD</stp>
        <stp>EQY_CONSOLIDATED</stp>
        <stp>Y</stp>
        <stp>Fill=B</stp>
        <tr r="O103" s="8"/>
      </tp>
      <tp>
        <v>-22860</v>
        <stp/>
        <stp>##V3_BDPV12</stp>
        <stp>AAPL US EQUITY</stp>
        <stp>CF_DECR_CAP_STOCK</stp>
        <stp>[XIDA.xlsm]Financials!R103C16</stp>
        <stp>EQY_FUND_RELATIVE_PERIOD</stp>
        <stp>-1FY</stp>
        <stp>EQY_FUND_CRNCY</stp>
        <stp>USD</stp>
        <stp>EQY_CONSOLIDATED</stp>
        <stp>Y</stp>
        <stp>Fill=B</stp>
        <tr r="P103" s="8"/>
      </tp>
      <tp>
        <v>-45000</v>
        <stp/>
        <stp>##V3_BDPV12</stp>
        <stp>AAPL US EQUITY</stp>
        <stp>CF_DECR_CAP_STOCK</stp>
        <stp>[XIDA.xlsm]Financials!R103C17</stp>
        <stp>EQY_FUND_RELATIVE_PERIOD</stp>
        <stp>-0FY</stp>
        <stp>EQY_FUND_CRNCY</stp>
        <stp>USD</stp>
        <stp>EQY_CONSOLIDATED</stp>
        <stp>Y</stp>
        <stp>Fill=B</stp>
        <tr r="Q103" s="8"/>
      </tp>
      <tp>
        <v>0</v>
        <stp/>
        <stp>##V3_BDPV12</stp>
        <stp>AAPL US EQUITY</stp>
        <stp>IS_FOREIGN_EXCH_LOSS</stp>
        <stp>[XIDA.xlsm]Financials!R23C7</stp>
        <stp>EQY_FUND_RELATIVE_PERIOD</stp>
        <stp>-10FY</stp>
        <stp>EQY_FUND_CRNCY</stp>
        <stp>USD</stp>
        <stp>EQY_CONSOLIDATED</stp>
        <stp>Y</stp>
        <stp>Fill=B</stp>
        <tr r="G23" s="8"/>
      </tp>
      <tp>
        <v>489</v>
        <stp/>
        <stp>##V3_BDPV12</stp>
        <stp>AAPL US EQUITY</stp>
        <stp>IS_RD_EXPEND</stp>
        <stp>[XIDA.xlsm]Financials!R19C7</stp>
        <stp>EQY_FUND_RELATIVE_PERIOD</stp>
        <stp>-10FY</stp>
        <stp>EQY_FUND_CRNCY</stp>
        <stp>USD</stp>
        <stp>EQY_CONSOLIDATED</stp>
        <stp>Y</stp>
        <stp>Fill=B</stp>
        <tr r="G19" s="8"/>
      </tp>
      <tp>
        <v>1.0005099219202562</v>
        <stp/>
        <stp>##V3_BDPV12</stp>
        <stp>ERICB SS EQUITY</stp>
        <stp>BEST_PX_SALES_RATIO</stp>
        <stp>[XIDA.xlsm]DataH!R30C14</stp>
        <stp>BEST_FPERIOD_OVERRIDE</stp>
        <stp>17BC</stp>
        <stp>EQY_CONSOLIDATED</stp>
        <stp>Y</stp>
        <tr r="N30" s="16"/>
      </tp>
      <tp t="s">
        <v>9/30/2007</v>
        <stp/>
        <stp>##V3_BDPV12</stp>
        <stp>AAPL US EQUITY</stp>
        <stp>BEST_PERIOD_END_DATE</stp>
        <stp>[XIDA.xlsm]Financials!R11C10</stp>
        <stp>BEST_FPERIOD_OVERRIDE</stp>
        <stp>-7FY</stp>
        <tr r="J11" s="8"/>
        <tr r="J11" s="8"/>
      </tp>
      <tp>
        <v>-427</v>
        <stp/>
        <stp>##V3_BDPV12</stp>
        <stp>AAPL US EQUITY</stp>
        <stp>CF_NET_CHNG_CASH</stp>
        <stp>[XIDA.xlsm]Financials!R107C7</stp>
        <stp>EQY_FUND_RELATIVE_PERIOD</stp>
        <stp>-10FY</stp>
        <stp>EQY_FUND_CRNCY</stp>
        <stp>USD</stp>
        <stp>EQY_CONSOLIDATED</stp>
        <stp>Y</stp>
        <stp>Fill=B</stp>
        <tr r="G107" s="8"/>
      </tp>
      <tp>
        <v>0.80643290101903842</v>
        <stp/>
        <stp>##V3_BDPV12</stp>
        <stp>005930 KS EQUITY</stp>
        <stp>BEST_PX_SALES_RATIO</stp>
        <stp>[XIDA.xlsm]DataH!R23C9</stp>
        <stp>BEST_FPERIOD_OVERRIDE</stp>
        <stp>12BC</stp>
        <stp>EQY_CONSOLIDATED</stp>
        <stp>Y</stp>
        <tr r="I23" s="16"/>
      </tp>
      <tp>
        <v>0</v>
        <stp/>
        <stp>##V3_BDPV12</stp>
        <stp>AAPL US EQUITY</stp>
        <stp>CF_OTHER_FNC_ACT</stp>
        <stp>[XIDA.xlsm]Financials!R104C7</stp>
        <stp>EQY_FUND_RELATIVE_PERIOD</stp>
        <stp>-10FY</stp>
        <stp>EQY_FUND_CRNCY</stp>
        <stp>USD</stp>
        <stp>EQY_CONSOLIDATED</stp>
        <stp>Y</stp>
        <stp>Fill=B</stp>
        <tr r="G104" s="8"/>
      </tp>
      <tp>
        <v>0</v>
        <stp/>
        <stp>##V3_BDPV12</stp>
        <stp>AAPL US EQUITY</stp>
        <stp>BS_LT_BORROW</stp>
        <stp>[XIDA.xlsm]Financials!R68C10</stp>
        <stp>EQY_FUND_RELATIVE_PERIOD</stp>
        <stp>-7FY</stp>
        <stp>EQY_FUND_CRNCY</stp>
        <stp>USD</stp>
        <stp>EQY_CONSOLIDATED</stp>
        <stp>Y</stp>
        <stp>Fill=B</stp>
        <tr r="J68" s="8"/>
      </tp>
      <tp>
        <v>0</v>
        <stp/>
        <stp>##V3_BDPV12</stp>
        <stp>AAPL US EQUITY</stp>
        <stp>BS_LT_BORROW</stp>
        <stp>[XIDA.xlsm]Financials!R68C11</stp>
        <stp>EQY_FUND_RELATIVE_PERIOD</stp>
        <stp>-6FY</stp>
        <stp>EQY_FUND_CRNCY</stp>
        <stp>USD</stp>
        <stp>EQY_CONSOLIDATED</stp>
        <stp>Y</stp>
        <stp>Fill=B</stp>
        <tr r="K68" s="8"/>
      </tp>
      <tp>
        <v>0</v>
        <stp/>
        <stp>##V3_BDPV12</stp>
        <stp>AAPL US EQUITY</stp>
        <stp>BS_LT_BORROW</stp>
        <stp>[XIDA.xlsm]Financials!R68C12</stp>
        <stp>EQY_FUND_RELATIVE_PERIOD</stp>
        <stp>-5FY</stp>
        <stp>EQY_FUND_CRNCY</stp>
        <stp>USD</stp>
        <stp>EQY_CONSOLIDATED</stp>
        <stp>Y</stp>
        <stp>Fill=B</stp>
        <tr r="L68" s="8"/>
      </tp>
      <tp>
        <v>0</v>
        <stp/>
        <stp>##V3_BDPV12</stp>
        <stp>AAPL US EQUITY</stp>
        <stp>BS_LT_BORROW</stp>
        <stp>[XIDA.xlsm]Financials!R68C13</stp>
        <stp>EQY_FUND_RELATIVE_PERIOD</stp>
        <stp>-4FY</stp>
        <stp>EQY_FUND_CRNCY</stp>
        <stp>USD</stp>
        <stp>EQY_CONSOLIDATED</stp>
        <stp>Y</stp>
        <stp>Fill=B</stp>
        <tr r="M68" s="8"/>
      </tp>
      <tp>
        <v>0</v>
        <stp/>
        <stp>##V3_BDPV12</stp>
        <stp>AAPL US EQUITY</stp>
        <stp>BS_LT_BORROW</stp>
        <stp>[XIDA.xlsm]Financials!R68C14</stp>
        <stp>EQY_FUND_RELATIVE_PERIOD</stp>
        <stp>-3FY</stp>
        <stp>EQY_FUND_CRNCY</stp>
        <stp>USD</stp>
        <stp>EQY_CONSOLIDATED</stp>
        <stp>Y</stp>
        <stp>Fill=B</stp>
        <tr r="N68" s="8"/>
      </tp>
      <tp>
        <v>0</v>
        <stp/>
        <stp>##V3_BDPV12</stp>
        <stp>AAPL US EQUITY</stp>
        <stp>BS_LT_BORROW</stp>
        <stp>[XIDA.xlsm]Financials!R68C15</stp>
        <stp>EQY_FUND_RELATIVE_PERIOD</stp>
        <stp>-2FY</stp>
        <stp>EQY_FUND_CRNCY</stp>
        <stp>USD</stp>
        <stp>EQY_CONSOLIDATED</stp>
        <stp>Y</stp>
        <stp>Fill=B</stp>
        <tr r="O68" s="8"/>
      </tp>
      <tp>
        <v>16960</v>
        <stp/>
        <stp>##V3_BDPV12</stp>
        <stp>AAPL US EQUITY</stp>
        <stp>BS_LT_BORROW</stp>
        <stp>[XIDA.xlsm]Financials!R68C16</stp>
        <stp>EQY_FUND_RELATIVE_PERIOD</stp>
        <stp>-1FY</stp>
        <stp>EQY_FUND_CRNCY</stp>
        <stp>USD</stp>
        <stp>EQY_CONSOLIDATED</stp>
        <stp>Y</stp>
        <stp>Fill=B</stp>
        <tr r="P68" s="8"/>
      </tp>
      <tp>
        <v>28987</v>
        <stp/>
        <stp>##V3_BDPV12</stp>
        <stp>AAPL US EQUITY</stp>
        <stp>BS_LT_BORROW</stp>
        <stp>[XIDA.xlsm]Financials!R68C17</stp>
        <stp>EQY_FUND_RELATIVE_PERIOD</stp>
        <stp>-0FY</stp>
        <stp>EQY_FUND_CRNCY</stp>
        <stp>USD</stp>
        <stp>EQY_CONSOLIDATED</stp>
        <stp>Y</stp>
        <stp>Fill=B</stp>
        <tr r="Q68" s="8"/>
      </tp>
      <tp t="s">
        <v>9/30/2008</v>
        <stp/>
        <stp>##V3_BDPV12</stp>
        <stp>AAPL US EQUITY</stp>
        <stp>BEST_PERIOD_END_DATE</stp>
        <stp>[XIDA.xlsm]Financials!R11C11</stp>
        <stp>BEST_FPERIOD_OVERRIDE</stp>
        <stp>-6FY</stp>
        <tr r="K11" s="8"/>
        <tr r="K11" s="8"/>
      </tp>
      <tp>
        <v>128113.53710869999</v>
        <stp/>
        <stp>##V3_BDPV12</stp>
        <stp>CSCO US EQUITY</stp>
        <stp>CRNCY_ADJ_MKT_CAP</stp>
        <stp>[XIDA.xlsm]Peers!R23C13</stp>
        <tr r="M23" s="4"/>
        <tr r="M23" s="4"/>
      </tp>
      <tp>
        <v>0.98287775369998909</v>
        <stp/>
        <stp>##V3_BDPV12</stp>
        <stp>005930 KS EQUITY</stp>
        <stp>BEST_PX_SALES_RATIO</stp>
        <stp>[XIDA.xlsm]DataH!R23C8</stp>
        <stp>BEST_FPERIOD_OVERRIDE</stp>
        <stp>11BC</stp>
        <stp>EQY_CONSOLIDATED</stp>
        <stp>Y</stp>
        <tr r="H23" s="16"/>
      </tp>
      <tp>
        <v>5.398705942306127</v>
        <stp/>
        <stp>##V3_BDPV12</stp>
        <stp>AAPL US EQUITY</stp>
        <stp>PX_TO_SALES_RATIO</stp>
        <stp>[XIDA.xlsm]Financials!R121C10</stp>
        <stp>EQY_FUND_RELATIVE_PERIOD</stp>
        <stp>-7FY</stp>
        <stp>EQY_FUND_CRNCY</stp>
        <stp>USD</stp>
        <stp>EQY_CONSOLIDATED</stp>
        <stp>Y</stp>
        <stp>Fill=B</stp>
        <tr r="J121" s="8"/>
      </tp>
      <tp>
        <v>3.0155332767864289</v>
        <stp/>
        <stp>##V3_BDPV12</stp>
        <stp>AAPL US EQUITY</stp>
        <stp>PX_TO_SALES_RATIO</stp>
        <stp>[XIDA.xlsm]Financials!R121C11</stp>
        <stp>EQY_FUND_RELATIVE_PERIOD</stp>
        <stp>-6FY</stp>
        <stp>EQY_FUND_CRNCY</stp>
        <stp>USD</stp>
        <stp>EQY_CONSOLIDATED</stp>
        <stp>Y</stp>
        <stp>Fill=B</stp>
        <tr r="K121" s="8"/>
      </tp>
      <tp>
        <v>3.7958123277007343</v>
        <stp/>
        <stp>##V3_BDPV12</stp>
        <stp>AAPL US EQUITY</stp>
        <stp>PX_TO_SALES_RATIO</stp>
        <stp>[XIDA.xlsm]Financials!R121C12</stp>
        <stp>EQY_FUND_RELATIVE_PERIOD</stp>
        <stp>-5FY</stp>
        <stp>EQY_FUND_CRNCY</stp>
        <stp>USD</stp>
        <stp>EQY_CONSOLIDATED</stp>
        <stp>Y</stp>
        <stp>Fill=B</stp>
        <tr r="L121" s="8"/>
      </tp>
      <tp>
        <v>4.0759469454963586</v>
        <stp/>
        <stp>##V3_BDPV12</stp>
        <stp>AAPL US EQUITY</stp>
        <stp>PX_TO_SALES_RATIO</stp>
        <stp>[XIDA.xlsm]Financials!R121C13</stp>
        <stp>EQY_FUND_RELATIVE_PERIOD</stp>
        <stp>-4FY</stp>
        <stp>EQY_FUND_CRNCY</stp>
        <stp>USD</stp>
        <stp>EQY_CONSOLIDATED</stp>
        <stp>Y</stp>
        <stp>Fill=B</stp>
        <tr r="M121" s="8"/>
      </tp>
      <tp>
        <v>3.4520181193359756</v>
        <stp/>
        <stp>##V3_BDPV12</stp>
        <stp>AAPL US EQUITY</stp>
        <stp>PX_TO_SALES_RATIO</stp>
        <stp>[XIDA.xlsm]Financials!R121C14</stp>
        <stp>EQY_FUND_RELATIVE_PERIOD</stp>
        <stp>-3FY</stp>
        <stp>EQY_FUND_CRNCY</stp>
        <stp>USD</stp>
        <stp>EQY_CONSOLIDATED</stp>
        <stp>Y</stp>
        <stp>Fill=B</stp>
        <tr r="N121" s="8"/>
      </tp>
      <tp>
        <v>3.9845999047333045</v>
        <stp/>
        <stp>##V3_BDPV12</stp>
        <stp>AAPL US EQUITY</stp>
        <stp>PX_TO_SALES_RATIO</stp>
        <stp>[XIDA.xlsm]Financials!R121C15</stp>
        <stp>EQY_FUND_RELATIVE_PERIOD</stp>
        <stp>-2FY</stp>
        <stp>EQY_FUND_CRNCY</stp>
        <stp>USD</stp>
        <stp>EQY_CONSOLIDATED</stp>
        <stp>Y</stp>
        <stp>Fill=B</stp>
        <tr r="O121" s="8"/>
      </tp>
      <tp>
        <v>2.6136770244573166</v>
        <stp/>
        <stp>##V3_BDPV12</stp>
        <stp>AAPL US EQUITY</stp>
        <stp>PX_TO_SALES_RATIO</stp>
        <stp>[XIDA.xlsm]Financials!R121C16</stp>
        <stp>EQY_FUND_RELATIVE_PERIOD</stp>
        <stp>-1FY</stp>
        <stp>EQY_FUND_CRNCY</stp>
        <stp>USD</stp>
        <stp>EQY_CONSOLIDATED</stp>
        <stp>Y</stp>
        <stp>Fill=B</stp>
        <tr r="P121" s="8"/>
      </tp>
      <tp>
        <v>3.3541474274460463</v>
        <stp/>
        <stp>##V3_BDPV12</stp>
        <stp>AAPL US EQUITY</stp>
        <stp>PX_TO_SALES_RATIO</stp>
        <stp>[XIDA.xlsm]Financials!R121C17</stp>
        <stp>EQY_FUND_RELATIVE_PERIOD</stp>
        <stp>-0FY</stp>
        <stp>EQY_FUND_CRNCY</stp>
        <stp>USD</stp>
        <stp>EQY_CONSOLIDATED</stp>
        <stp>Y</stp>
        <stp>Fill=B</stp>
        <tr r="Q121" s="8"/>
      </tp>
      <tp t="s">
        <v>9/30/2009</v>
        <stp/>
        <stp>##V3_BDPV12</stp>
        <stp>AAPL US EQUITY</stp>
        <stp>BEST_PERIOD_END_DATE</stp>
        <stp>[XIDA.xlsm]Financials!R11C12</stp>
        <stp>BEST_FPERIOD_OVERRIDE</stp>
        <stp>-5FY</stp>
        <tr r="L11" s="8"/>
        <tr r="L11" s="8"/>
      </tp>
      <tp t="s">
        <v>09/2014</v>
        <stp/>
        <stp>##V3_BDPV12</stp>
        <stp>AAPL US EQUITY</stp>
        <stp>EQY_FISCAL_YR_END</stp>
        <stp>[XIDA.xlsm]Peers!R17C29</stp>
        <tr r="AC17" s="4"/>
      </tp>
      <tp>
        <v>0.12426675834463227</v>
        <stp/>
        <stp>##V3_BDPV12</stp>
        <stp>066570 KS EQUITY</stp>
        <stp>BEST_PX_SALES_RATIO</stp>
        <stp>[XIDA.xlsm]DataH!R26C8</stp>
        <stp>BEST_FPERIOD_OVERRIDE</stp>
        <stp>11BC</stp>
        <stp>EQY_CONSOLIDATED</stp>
        <stp>Y</stp>
        <tr r="H26" s="16"/>
      </tp>
      <tp t="s">
        <v>Communications Equipment</v>
        <stp/>
        <stp>##V3_BDPV12</stp>
        <stp>CSCO US EQUITY</stp>
        <stp>GICS_SUB_INDUSTRY_NAME</stp>
        <stp>[XIDA.xlsm]Peers!R23C8</stp>
        <tr r="H23" s="4"/>
      </tp>
      <tp t="s">
        <v>12/2014</v>
        <stp/>
        <stp>##V3_BDPV12</stp>
        <stp>ALU FP EQUITY</stp>
        <stp>EQY_FISCAL_YR_END</stp>
        <stp>[XIDA.xlsm]Peers!R24C29</stp>
        <tr r="AC24" s="4"/>
      </tp>
      <tp>
        <v>1241</v>
        <stp/>
        <stp>##V3_BDPV12</stp>
        <stp>AAPL US EQUITY</stp>
        <stp>NON_CUR_LIAB</stp>
        <stp>[XIDA.xlsm]Financials!R67C10</stp>
        <stp>EQY_FUND_RELATIVE_PERIOD</stp>
        <stp>-7FY</stp>
        <stp>EQY_FUND_CRNCY</stp>
        <stp>USD</stp>
        <stp>EQY_CONSOLIDATED</stp>
        <stp>Y</stp>
        <stp>Fill=B</stp>
        <tr r="J67" s="8"/>
      </tp>
      <tp>
        <v>2513</v>
        <stp/>
        <stp>##V3_BDPV12</stp>
        <stp>AAPL US EQUITY</stp>
        <stp>NON_CUR_LIAB</stp>
        <stp>[XIDA.xlsm]Financials!R67C11</stp>
        <stp>EQY_FUND_RELATIVE_PERIOD</stp>
        <stp>-6FY</stp>
        <stp>EQY_FUND_CRNCY</stp>
        <stp>USD</stp>
        <stp>EQY_CONSOLIDATED</stp>
        <stp>Y</stp>
        <stp>Fill=B</stp>
        <tr r="K67" s="8"/>
      </tp>
      <tp>
        <v>4355</v>
        <stp/>
        <stp>##V3_BDPV12</stp>
        <stp>AAPL US EQUITY</stp>
        <stp>NON_CUR_LIAB</stp>
        <stp>[XIDA.xlsm]Financials!R67C12</stp>
        <stp>EQY_FUND_RELATIVE_PERIOD</stp>
        <stp>-5FY</stp>
        <stp>EQY_FUND_CRNCY</stp>
        <stp>USD</stp>
        <stp>EQY_CONSOLIDATED</stp>
        <stp>Y</stp>
        <stp>Fill=B</stp>
        <tr r="L67" s="8"/>
      </tp>
      <tp>
        <v>6670</v>
        <stp/>
        <stp>##V3_BDPV12</stp>
        <stp>AAPL US EQUITY</stp>
        <stp>NON_CUR_LIAB</stp>
        <stp>[XIDA.xlsm]Financials!R67C13</stp>
        <stp>EQY_FUND_RELATIVE_PERIOD</stp>
        <stp>-4FY</stp>
        <stp>EQY_FUND_CRNCY</stp>
        <stp>USD</stp>
        <stp>EQY_CONSOLIDATED</stp>
        <stp>Y</stp>
        <stp>Fill=B</stp>
        <tr r="M67" s="8"/>
      </tp>
      <tp>
        <v>11786</v>
        <stp/>
        <stp>##V3_BDPV12</stp>
        <stp>AAPL US EQUITY</stp>
        <stp>NON_CUR_LIAB</stp>
        <stp>[XIDA.xlsm]Financials!R67C14</stp>
        <stp>EQY_FUND_RELATIVE_PERIOD</stp>
        <stp>-3FY</stp>
        <stp>EQY_FUND_CRNCY</stp>
        <stp>USD</stp>
        <stp>EQY_CONSOLIDATED</stp>
        <stp>Y</stp>
        <stp>Fill=B</stp>
        <tr r="N67" s="8"/>
      </tp>
      <tp>
        <v>19312</v>
        <stp/>
        <stp>##V3_BDPV12</stp>
        <stp>AAPL US EQUITY</stp>
        <stp>NON_CUR_LIAB</stp>
        <stp>[XIDA.xlsm]Financials!R67C15</stp>
        <stp>EQY_FUND_RELATIVE_PERIOD</stp>
        <stp>-2FY</stp>
        <stp>EQY_FUND_CRNCY</stp>
        <stp>USD</stp>
        <stp>EQY_CONSOLIDATED</stp>
        <stp>Y</stp>
        <stp>Fill=B</stp>
        <tr r="O67" s="8"/>
      </tp>
      <tp>
        <v>39793</v>
        <stp/>
        <stp>##V3_BDPV12</stp>
        <stp>AAPL US EQUITY</stp>
        <stp>NON_CUR_LIAB</stp>
        <stp>[XIDA.xlsm]Financials!R67C16</stp>
        <stp>EQY_FUND_RELATIVE_PERIOD</stp>
        <stp>-1FY</stp>
        <stp>EQY_FUND_CRNCY</stp>
        <stp>USD</stp>
        <stp>EQY_CONSOLIDATED</stp>
        <stp>Y</stp>
        <stp>Fill=B</stp>
        <tr r="P67" s="8"/>
      </tp>
      <tp>
        <v>56844</v>
        <stp/>
        <stp>##V3_BDPV12</stp>
        <stp>AAPL US EQUITY</stp>
        <stp>NON_CUR_LIAB</stp>
        <stp>[XIDA.xlsm]Financials!R67C17</stp>
        <stp>EQY_FUND_RELATIVE_PERIOD</stp>
        <stp>-0FY</stp>
        <stp>EQY_FUND_CRNCY</stp>
        <stp>USD</stp>
        <stp>EQY_CONSOLIDATED</stp>
        <stp>Y</stp>
        <stp>Fill=B</stp>
        <tr r="Q67" s="8"/>
      </tp>
      <tp>
        <v>14.60621387283237</v>
        <stp/>
        <stp>##V3_BDPV12</stp>
        <stp>AAPL US EQUITY</stp>
        <stp>PE_RATIO</stp>
        <stp>[XIDA.xlsm]Overview!R33C5</stp>
        <stp>EQY_FUND_RELATIVE_PERIOD</stp>
        <stp>-3FY</stp>
        <stp>EQY_CONSOLIDATED</stp>
        <stp>Y</stp>
        <stp>Fill=-</stp>
        <tr r="E33" s="3"/>
      </tp>
      <tp>
        <v>12.144654088050315</v>
        <stp/>
        <stp>##V3_BDPV12</stp>
        <stp>AAPL US EQUITY</stp>
        <stp>PE_RATIO</stp>
        <stp>[XIDA.xlsm]Overview!R33C7</stp>
        <stp>EQY_FUND_RELATIVE_PERIOD</stp>
        <stp>-1FY</stp>
        <stp>EQY_CONSOLIDATED</stp>
        <stp>Y</stp>
        <stp>Fill=-</stp>
        <tr r="G33" s="3"/>
      </tp>
      <tp>
        <v>15.109966024915064</v>
        <stp/>
        <stp>##V3_BDPV12</stp>
        <stp>AAPL US EQUITY</stp>
        <stp>PE_RATIO</stp>
        <stp>[XIDA.xlsm]Overview!R33C6</stp>
        <stp>EQY_FUND_RELATIVE_PERIOD</stp>
        <stp>-2FY</stp>
        <stp>EQY_CONSOLIDATED</stp>
        <stp>Y</stp>
        <stp>Fill=-</stp>
        <tr r="F33" s="3"/>
      </tp>
      <tp>
        <v>15.620155038759689</v>
        <stp/>
        <stp>##V3_BDPV12</stp>
        <stp>AAPL US EQUITY</stp>
        <stp>PE_RATIO</stp>
        <stp>[XIDA.xlsm]Overview!R33C8</stp>
        <stp>EQY_FUND_RELATIVE_PERIOD</stp>
        <stp>-0FY</stp>
        <stp>EQY_CONSOLIDATED</stp>
        <stp>Y</stp>
        <stp>Fill=-</stp>
        <tr r="H33" s="3"/>
      </tp>
      <tp t="s">
        <v>9/30/2010</v>
        <stp/>
        <stp>##V3_BDPV12</stp>
        <stp>AAPL US EQUITY</stp>
        <stp>BEST_PERIOD_END_DATE</stp>
        <stp>[XIDA.xlsm]Financials!R11C13</stp>
        <stp>BEST_FPERIOD_OVERRIDE</stp>
        <stp>-4FY</stp>
        <tr r="M11" s="8"/>
        <tr r="M11" s="8"/>
      </tp>
      <tp>
        <v>165</v>
        <stp/>
        <stp>##V3_BDPV12</stp>
        <stp>AAPL US EQUITY</stp>
        <stp>BS_INVENTORIES</stp>
        <stp>[XIDA.xlsm]Financials!R52C8</stp>
        <stp>EQY_FUND_RELATIVE_PERIOD</stp>
        <stp>-9FY</stp>
        <stp>EQY_FUND_CRNCY</stp>
        <stp>USD</stp>
        <stp>EQY_CONSOLIDATED</stp>
        <stp>Y</stp>
        <stp>Fill=B</stp>
        <tr r="H52" s="8"/>
      </tp>
      <tp>
        <v>270</v>
        <stp/>
        <stp>##V3_BDPV12</stp>
        <stp>AAPL US EQUITY</stp>
        <stp>BS_INVENTORIES</stp>
        <stp>[XIDA.xlsm]Financials!R52C9</stp>
        <stp>EQY_FUND_RELATIVE_PERIOD</stp>
        <stp>-8FY</stp>
        <stp>EQY_FUND_CRNCY</stp>
        <stp>USD</stp>
        <stp>EQY_CONSOLIDATED</stp>
        <stp>Y</stp>
        <stp>Fill=B</stp>
        <tr r="I52" s="8"/>
      </tp>
      <tp>
        <v>1829</v>
        <stp/>
        <stp>##V3_BDPV12</stp>
        <stp>AAPL US EQUITY</stp>
        <stp>EBITDA</stp>
        <stp>[XIDA.xlsm]Financials!R43C8</stp>
        <stp>EQY_FUND_RELATIVE_PERIOD</stp>
        <stp>-9FY</stp>
        <stp>EQY_FUND_CRNCY</stp>
        <stp>USD</stp>
        <stp>EQY_CONSOLIDATED</stp>
        <stp>Y</stp>
        <stp>Fill=B</stp>
        <tr r="H43" s="8"/>
      </tp>
      <tp>
        <v>2678</v>
        <stp/>
        <stp>##V3_BDPV12</stp>
        <stp>AAPL US EQUITY</stp>
        <stp>EBITDA</stp>
        <stp>[XIDA.xlsm]Financials!R43C9</stp>
        <stp>EQY_FUND_RELATIVE_PERIOD</stp>
        <stp>-8FY</stp>
        <stp>EQY_FUND_CRNCY</stp>
        <stp>USD</stp>
        <stp>EQY_CONSOLIDATED</stp>
        <stp>Y</stp>
        <stp>Fill=B</stp>
        <tr r="I43" s="8"/>
      </tp>
      <tp>
        <v>758</v>
        <stp/>
        <stp>##V3_BDPV12</stp>
        <stp>AAPL US EQUITY</stp>
        <stp>CF_FREE_CASH_FLOW</stp>
        <stp>[XIDA.xlsm]Financials!R109C7</stp>
        <stp>EQY_FUND_RELATIVE_PERIOD</stp>
        <stp>-10FY</stp>
        <stp>EQY_FUND_CRNCY</stp>
        <stp>USD</stp>
        <stp>EQY_CONSOLIDATED</stp>
        <stp>Y</stp>
        <stp>Fill=B</stp>
        <tr r="G109" s="8"/>
      </tp>
      <tp>
        <v>-260</v>
        <stp/>
        <stp>##V3_BDPV12</stp>
        <stp>AAPL US EQUITY</stp>
        <stp>CF_CAP_EXPEND_PRPTY_ADD</stp>
        <stp>[XIDA.xlsm]Financials!R92C8</stp>
        <stp>EQY_FUND_RELATIVE_PERIOD</stp>
        <stp>-9FY</stp>
        <stp>EQY_FUND_CRNCY</stp>
        <stp>USD</stp>
        <stp>EQY_CONSOLIDATED</stp>
        <stp>Y</stp>
        <stp>Fill=B</stp>
        <tr r="H92" s="8"/>
      </tp>
      <tp>
        <v>-657</v>
        <stp/>
        <stp>##V3_BDPV12</stp>
        <stp>AAPL US EQUITY</stp>
        <stp>CF_CAP_EXPEND_PRPTY_ADD</stp>
        <stp>[XIDA.xlsm]Financials!R92C9</stp>
        <stp>EQY_FUND_RELATIVE_PERIOD</stp>
        <stp>-8FY</stp>
        <stp>EQY_FUND_CRNCY</stp>
        <stp>USD</stp>
        <stp>EQY_CONSOLIDATED</stp>
        <stp>Y</stp>
        <stp>Fill=B</stp>
        <tr r="I92" s="8"/>
      </tp>
      <tp>
        <v>0.13230558962957167</v>
        <stp/>
        <stp>##V3_BDPV12</stp>
        <stp>066570 KS EQUITY</stp>
        <stp>BEST_PX_SALES_RATIO</stp>
        <stp>[XIDA.xlsm]DataH!R26C9</stp>
        <stp>BEST_FPERIOD_OVERRIDE</stp>
        <stp>12BC</stp>
        <stp>EQY_CONSOLIDATED</stp>
        <stp>Y</stp>
        <tr r="I26" s="16"/>
      </tp>
      <tp>
        <v>4407</v>
        <stp/>
        <stp>##V3_BDPV12</stp>
        <stp>AAPL US EQUITY</stp>
        <stp>IS_OPER_INC</stp>
        <stp>[XIDA.xlsm]Financials!R21C10</stp>
        <stp>EQY_FUND_RELATIVE_PERIOD</stp>
        <stp>-7FY</stp>
        <stp>EQY_FUND_CRNCY</stp>
        <stp>USD</stp>
        <stp>EQY_CONSOLIDATED</stp>
        <stp>Y</stp>
        <stp>Fill=B</stp>
        <tr r="J21" s="8"/>
      </tp>
      <tp>
        <v>8327</v>
        <stp/>
        <stp>##V3_BDPV12</stp>
        <stp>AAPL US EQUITY</stp>
        <stp>IS_OPER_INC</stp>
        <stp>[XIDA.xlsm]Financials!R21C11</stp>
        <stp>EQY_FUND_RELATIVE_PERIOD</stp>
        <stp>-6FY</stp>
        <stp>EQY_FUND_CRNCY</stp>
        <stp>USD</stp>
        <stp>EQY_CONSOLIDATED</stp>
        <stp>Y</stp>
        <stp>Fill=B</stp>
        <tr r="K21" s="8"/>
      </tp>
      <tp>
        <v>11740</v>
        <stp/>
        <stp>##V3_BDPV12</stp>
        <stp>AAPL US EQUITY</stp>
        <stp>IS_OPER_INC</stp>
        <stp>[XIDA.xlsm]Financials!R21C12</stp>
        <stp>EQY_FUND_RELATIVE_PERIOD</stp>
        <stp>-5FY</stp>
        <stp>EQY_FUND_CRNCY</stp>
        <stp>USD</stp>
        <stp>EQY_CONSOLIDATED</stp>
        <stp>Y</stp>
        <stp>Fill=B</stp>
        <tr r="L21" s="8"/>
      </tp>
      <tp>
        <v>18385</v>
        <stp/>
        <stp>##V3_BDPV12</stp>
        <stp>AAPL US EQUITY</stp>
        <stp>IS_OPER_INC</stp>
        <stp>[XIDA.xlsm]Financials!R21C13</stp>
        <stp>EQY_FUND_RELATIVE_PERIOD</stp>
        <stp>-4FY</stp>
        <stp>EQY_FUND_CRNCY</stp>
        <stp>USD</stp>
        <stp>EQY_CONSOLIDATED</stp>
        <stp>Y</stp>
        <stp>Fill=B</stp>
        <tr r="M21" s="8"/>
      </tp>
      <tp>
        <v>33790</v>
        <stp/>
        <stp>##V3_BDPV12</stp>
        <stp>AAPL US EQUITY</stp>
        <stp>IS_OPER_INC</stp>
        <stp>[XIDA.xlsm]Financials!R21C14</stp>
        <stp>EQY_FUND_RELATIVE_PERIOD</stp>
        <stp>-3FY</stp>
        <stp>EQY_FUND_CRNCY</stp>
        <stp>USD</stp>
        <stp>EQY_CONSOLIDATED</stp>
        <stp>Y</stp>
        <stp>Fill=B</stp>
        <tr r="N21" s="8"/>
      </tp>
      <tp>
        <v>55241</v>
        <stp/>
        <stp>##V3_BDPV12</stp>
        <stp>AAPL US EQUITY</stp>
        <stp>IS_OPER_INC</stp>
        <stp>[XIDA.xlsm]Financials!R21C15</stp>
        <stp>EQY_FUND_RELATIVE_PERIOD</stp>
        <stp>-2FY</stp>
        <stp>EQY_FUND_CRNCY</stp>
        <stp>USD</stp>
        <stp>EQY_CONSOLIDATED</stp>
        <stp>Y</stp>
        <stp>Fill=B</stp>
        <tr r="O21" s="8"/>
      </tp>
      <tp>
        <v>48999</v>
        <stp/>
        <stp>##V3_BDPV12</stp>
        <stp>AAPL US EQUITY</stp>
        <stp>IS_OPER_INC</stp>
        <stp>[XIDA.xlsm]Financials!R21C16</stp>
        <stp>EQY_FUND_RELATIVE_PERIOD</stp>
        <stp>-1FY</stp>
        <stp>EQY_FUND_CRNCY</stp>
        <stp>USD</stp>
        <stp>EQY_CONSOLIDATED</stp>
        <stp>Y</stp>
        <stp>Fill=B</stp>
        <tr r="P21" s="8"/>
      </tp>
      <tp>
        <v>52503</v>
        <stp/>
        <stp>##V3_BDPV12</stp>
        <stp>AAPL US EQUITY</stp>
        <stp>IS_OPER_INC</stp>
        <stp>[XIDA.xlsm]Financials!R21C17</stp>
        <stp>EQY_FUND_RELATIVE_PERIOD</stp>
        <stp>-0FY</stp>
        <stp>EQY_FUND_CRNCY</stp>
        <stp>USD</stp>
        <stp>EQY_CONSOLIDATED</stp>
        <stp>Y</stp>
        <stp>Fill=B</stp>
        <tr r="Q21" s="8"/>
      </tp>
      <tp>
        <v>5</v>
        <stp/>
        <stp>##V3_BDPV12</stp>
        <stp>AAPL US EQUITY</stp>
        <stp>CF_DECR_INVEST</stp>
        <stp>[XIDA.xlsm]Financials!R94C7</stp>
        <stp>EQY_FUND_RELATIVE_PERIOD</stp>
        <stp>-10FY</stp>
        <stp>EQY_FUND_CRNCY</stp>
        <stp>USD</stp>
        <stp>EQY_CONSOLIDATED</stp>
        <stp>Y</stp>
        <stp>Fill=B</stp>
        <tr r="G94" s="8"/>
      </tp>
      <tp>
        <v>1.1680726183969774</v>
        <stp/>
        <stp>##V3_BDPV12</stp>
        <stp>AAPL US EQUITY</stp>
        <stp>ASSET_TURNOVER</stp>
        <stp>[XIDA.xlsm]Financials!R141C10</stp>
        <stp>EQY_FUND_RELATIVE_PERIOD</stp>
        <stp>-7FY</stp>
        <stp>EQY_FUND_CRNCY</stp>
        <stp>USD</stp>
        <stp>EQY_CONSOLIDATED</stp>
        <stp>Y</stp>
        <stp>Fill=B</stp>
        <tr r="J141" s="8"/>
      </tp>
      <tp>
        <v>1.2282265065766842</v>
        <stp/>
        <stp>##V3_BDPV12</stp>
        <stp>AAPL US EQUITY</stp>
        <stp>ASSET_TURNOVER</stp>
        <stp>[XIDA.xlsm]Financials!R141C11</stp>
        <stp>EQY_FUND_RELATIVE_PERIOD</stp>
        <stp>-6FY</stp>
        <stp>EQY_FUND_CRNCY</stp>
        <stp>USD</stp>
        <stp>EQY_CONSOLIDATED</stp>
        <stp>Y</stp>
        <stp>Fill=B</stp>
        <tr r="K141" s="8"/>
      </tp>
      <tp>
        <v>1.0255521560378622</v>
        <stp/>
        <stp>##V3_BDPV12</stp>
        <stp>AAPL US EQUITY</stp>
        <stp>ASSET_TURNOVER</stp>
        <stp>[XIDA.xlsm]Financials!R141C12</stp>
        <stp>EQY_FUND_RELATIVE_PERIOD</stp>
        <stp>-5FY</stp>
        <stp>EQY_FUND_CRNCY</stp>
        <stp>USD</stp>
        <stp>EQY_CONSOLIDATED</stp>
        <stp>Y</stp>
        <stp>Fill=B</stp>
        <tr r="L141" s="8"/>
      </tp>
      <tp>
        <v>1.0633008379250759</v>
        <stp/>
        <stp>##V3_BDPV12</stp>
        <stp>AAPL US EQUITY</stp>
        <stp>ASSET_TURNOVER</stp>
        <stp>[XIDA.xlsm]Financials!R141C13</stp>
        <stp>EQY_FUND_RELATIVE_PERIOD</stp>
        <stp>-4FY</stp>
        <stp>EQY_FUND_CRNCY</stp>
        <stp>USD</stp>
        <stp>EQY_CONSOLIDATED</stp>
        <stp>Y</stp>
        <stp>Fill=B</stp>
        <tr r="M141" s="8"/>
      </tp>
      <tp>
        <v>1.1302191549119309</v>
        <stp/>
        <stp>##V3_BDPV12</stp>
        <stp>AAPL US EQUITY</stp>
        <stp>ASSET_TURNOVER</stp>
        <stp>[XIDA.xlsm]Financials!R141C14</stp>
        <stp>EQY_FUND_RELATIVE_PERIOD</stp>
        <stp>-3FY</stp>
        <stp>EQY_FUND_CRNCY</stp>
        <stp>USD</stp>
        <stp>EQY_CONSOLIDATED</stp>
        <stp>Y</stp>
        <stp>Fill=B</stp>
        <tr r="N141" s="8"/>
      </tp>
      <tp>
        <v>1.070378032725221</v>
        <stp/>
        <stp>##V3_BDPV12</stp>
        <stp>AAPL US EQUITY</stp>
        <stp>ASSET_TURNOVER</stp>
        <stp>[XIDA.xlsm]Financials!R141C15</stp>
        <stp>EQY_FUND_RELATIVE_PERIOD</stp>
        <stp>-2FY</stp>
        <stp>EQY_FUND_CRNCY</stp>
        <stp>USD</stp>
        <stp>EQY_CONSOLIDATED</stp>
        <stp>Y</stp>
        <stp>Fill=B</stp>
        <tr r="O141" s="8"/>
      </tp>
      <tp>
        <v>0.89233130756218282</v>
        <stp/>
        <stp>##V3_BDPV12</stp>
        <stp>AAPL US EQUITY</stp>
        <stp>ASSET_TURNOVER</stp>
        <stp>[XIDA.xlsm]Financials!R141C16</stp>
        <stp>EQY_FUND_RELATIVE_PERIOD</stp>
        <stp>-1FY</stp>
        <stp>EQY_FUND_CRNCY</stp>
        <stp>USD</stp>
        <stp>EQY_CONSOLIDATED</stp>
        <stp>Y</stp>
        <stp>Fill=B</stp>
        <tr r="P141" s="8"/>
      </tp>
      <tp>
        <v>0.83308457087906951</v>
        <stp/>
        <stp>##V3_BDPV12</stp>
        <stp>AAPL US EQUITY</stp>
        <stp>ASSET_TURNOVER</stp>
        <stp>[XIDA.xlsm]Financials!R141C17</stp>
        <stp>EQY_FUND_RELATIVE_PERIOD</stp>
        <stp>-0FY</stp>
        <stp>EQY_FUND_CRNCY</stp>
        <stp>USD</stp>
        <stp>EQY_CONSOLIDATED</stp>
        <stp>Y</stp>
        <stp>Fill=B</stp>
        <tr r="Q141" s="8"/>
      </tp>
      <tp>
        <v>3.7134207870837534</v>
        <stp/>
        <stp>##V3_BDPV12</stp>
        <stp>AAPL US EQUITY</stp>
        <stp>RETURN_ON_ASSET</stp>
        <stp>[XIDA.xlsm]Financials!R130C7</stp>
        <stp>EQY_FUND_RELATIVE_PERIOD</stp>
        <stp>-10FY</stp>
        <stp>EQY_FUND_CRNCY</stp>
        <stp>USD</stp>
        <stp>EQY_CONSOLIDATED</stp>
        <stp>Y</stp>
        <stp>Fill=0</stp>
        <tr r="G130" s="8"/>
      </tp>
      <tp>
        <v>2275</v>
        <stp/>
        <stp>##V3_BDPV12</stp>
        <stp>AAPL US EQUITY</stp>
        <stp>FREE_CASH_FLOW_EQUITY</stp>
        <stp>[XIDA.xlsm]Financials!R112C8</stp>
        <stp>EQY_FUND_RELATIVE_PERIOD</stp>
        <stp>-9FY</stp>
        <stp>EQY_FUND_CRNCY</stp>
        <stp>USD</stp>
        <stp>EQY_CONSOLIDATED</stp>
        <stp>Y</stp>
        <stp>Fill=B</stp>
        <tr r="H112" s="8"/>
      </tp>
      <tp>
        <v>1563</v>
        <stp/>
        <stp>##V3_BDPV12</stp>
        <stp>AAPL US EQUITY</stp>
        <stp>FREE_CASH_FLOW_EQUITY</stp>
        <stp>[XIDA.xlsm]Financials!R112C9</stp>
        <stp>EQY_FUND_RELATIVE_PERIOD</stp>
        <stp>-8FY</stp>
        <stp>EQY_FUND_CRNCY</stp>
        <stp>USD</stp>
        <stp>EQY_CONSOLIDATED</stp>
        <stp>Y</stp>
        <stp>Fill=B</stp>
        <tr r="I112" s="8"/>
      </tp>
      <tp>
        <v>202848</v>
        <stp/>
        <stp>##V3_BDPV12</stp>
        <stp>AAPL US EQUITY</stp>
        <stp>CASH_AND_MARKETABLE_SECURITIES</stp>
        <stp>[XIDA.xlsm]Overview!R52C20</stp>
        <stp>FUND_PER</stp>
        <stp>Q</stp>
        <stp>EQY_FUND_CRNCY</stp>
        <stp>USD</stp>
        <stp>EQY_CONSOLIDATED</stp>
        <stp>Y</stp>
        <stp>Fill=0</stp>
        <tr r="T52" s="3"/>
      </tp>
      <tp>
        <v>5.4007775424890392</v>
        <stp/>
        <stp>##V3_BDPV12</stp>
        <stp>AAPL US EQUITY</stp>
        <stp>BEST_CUR_EV_TO_EBITDA</stp>
        <stp>[XIDA.xlsm]Overview!R35C9</stp>
        <stp>BEST_FPERIOD_OVERRIDE</stp>
        <stp>1FY</stp>
        <stp>BEST_CONSOLIDATED_OVERRIDE</stp>
        <stp>C</stp>
        <stp>Fill=-</stp>
        <tr r="I35" s="3"/>
      </tp>
      <tp>
        <v>346</v>
        <stp/>
        <stp>##V3_BDPV12</stp>
        <stp>AAPL US EQUITY</stp>
        <stp>BS_INVENTORIES</stp>
        <stp>[XIDA.xlsm]Financials!R52C10</stp>
        <stp>EQY_FUND_RELATIVE_PERIOD</stp>
        <stp>-7FY</stp>
        <stp>EQY_FUND_CRNCY</stp>
        <stp>USD</stp>
        <stp>EQY_CONSOLIDATED</stp>
        <stp>Y</stp>
        <stp>Fill=B</stp>
        <tr r="J52" s="8"/>
      </tp>
      <tp>
        <v>509</v>
        <stp/>
        <stp>##V3_BDPV12</stp>
        <stp>AAPL US EQUITY</stp>
        <stp>BS_INVENTORIES</stp>
        <stp>[XIDA.xlsm]Financials!R52C11</stp>
        <stp>EQY_FUND_RELATIVE_PERIOD</stp>
        <stp>-6FY</stp>
        <stp>EQY_FUND_CRNCY</stp>
        <stp>USD</stp>
        <stp>EQY_CONSOLIDATED</stp>
        <stp>Y</stp>
        <stp>Fill=B</stp>
        <tr r="K52" s="8"/>
      </tp>
      <tp>
        <v>455</v>
        <stp/>
        <stp>##V3_BDPV12</stp>
        <stp>AAPL US EQUITY</stp>
        <stp>BS_INVENTORIES</stp>
        <stp>[XIDA.xlsm]Financials!R52C12</stp>
        <stp>EQY_FUND_RELATIVE_PERIOD</stp>
        <stp>-5FY</stp>
        <stp>EQY_FUND_CRNCY</stp>
        <stp>USD</stp>
        <stp>EQY_CONSOLIDATED</stp>
        <stp>Y</stp>
        <stp>Fill=B</stp>
        <tr r="L52" s="8"/>
      </tp>
      <tp>
        <v>1051</v>
        <stp/>
        <stp>##V3_BDPV12</stp>
        <stp>AAPL US EQUITY</stp>
        <stp>BS_INVENTORIES</stp>
        <stp>[XIDA.xlsm]Financials!R52C13</stp>
        <stp>EQY_FUND_RELATIVE_PERIOD</stp>
        <stp>-4FY</stp>
        <stp>EQY_FUND_CRNCY</stp>
        <stp>USD</stp>
        <stp>EQY_CONSOLIDATED</stp>
        <stp>Y</stp>
        <stp>Fill=B</stp>
        <tr r="M52" s="8"/>
      </tp>
      <tp>
        <v>776</v>
        <stp/>
        <stp>##V3_BDPV12</stp>
        <stp>AAPL US EQUITY</stp>
        <stp>BS_INVENTORIES</stp>
        <stp>[XIDA.xlsm]Financials!R52C14</stp>
        <stp>EQY_FUND_RELATIVE_PERIOD</stp>
        <stp>-3FY</stp>
        <stp>EQY_FUND_CRNCY</stp>
        <stp>USD</stp>
        <stp>EQY_CONSOLIDATED</stp>
        <stp>Y</stp>
        <stp>Fill=B</stp>
        <tr r="N52" s="8"/>
      </tp>
      <tp>
        <v>791</v>
        <stp/>
        <stp>##V3_BDPV12</stp>
        <stp>AAPL US EQUITY</stp>
        <stp>BS_INVENTORIES</stp>
        <stp>[XIDA.xlsm]Financials!R52C15</stp>
        <stp>EQY_FUND_RELATIVE_PERIOD</stp>
        <stp>-2FY</stp>
        <stp>EQY_FUND_CRNCY</stp>
        <stp>USD</stp>
        <stp>EQY_CONSOLIDATED</stp>
        <stp>Y</stp>
        <stp>Fill=B</stp>
        <tr r="O52" s="8"/>
      </tp>
      <tp>
        <v>1764</v>
        <stp/>
        <stp>##V3_BDPV12</stp>
        <stp>AAPL US EQUITY</stp>
        <stp>BS_INVENTORIES</stp>
        <stp>[XIDA.xlsm]Financials!R52C16</stp>
        <stp>EQY_FUND_RELATIVE_PERIOD</stp>
        <stp>-1FY</stp>
        <stp>EQY_FUND_CRNCY</stp>
        <stp>USD</stp>
        <stp>EQY_CONSOLIDATED</stp>
        <stp>Y</stp>
        <stp>Fill=B</stp>
        <tr r="P52" s="8"/>
      </tp>
      <tp>
        <v>2111</v>
        <stp/>
        <stp>##V3_BDPV12</stp>
        <stp>AAPL US EQUITY</stp>
        <stp>BS_INVENTORIES</stp>
        <stp>[XIDA.xlsm]Financials!R52C17</stp>
        <stp>EQY_FUND_RELATIVE_PERIOD</stp>
        <stp>-0FY</stp>
        <stp>EQY_FUND_CRNCY</stp>
        <stp>USD</stp>
        <stp>EQY_CONSOLIDATED</stp>
        <stp>Y</stp>
        <stp>Fill=B</stp>
        <tr r="Q52" s="8"/>
      </tp>
      <tp t="s">
        <v>#N/A Requesting Data...</v>
        <stp/>
        <stp>##V3_BDSV12</stp>
        <stp>AAPL US EQUITY</stp>
        <stp>BEST_EBITDA_BRK_GRID</stp>
        <stp>[XIDA.xlsm]DataH!R8C68</stp>
        <stp>BEST_FPERIOD_OVERRIDE</stp>
        <stp>1FQ</stp>
        <stp>STARTCOL=6</stp>
        <stp>ENDCOL=6</stp>
        <stp>EQY_FUND_CRNCY</stp>
        <stp>USD</stp>
        <stp>BEST_CONSOLIDATED_OVERRIDE</stp>
        <stp>C</stp>
        <tr r="BP8" s="16"/>
      </tp>
      <tp>
        <v>2969</v>
        <stp/>
        <stp>##V3_BDPV12</stp>
        <stp>AAPL US EQUITY</stp>
        <stp>BS_CASH_NEAR_CASH_ITEM</stp>
        <stp>[XIDA.xlsm]Financials!R49C7</stp>
        <stp>EQY_FUND_RELATIVE_PERIOD</stp>
        <stp>-10FY</stp>
        <stp>EQY_FUND_CRNCY</stp>
        <stp>USD</stp>
        <stp>EQY_CONSOLIDATED</stp>
        <stp>Y</stp>
        <stp>Fill=B</stp>
        <tr r="G49" s="8"/>
      </tp>
      <tp>
        <v>92600</v>
        <stp/>
        <stp>##V3_BDPV12</stp>
        <stp>AAPL US EQUITY</stp>
        <stp>EQY_EMPLOYEE_NUM</stp>
        <stp>[XIDA.xlsm]Overview!R16C10</stp>
        <tr r="J16" s="3"/>
      </tp>
      <tp t="s">
        <v>#N/A Requesting Data...</v>
        <stp/>
        <stp>##V3_BDSV12</stp>
        <stp>AAPL US EQUITY</stp>
        <stp>BEST_EBITDA_BRK_GRID</stp>
        <stp>[XIDA.xlsm]DataH!R8C69</stp>
        <stp>BEST_FPERIOD_OVERRIDE</stp>
        <stp>3FQ</stp>
        <stp>STARTCOL=1</stp>
        <stp>ENDCOL=1</stp>
        <stp>EQY_FUND_CRNCY</stp>
        <stp>USD</stp>
        <stp>BEST_CONSOLIDATED_OVERRIDE</stp>
        <stp>C</stp>
        <tr r="BQ8" s="16"/>
      </tp>
      <tp>
        <v>26.886845321724532</v>
        <stp/>
        <stp>##V3_BDPV12</stp>
        <stp>AAPL US EQUITY</stp>
        <stp>EV_TO_T12M_EBIT</stp>
        <stp>[XIDA.xlsm]Financials!R119C10</stp>
        <stp>EQY_FUND_RELATIVE_PERIOD</stp>
        <stp>-7FY</stp>
        <stp>EQY_FUND_CRNCY</stp>
        <stp>USD</stp>
        <stp>EQY_CONSOLIDATED</stp>
        <stp>Y</stp>
        <stp>Fill=B</stp>
        <tr r="J119" s="8"/>
      </tp>
      <tp>
        <v>10.739632854271646</v>
        <stp/>
        <stp>##V3_BDPV12</stp>
        <stp>AAPL US EQUITY</stp>
        <stp>EV_TO_T12M_EBIT</stp>
        <stp>[XIDA.xlsm]Financials!R119C11</stp>
        <stp>EQY_FUND_RELATIVE_PERIOD</stp>
        <stp>-6FY</stp>
        <stp>EQY_FUND_CRNCY</stp>
        <stp>USD</stp>
        <stp>EQY_CONSOLIDATED</stp>
        <stp>Y</stp>
        <stp>Fill=B</stp>
        <tr r="K119" s="8"/>
      </tp>
      <tp>
        <v>11.082242677597957</v>
        <stp/>
        <stp>##V3_BDPV12</stp>
        <stp>AAPL US EQUITY</stp>
        <stp>EV_TO_T12M_EBIT</stp>
        <stp>[XIDA.xlsm]Financials!R119C12</stp>
        <stp>EQY_FUND_RELATIVE_PERIOD</stp>
        <stp>-5FY</stp>
        <stp>EQY_FUND_CRNCY</stp>
        <stp>USD</stp>
        <stp>EQY_CONSOLIDATED</stp>
        <stp>Y</stp>
        <stp>Fill=B</stp>
        <tr r="L119" s="8"/>
      </tp>
      <tp>
        <v>11.789250204840902</v>
        <stp/>
        <stp>##V3_BDPV12</stp>
        <stp>AAPL US EQUITY</stp>
        <stp>EV_TO_T12M_EBIT</stp>
        <stp>[XIDA.xlsm]Financials!R119C13</stp>
        <stp>EQY_FUND_RELATIVE_PERIOD</stp>
        <stp>-4FY</stp>
        <stp>EQY_FUND_CRNCY</stp>
        <stp>USD</stp>
        <stp>EQY_CONSOLIDATED</stp>
        <stp>Y</stp>
        <stp>Fill=B</stp>
        <tr r="M119" s="8"/>
      </tp>
      <tp>
        <v>8.7048443651968057</v>
        <stp/>
        <stp>##V3_BDPV12</stp>
        <stp>AAPL US EQUITY</stp>
        <stp>EV_TO_T12M_EBIT</stp>
        <stp>[XIDA.xlsm]Financials!R119C14</stp>
        <stp>EQY_FUND_RELATIVE_PERIOD</stp>
        <stp>-3FY</stp>
        <stp>EQY_FUND_CRNCY</stp>
        <stp>USD</stp>
        <stp>EQY_CONSOLIDATED</stp>
        <stp>Y</stp>
        <stp>Fill=B</stp>
        <tr r="N119" s="8"/>
      </tp>
      <tp>
        <v>9.1471796824822142</v>
        <stp/>
        <stp>##V3_BDPV12</stp>
        <stp>AAPL US EQUITY</stp>
        <stp>EV_TO_T12M_EBIT</stp>
        <stp>[XIDA.xlsm]Financials!R119C15</stp>
        <stp>EQY_FUND_RELATIVE_PERIOD</stp>
        <stp>-2FY</stp>
        <stp>EQY_FUND_CRNCY</stp>
        <stp>USD</stp>
        <stp>EQY_CONSOLIDATED</stp>
        <stp>Y</stp>
        <stp>Fill=B</stp>
        <tr r="O119" s="8"/>
      </tp>
      <tp>
        <v>6.2102099175493368</v>
        <stp/>
        <stp>##V3_BDPV12</stp>
        <stp>AAPL US EQUITY</stp>
        <stp>EV_TO_T12M_EBIT</stp>
        <stp>[XIDA.xlsm]Financials!R119C16</stp>
        <stp>EQY_FUND_RELATIVE_PERIOD</stp>
        <stp>-1FY</stp>
        <stp>EQY_FUND_CRNCY</stp>
        <stp>USD</stp>
        <stp>EQY_CONSOLIDATED</stp>
        <stp>Y</stp>
        <stp>Fill=B</stp>
        <tr r="P119" s="8"/>
      </tp>
      <tp>
        <v>8.9722819791250021</v>
        <stp/>
        <stp>##V3_BDPV12</stp>
        <stp>AAPL US EQUITY</stp>
        <stp>EV_TO_T12M_EBIT</stp>
        <stp>[XIDA.xlsm]Financials!R119C17</stp>
        <stp>EQY_FUND_RELATIVE_PERIOD</stp>
        <stp>-0FY</stp>
        <stp>EQY_FUND_CRNCY</stp>
        <stp>USD</stp>
        <stp>EQY_CONSOLIDATED</stp>
        <stp>Y</stp>
        <stp>Fill=B</stp>
        <tr r="Q119" s="8"/>
      </tp>
      <tp t="s">
        <v>ALCATEL-LUCENT</v>
        <stp/>
        <stp>##V3_BDPV12</stp>
        <stp>ALU FP EQUITY</stp>
        <stp>NAME</stp>
        <stp>[XIDA.xlsm]Indices!R6C38</stp>
        <tr r="AL6" s="5"/>
      </tp>
      <tp>
        <v>2275</v>
        <stp/>
        <stp>##V3_BDPV12</stp>
        <stp>AAPL US EQUITY</stp>
        <stp>CF_FREE_CASH_FLOW_FIRM</stp>
        <stp>[XIDA.xlsm]Financials!R111C8</stp>
        <stp>EQY_FUND_RELATIVE_PERIOD</stp>
        <stp>-9FY</stp>
        <stp>EQY_FUND_CRNCY</stp>
        <stp>USD</stp>
        <stp>EQY_CONSOLIDATED</stp>
        <stp>Y</stp>
        <stp>Fill=B</stp>
        <tr r="H111" s="8"/>
      </tp>
      <tp>
        <v>1563</v>
        <stp/>
        <stp>##V3_BDPV12</stp>
        <stp>AAPL US EQUITY</stp>
        <stp>CF_FREE_CASH_FLOW_FIRM</stp>
        <stp>[XIDA.xlsm]Financials!R111C9</stp>
        <stp>EQY_FUND_RELATIVE_PERIOD</stp>
        <stp>-8FY</stp>
        <stp>EQY_FUND_CRNCY</stp>
        <stp>USD</stp>
        <stp>EQY_CONSOLIDATED</stp>
        <stp>Y</stp>
        <stp>Fill=B</stp>
        <tr r="I111" s="8"/>
      </tp>
      <tp>
        <v>42240</v>
        <stp/>
        <stp>##V3_BTODAY</stp>
        <stp>[XIDA.xlsm]Peers!R151C29</stp>
        <tr r="AC151" s="4"/>
      </tp>
      <tp>
        <v>42240</v>
        <stp/>
        <stp>##V3_BTODAY</stp>
        <stp>[XIDA.xlsm]Peers!R150C29</stp>
        <tr r="AC150" s="4"/>
      </tp>
      <tp>
        <v>42240</v>
        <stp/>
        <stp>##V3_BTODAY</stp>
        <stp>[XIDA.xlsm]Peers!R153C29</stp>
        <tr r="AC153" s="4"/>
      </tp>
      <tp>
        <v>42240</v>
        <stp/>
        <stp>##V3_BTODAY</stp>
        <stp>[XIDA.xlsm]Peers!R152C29</stp>
        <tr r="AC152" s="4"/>
      </tp>
      <tp>
        <v>42240</v>
        <stp/>
        <stp>##V3_BTODAY</stp>
        <stp>[XIDA.xlsm]Peers!R155C29</stp>
        <tr r="AC155" s="4"/>
      </tp>
      <tp>
        <v>42240</v>
        <stp/>
        <stp>##V3_BTODAY</stp>
        <stp>[XIDA.xlsm]Peers!R154C29</stp>
        <tr r="AC154" s="4"/>
      </tp>
      <tp>
        <v>42240</v>
        <stp/>
        <stp>##V3_BTODAY</stp>
        <stp>[XIDA.xlsm]Peers!R157C29</stp>
        <tr r="AC157" s="4"/>
      </tp>
      <tp>
        <v>42240</v>
        <stp/>
        <stp>##V3_BTODAY</stp>
        <stp>[XIDA.xlsm]Peers!R156C29</stp>
        <tr r="AC156" s="4"/>
      </tp>
      <tp>
        <v>42240</v>
        <stp/>
        <stp>##V3_BTODAY</stp>
        <stp>[XIDA.xlsm]Peers!R159C29</stp>
        <tr r="AC159" s="4"/>
      </tp>
      <tp>
        <v>42240</v>
        <stp/>
        <stp>##V3_BTODAY</stp>
        <stp>[XIDA.xlsm]Peers!R158C29</stp>
        <tr r="AC158" s="4"/>
      </tp>
      <tp>
        <v>42240</v>
        <stp/>
        <stp>##V3_BTODAY</stp>
        <stp>[XIDA.xlsm]Peers!R141C29</stp>
        <tr r="AC141" s="4"/>
      </tp>
      <tp>
        <v>42240</v>
        <stp/>
        <stp>##V3_BTODAY</stp>
        <stp>[XIDA.xlsm]Peers!R140C29</stp>
        <tr r="AC140" s="4"/>
      </tp>
      <tp>
        <v>42240</v>
        <stp/>
        <stp>##V3_BTODAY</stp>
        <stp>[XIDA.xlsm]Peers!R143C29</stp>
        <tr r="AC143" s="4"/>
      </tp>
      <tp>
        <v>42240</v>
        <stp/>
        <stp>##V3_BTODAY</stp>
        <stp>[XIDA.xlsm]Peers!R142C29</stp>
        <tr r="AC142" s="4"/>
      </tp>
      <tp>
        <v>42240</v>
        <stp/>
        <stp>##V3_BTODAY</stp>
        <stp>[XIDA.xlsm]Peers!R145C29</stp>
        <tr r="AC145" s="4"/>
      </tp>
      <tp>
        <v>42240</v>
        <stp/>
        <stp>##V3_BTODAY</stp>
        <stp>[XIDA.xlsm]Peers!R144C29</stp>
        <tr r="AC144" s="4"/>
      </tp>
      <tp>
        <v>42240</v>
        <stp/>
        <stp>##V3_BTODAY</stp>
        <stp>[XIDA.xlsm]Peers!R147C29</stp>
        <tr r="AC147" s="4"/>
      </tp>
      <tp>
        <v>42240</v>
        <stp/>
        <stp>##V3_BTODAY</stp>
        <stp>[XIDA.xlsm]Peers!R146C29</stp>
        <tr r="AC146" s="4"/>
      </tp>
      <tp>
        <v>42240</v>
        <stp/>
        <stp>##V3_BTODAY</stp>
        <stp>[XIDA.xlsm]Peers!R149C29</stp>
        <tr r="AC149" s="4"/>
      </tp>
      <tp>
        <v>42240</v>
        <stp/>
        <stp>##V3_BTODAY</stp>
        <stp>[XIDA.xlsm]Peers!R148C29</stp>
        <tr r="AC148" s="4"/>
      </tp>
      <tp>
        <v>42240</v>
        <stp/>
        <stp>##V3_BTODAY</stp>
        <stp>[XIDA.xlsm]Peers!R171C29</stp>
        <tr r="AC171" s="4"/>
      </tp>
      <tp>
        <v>42240</v>
        <stp/>
        <stp>##V3_BTODAY</stp>
        <stp>[XIDA.xlsm]Peers!R170C29</stp>
        <tr r="AC170" s="4"/>
      </tp>
      <tp>
        <v>42240</v>
        <stp/>
        <stp>##V3_BTODAY</stp>
        <stp>[XIDA.xlsm]Peers!R173C29</stp>
        <tr r="AC173" s="4"/>
      </tp>
      <tp>
        <v>42240</v>
        <stp/>
        <stp>##V3_BTODAY</stp>
        <stp>[XIDA.xlsm]Peers!R172C29</stp>
        <tr r="AC172" s="4"/>
      </tp>
      <tp>
        <v>42240</v>
        <stp/>
        <stp>##V3_BTODAY</stp>
        <stp>[XIDA.xlsm]Peers!R175C29</stp>
        <tr r="AC175" s="4"/>
      </tp>
      <tp>
        <v>42240</v>
        <stp/>
        <stp>##V3_BTODAY</stp>
        <stp>[XIDA.xlsm]Peers!R174C29</stp>
        <tr r="AC174" s="4"/>
      </tp>
      <tp>
        <v>42240</v>
        <stp/>
        <stp>##V3_BTODAY</stp>
        <stp>[XIDA.xlsm]Peers!R177C29</stp>
        <tr r="AC177" s="4"/>
      </tp>
      <tp>
        <v>42240</v>
        <stp/>
        <stp>##V3_BTODAY</stp>
        <stp>[XIDA.xlsm]Peers!R176C29</stp>
        <tr r="AC176" s="4"/>
      </tp>
      <tp>
        <v>42240</v>
        <stp/>
        <stp>##V3_BTODAY</stp>
        <stp>[XIDA.xlsm]Peers!R179C29</stp>
        <tr r="AC179" s="4"/>
      </tp>
      <tp>
        <v>42240</v>
        <stp/>
        <stp>##V3_BTODAY</stp>
        <stp>[XIDA.xlsm]Peers!R178C29</stp>
        <tr r="AC178" s="4"/>
      </tp>
      <tp>
        <v>42240</v>
        <stp/>
        <stp>##V3_BTODAY</stp>
        <stp>[XIDA.xlsm]Peers!R161C29</stp>
        <tr r="AC161" s="4"/>
      </tp>
      <tp>
        <v>42240</v>
        <stp/>
        <stp>##V3_BTODAY</stp>
        <stp>[XIDA.xlsm]Peers!R160C29</stp>
        <tr r="AC160" s="4"/>
      </tp>
      <tp>
        <v>42240</v>
        <stp/>
        <stp>##V3_BTODAY</stp>
        <stp>[XIDA.xlsm]Peers!R163C29</stp>
        <tr r="AC163" s="4"/>
      </tp>
      <tp>
        <v>42240</v>
        <stp/>
        <stp>##V3_BTODAY</stp>
        <stp>[XIDA.xlsm]Peers!R162C29</stp>
        <tr r="AC162" s="4"/>
      </tp>
      <tp>
        <v>42240</v>
        <stp/>
        <stp>##V3_BTODAY</stp>
        <stp>[XIDA.xlsm]Peers!R165C29</stp>
        <tr r="AC165" s="4"/>
      </tp>
      <tp>
        <v>42240</v>
        <stp/>
        <stp>##V3_BTODAY</stp>
        <stp>[XIDA.xlsm]Peers!R164C29</stp>
        <tr r="AC164" s="4"/>
      </tp>
      <tp>
        <v>42240</v>
        <stp/>
        <stp>##V3_BTODAY</stp>
        <stp>[XIDA.xlsm]Peers!R167C29</stp>
        <tr r="AC167" s="4"/>
      </tp>
      <tp>
        <v>42240</v>
        <stp/>
        <stp>##V3_BTODAY</stp>
        <stp>[XIDA.xlsm]Peers!R166C29</stp>
        <tr r="AC166" s="4"/>
      </tp>
      <tp>
        <v>42240</v>
        <stp/>
        <stp>##V3_BTODAY</stp>
        <stp>[XIDA.xlsm]Peers!R169C29</stp>
        <tr r="AC169" s="4"/>
      </tp>
      <tp>
        <v>42240</v>
        <stp/>
        <stp>##V3_BTODAY</stp>
        <stp>[XIDA.xlsm]Peers!R168C29</stp>
        <tr r="AC168" s="4"/>
      </tp>
      <tp>
        <v>42240</v>
        <stp/>
        <stp>##V3_BTODAY</stp>
        <stp>[XIDA.xlsm]Peers!R111C29</stp>
        <tr r="AC111" s="4"/>
      </tp>
      <tp>
        <v>42240</v>
        <stp/>
        <stp>##V3_BTODAY</stp>
        <stp>[XIDA.xlsm]Peers!R110C29</stp>
        <tr r="AC110" s="4"/>
      </tp>
      <tp>
        <v>42240</v>
        <stp/>
        <stp>##V3_BTODAY</stp>
        <stp>[XIDA.xlsm]Peers!R113C29</stp>
        <tr r="AC113" s="4"/>
      </tp>
      <tp>
        <v>42240</v>
        <stp/>
        <stp>##V3_BTODAY</stp>
        <stp>[XIDA.xlsm]Peers!R112C29</stp>
        <tr r="AC112" s="4"/>
      </tp>
      <tp>
        <v>42240</v>
        <stp/>
        <stp>##V3_BTODAY</stp>
        <stp>[XIDA.xlsm]Peers!R115C29</stp>
        <tr r="AC115" s="4"/>
      </tp>
      <tp>
        <v>42240</v>
        <stp/>
        <stp>##V3_BTODAY</stp>
        <stp>[XIDA.xlsm]Peers!R114C29</stp>
        <tr r="AC114" s="4"/>
      </tp>
      <tp>
        <v>42240</v>
        <stp/>
        <stp>##V3_BTODAY</stp>
        <stp>[XIDA.xlsm]Peers!R117C29</stp>
        <tr r="AC117" s="4"/>
      </tp>
      <tp>
        <v>42240</v>
        <stp/>
        <stp>##V3_BTODAY</stp>
        <stp>[XIDA.xlsm]Peers!R116C29</stp>
        <tr r="AC116" s="4"/>
      </tp>
      <tp>
        <v>42240</v>
        <stp/>
        <stp>##V3_BTODAY</stp>
        <stp>[XIDA.xlsm]Peers!R119C29</stp>
        <tr r="AC119" s="4"/>
      </tp>
      <tp>
        <v>42240</v>
        <stp/>
        <stp>##V3_BTODAY</stp>
        <stp>[XIDA.xlsm]Peers!R118C29</stp>
        <tr r="AC118" s="4"/>
      </tp>
      <tp>
        <v>42240</v>
        <stp/>
        <stp>##V3_BTODAY</stp>
        <stp>[XIDA.xlsm]Peers!R101C29</stp>
        <tr r="AC101" s="4"/>
      </tp>
      <tp>
        <v>42240</v>
        <stp/>
        <stp>##V3_BTODAY</stp>
        <stp>[XIDA.xlsm]Peers!R100C29</stp>
        <tr r="AC100" s="4"/>
      </tp>
      <tp>
        <v>42240</v>
        <stp/>
        <stp>##V3_BTODAY</stp>
        <stp>[XIDA.xlsm]Peers!R103C29</stp>
        <tr r="AC103" s="4"/>
      </tp>
      <tp>
        <v>42240</v>
        <stp/>
        <stp>##V3_BTODAY</stp>
        <stp>[XIDA.xlsm]Peers!R102C29</stp>
        <tr r="AC102" s="4"/>
      </tp>
      <tp>
        <v>42240</v>
        <stp/>
        <stp>##V3_BTODAY</stp>
        <stp>[XIDA.xlsm]Peers!R105C29</stp>
        <tr r="AC105" s="4"/>
      </tp>
      <tp>
        <v>42240</v>
        <stp/>
        <stp>##V3_BTODAY</stp>
        <stp>[XIDA.xlsm]Peers!R104C29</stp>
        <tr r="AC104" s="4"/>
      </tp>
      <tp>
        <v>42240</v>
        <stp/>
        <stp>##V3_BTODAY</stp>
        <stp>[XIDA.xlsm]Peers!R107C29</stp>
        <tr r="AC107" s="4"/>
      </tp>
      <tp>
        <v>42240</v>
        <stp/>
        <stp>##V3_BTODAY</stp>
        <stp>[XIDA.xlsm]Peers!R106C29</stp>
        <tr r="AC106" s="4"/>
      </tp>
      <tp>
        <v>42240</v>
        <stp/>
        <stp>##V3_BTODAY</stp>
        <stp>[XIDA.xlsm]Peers!R109C29</stp>
        <tr r="AC109" s="4"/>
      </tp>
      <tp>
        <v>42240</v>
        <stp/>
        <stp>##V3_BTODAY</stp>
        <stp>[XIDA.xlsm]Peers!R108C29</stp>
        <tr r="AC108" s="4"/>
      </tp>
      <tp>
        <v>42240</v>
        <stp/>
        <stp>##V3_BTODAY</stp>
        <stp>[XIDA.xlsm]Peers!R131C29</stp>
        <tr r="AC131" s="4"/>
      </tp>
      <tp>
        <v>42240</v>
        <stp/>
        <stp>##V3_BTODAY</stp>
        <stp>[XIDA.xlsm]Peers!R130C29</stp>
        <tr r="AC130" s="4"/>
      </tp>
      <tp>
        <v>42240</v>
        <stp/>
        <stp>##V3_BTODAY</stp>
        <stp>[XIDA.xlsm]Peers!R133C29</stp>
        <tr r="AC133" s="4"/>
      </tp>
      <tp>
        <v>42240</v>
        <stp/>
        <stp>##V3_BTODAY</stp>
        <stp>[XIDA.xlsm]Peers!R132C29</stp>
        <tr r="AC132" s="4"/>
      </tp>
      <tp>
        <v>42240</v>
        <stp/>
        <stp>##V3_BTODAY</stp>
        <stp>[XIDA.xlsm]Peers!R135C29</stp>
        <tr r="AC135" s="4"/>
      </tp>
      <tp>
        <v>42240</v>
        <stp/>
        <stp>##V3_BTODAY</stp>
        <stp>[XIDA.xlsm]Peers!R134C29</stp>
        <tr r="AC134" s="4"/>
      </tp>
      <tp>
        <v>42240</v>
        <stp/>
        <stp>##V3_BTODAY</stp>
        <stp>[XIDA.xlsm]Peers!R137C29</stp>
        <tr r="AC137" s="4"/>
      </tp>
      <tp>
        <v>42240</v>
        <stp/>
        <stp>##V3_BTODAY</stp>
        <stp>[XIDA.xlsm]Peers!R136C29</stp>
        <tr r="AC136" s="4"/>
      </tp>
      <tp>
        <v>42240</v>
        <stp/>
        <stp>##V3_BTODAY</stp>
        <stp>[XIDA.xlsm]Peers!R139C29</stp>
        <tr r="AC139" s="4"/>
      </tp>
      <tp>
        <v>42240</v>
        <stp/>
        <stp>##V3_BTODAY</stp>
        <stp>[XIDA.xlsm]Peers!R138C29</stp>
        <tr r="AC138" s="4"/>
      </tp>
      <tp>
        <v>42240</v>
        <stp/>
        <stp>##V3_BTODAY</stp>
        <stp>[XIDA.xlsm]Peers!R121C29</stp>
        <tr r="AC121" s="4"/>
      </tp>
      <tp>
        <v>42240</v>
        <stp/>
        <stp>##V3_BTODAY</stp>
        <stp>[XIDA.xlsm]Peers!R120C29</stp>
        <tr r="AC120" s="4"/>
      </tp>
      <tp>
        <v>42240</v>
        <stp/>
        <stp>##V3_BTODAY</stp>
        <stp>[XIDA.xlsm]Peers!R123C29</stp>
        <tr r="AC123" s="4"/>
      </tp>
      <tp>
        <v>42240</v>
        <stp/>
        <stp>##V3_BTODAY</stp>
        <stp>[XIDA.xlsm]Peers!R122C29</stp>
        <tr r="AC122" s="4"/>
      </tp>
      <tp>
        <v>42240</v>
        <stp/>
        <stp>##V3_BTODAY</stp>
        <stp>[XIDA.xlsm]Peers!R125C29</stp>
        <tr r="AC125" s="4"/>
      </tp>
      <tp>
        <v>42240</v>
        <stp/>
        <stp>##V3_BTODAY</stp>
        <stp>[XIDA.xlsm]Peers!R124C29</stp>
        <tr r="AC124" s="4"/>
      </tp>
      <tp>
        <v>42240</v>
        <stp/>
        <stp>##V3_BTODAY</stp>
        <stp>[XIDA.xlsm]Peers!R127C29</stp>
        <tr r="AC127" s="4"/>
      </tp>
      <tp>
        <v>42240</v>
        <stp/>
        <stp>##V3_BTODAY</stp>
        <stp>[XIDA.xlsm]Peers!R126C29</stp>
        <tr r="AC126" s="4"/>
      </tp>
      <tp>
        <v>42240</v>
        <stp/>
        <stp>##V3_BTODAY</stp>
        <stp>[XIDA.xlsm]Peers!R129C29</stp>
        <tr r="AC129" s="4"/>
      </tp>
      <tp>
        <v>42240</v>
        <stp/>
        <stp>##V3_BTODAY</stp>
        <stp>[XIDA.xlsm]Peers!R128C29</stp>
        <tr r="AC128" s="4"/>
      </tp>
      <tp>
        <v>42240</v>
        <stp/>
        <stp>##V3_BTODAY</stp>
        <stp>[XIDA.xlsm]Peers!R191C29</stp>
        <tr r="AC191" s="4"/>
      </tp>
      <tp>
        <v>42240</v>
        <stp/>
        <stp>##V3_BTODAY</stp>
        <stp>[XIDA.xlsm]Peers!R190C29</stp>
        <tr r="AC190" s="4"/>
      </tp>
      <tp>
        <v>42240</v>
        <stp/>
        <stp>##V3_BTODAY</stp>
        <stp>[XIDA.xlsm]Peers!R193C29</stp>
        <tr r="AC193" s="4"/>
      </tp>
      <tp>
        <v>42240</v>
        <stp/>
        <stp>##V3_BTODAY</stp>
        <stp>[XIDA.xlsm]Peers!R192C29</stp>
        <tr r="AC192" s="4"/>
      </tp>
      <tp>
        <v>42240</v>
        <stp/>
        <stp>##V3_BTODAY</stp>
        <stp>[XIDA.xlsm]Peers!R195C29</stp>
        <tr r="AC195" s="4"/>
      </tp>
      <tp>
        <v>42240</v>
        <stp/>
        <stp>##V3_BTODAY</stp>
        <stp>[XIDA.xlsm]Peers!R194C29</stp>
        <tr r="AC194" s="4"/>
      </tp>
      <tp>
        <v>42240</v>
        <stp/>
        <stp>##V3_BTODAY</stp>
        <stp>[XIDA.xlsm]Peers!R197C29</stp>
        <tr r="AC197" s="4"/>
      </tp>
      <tp>
        <v>42240</v>
        <stp/>
        <stp>##V3_BTODAY</stp>
        <stp>[XIDA.xlsm]Peers!R196C29</stp>
        <tr r="AC196" s="4"/>
      </tp>
      <tp>
        <v>42240</v>
        <stp/>
        <stp>##V3_BTODAY</stp>
        <stp>[XIDA.xlsm]Peers!R199C29</stp>
        <tr r="AC199" s="4"/>
      </tp>
      <tp>
        <v>42240</v>
        <stp/>
        <stp>##V3_BTODAY</stp>
        <stp>[XIDA.xlsm]Peers!R198C29</stp>
        <tr r="AC198" s="4"/>
      </tp>
      <tp>
        <v>42240</v>
        <stp/>
        <stp>##V3_BTODAY</stp>
        <stp>[XIDA.xlsm]Peers!R181C29</stp>
        <tr r="AC181" s="4"/>
      </tp>
      <tp>
        <v>42240</v>
        <stp/>
        <stp>##V3_BTODAY</stp>
        <stp>[XIDA.xlsm]Peers!R180C29</stp>
        <tr r="AC180" s="4"/>
      </tp>
      <tp>
        <v>42240</v>
        <stp/>
        <stp>##V3_BTODAY</stp>
        <stp>[XIDA.xlsm]Peers!R183C29</stp>
        <tr r="AC183" s="4"/>
      </tp>
      <tp>
        <v>42240</v>
        <stp/>
        <stp>##V3_BTODAY</stp>
        <stp>[XIDA.xlsm]Peers!R182C29</stp>
        <tr r="AC182" s="4"/>
      </tp>
      <tp>
        <v>42240</v>
        <stp/>
        <stp>##V3_BTODAY</stp>
        <stp>[XIDA.xlsm]Peers!R185C29</stp>
        <tr r="AC185" s="4"/>
      </tp>
      <tp>
        <v>42240</v>
        <stp/>
        <stp>##V3_BTODAY</stp>
        <stp>[XIDA.xlsm]Peers!R184C29</stp>
        <tr r="AC184" s="4"/>
      </tp>
      <tp>
        <v>42240</v>
        <stp/>
        <stp>##V3_BTODAY</stp>
        <stp>[XIDA.xlsm]Peers!R187C29</stp>
        <tr r="AC187" s="4"/>
      </tp>
      <tp>
        <v>42240</v>
        <stp/>
        <stp>##V3_BTODAY</stp>
        <stp>[XIDA.xlsm]Peers!R186C29</stp>
        <tr r="AC186" s="4"/>
      </tp>
      <tp>
        <v>42240</v>
        <stp/>
        <stp>##V3_BTODAY</stp>
        <stp>[XIDA.xlsm]Peers!R189C29</stp>
        <tr r="AC189" s="4"/>
      </tp>
      <tp>
        <v>42240</v>
        <stp/>
        <stp>##V3_BTODAY</stp>
        <stp>[XIDA.xlsm]Peers!R188C29</stp>
        <tr r="AC188" s="4"/>
      </tp>
      <tp>
        <v>-2556</v>
        <stp/>
        <stp>##V3_BDPV12</stp>
        <stp>AAPL US EQUITY</stp>
        <stp>CF_CASH_FROM_INV_ACT</stp>
        <stp>[XIDA.xlsm]Financials!R96C8</stp>
        <stp>EQY_FUND_RELATIVE_PERIOD</stp>
        <stp>-9FY</stp>
        <stp>EQY_FUND_CRNCY</stp>
        <stp>USD</stp>
        <stp>EQY_CONSOLIDATED</stp>
        <stp>Y</stp>
        <stp>Fill=B</stp>
        <tr r="H96" s="8"/>
      </tp>
      <tp>
        <v>357</v>
        <stp/>
        <stp>##V3_BDPV12</stp>
        <stp>AAPL US EQUITY</stp>
        <stp>CF_CASH_FROM_INV_ACT</stp>
        <stp>[XIDA.xlsm]Financials!R96C9</stp>
        <stp>EQY_FUND_RELATIVE_PERIOD</stp>
        <stp>-8FY</stp>
        <stp>EQY_FUND_CRNCY</stp>
        <stp>USD</stp>
        <stp>EQY_CONSOLIDATED</stp>
        <stp>Y</stp>
        <stp>Fill=B</stp>
        <tr r="I96" s="8"/>
      </tp>
      <tp>
        <v>288</v>
        <stp/>
        <stp>##V3_BDPV12</stp>
        <stp>AAPL US EQUITY</stp>
        <stp>BS_OTHER_ASSET_DEF_CHNG_OTHER</stp>
        <stp>[XIDA.xlsm]Financials!R60C7</stp>
        <stp>EQY_FUND_RELATIVE_PERIOD</stp>
        <stp>-10FY</stp>
        <stp>EQY_FUND_CRNCY</stp>
        <stp>USD</stp>
        <stp>EQY_CONSOLIDATED</stp>
        <stp>Y</stp>
        <stp>Fill=B</stp>
        <tr r="G60" s="8"/>
      </tp>
      <tp>
        <v>10.84994</v>
        <stp/>
        <stp>##V3_BDHV12</stp>
        <stp>BB CN EQUITY</stp>
        <stp>PX_LAST</stp>
        <stp>1/1/2015</stp>
        <stp>4/13/2015</stp>
        <stp>[XIDA.xlsm]Indices!R10C33</stp>
        <stp>Dts=H</stp>
        <stp>FX=USD</stp>
        <stp>CDR=US</stp>
        <stp/>
        <stp>PER=CD</stp>
        <stp>cols=1;rows=69</stp>
        <tr r="AG10" s="5"/>
      </tp>
      <tp>
        <v>16.693828639904133</v>
        <stp/>
        <stp>##V3_BDPV12</stp>
        <stp>AAPL US EQUITY</stp>
        <stp>ACCT_RCV_TURN</stp>
        <stp>[XIDA.xlsm]Financials!R142C8</stp>
        <stp>EQY_FUND_RELATIVE_PERIOD</stp>
        <stp>-9FY</stp>
        <stp>EQY_FUND_CRNCY</stp>
        <stp>USD</stp>
        <stp>EQY_CONSOLIDATED</stp>
        <stp>Y</stp>
        <stp>Fill=B</stp>
        <tr r="H142" s="8"/>
      </tp>
      <tp>
        <v>17.992547741034002</v>
        <stp/>
        <stp>##V3_BDPV12</stp>
        <stp>AAPL US EQUITY</stp>
        <stp>ACCT_RCV_TURN</stp>
        <stp>[XIDA.xlsm]Financials!R142C9</stp>
        <stp>EQY_FUND_RELATIVE_PERIOD</stp>
        <stp>-8FY</stp>
        <stp>EQY_FUND_CRNCY</stp>
        <stp>USD</stp>
        <stp>EQY_CONSOLIDATED</stp>
        <stp>Y</stp>
        <stp>Fill=B</stp>
        <tr r="I142" s="8"/>
      </tp>
      <tp>
        <v>2.5202454394157883</v>
        <stp/>
        <stp>##V3_BDPV12</stp>
        <stp>AAPL US EQUITY</stp>
        <stp>BEST_PX_SALES_RATIO</stp>
        <stp>[XIDA.xlsm]Financials!R121C18</stp>
        <stp>BEST_FPERIOD_OVERRIDE</stp>
        <stp>1FY</stp>
        <stp>EQY_FUND_CRNCY</stp>
        <stp>USD</stp>
        <stp>BEST_CONSOLIDATED_OVERRIDE</stp>
        <stp>C</stp>
        <stp>Fill=B</stp>
        <tr r="R121" s="8"/>
      </tp>
      <tp>
        <v>2.3938432768532594</v>
        <stp/>
        <stp>##V3_BDPV12</stp>
        <stp>AAPL US EQUITY</stp>
        <stp>BEST_PX_SALES_RATIO</stp>
        <stp>[XIDA.xlsm]Financials!R121C19</stp>
        <stp>BEST_FPERIOD_OVERRIDE</stp>
        <stp>2FY</stp>
        <stp>EQY_FUND_CRNCY</stp>
        <stp>USD</stp>
        <stp>BEST_CONSOLIDATED_OVERRIDE</stp>
        <stp>C</stp>
        <stp>Fill=B</stp>
        <tr r="S121" s="8"/>
      </tp>
      <tp>
        <v>499</v>
        <stp/>
        <stp>##V3_BDPV12</stp>
        <stp>AAPL US EQUITY</stp>
        <stp>EBITDA</stp>
        <stp>[XIDA.xlsm]Financials!R43C7</stp>
        <stp>EQY_FUND_RELATIVE_PERIOD</stp>
        <stp>-10FY</stp>
        <stp>EQY_FUND_CRNCY</stp>
        <stp>USD</stp>
        <stp>EQY_CONSOLIDATED</stp>
        <stp>Y</stp>
        <stp>Fill=B</stp>
        <tr r="G43" s="8"/>
      </tp>
      <tp>
        <v>107</v>
        <stp/>
        <stp>##V3_BDPV12</stp>
        <stp>AAPL US EQUITY</stp>
        <stp>IS_INC_TAX_EXP</stp>
        <stp>[XIDA.xlsm]Financials!R27C7</stp>
        <stp>EQY_FUND_RELATIVE_PERIOD</stp>
        <stp>-10FY</stp>
        <stp>EQY_FUND_CRNCY</stp>
        <stp>USD</stp>
        <stp>EQY_CONSOLIDATED</stp>
        <stp>Y</stp>
        <stp>Fill=B</stp>
        <tr r="G27" s="8"/>
      </tp>
      <tp>
        <v>2562</v>
        <stp/>
        <stp>##V3_BDPV12</stp>
        <stp>AAPL US EQUITY</stp>
        <stp>BS_RETAIN_EARN</stp>
        <stp>[XIDA.xlsm]Financials!R75C7</stp>
        <stp>EQY_FUND_RELATIVE_PERIOD</stp>
        <stp>-10FY</stp>
        <stp>EQY_FUND_CRNCY</stp>
        <stp>USD</stp>
        <stp>EQY_CONSOLIDATED</stp>
        <stp>Y</stp>
        <stp>Fill=B</stp>
        <tr r="G75" s="8"/>
      </tp>
      <tp>
        <v>591</v>
        <stp/>
        <stp>##V3_BDPV12</stp>
        <stp>AAPL US EQUITY</stp>
        <stp>BS_ACCUM_DEPR</stp>
        <stp>[XIDA.xlsm]Financials!R58C7</stp>
        <stp>EQY_FUND_RELATIVE_PERIOD</stp>
        <stp>-10FY</stp>
        <stp>EQY_FUND_CRNCY</stp>
        <stp>USD</stp>
        <stp>EQY_CONSOLIDATED</stp>
        <stp>Y</stp>
        <stp>Fill=B</stp>
        <tr r="G58" s="8"/>
      </tp>
      <tp>
        <v>10.567739290838286</v>
        <stp/>
        <stp>##V3_BDPV12</stp>
        <stp>AAPL US EQUITY</stp>
        <stp>BEST_PE_RATIO</stp>
        <stp>[XIDA.xlsm]Overview!R33C10</stp>
        <stp>BEST_FPERIOD_OVERRIDE</stp>
        <stp>2FY</stp>
        <stp>BEST_CONSOLIDATED_OVERRIDE</stp>
        <stp>C</stp>
        <stp>Fill=-</stp>
        <tr r="J33" s="3"/>
      </tp>
      <tp>
        <v>9.6032780778543501</v>
        <stp/>
        <stp>##V3_BDPV12</stp>
        <stp>AAPL US EQUITY</stp>
        <stp>BEST_PE_RATIO</stp>
        <stp>[XIDA.xlsm]Overview!R33C11</stp>
        <stp>BEST_FPERIOD_OVERRIDE</stp>
        <stp>3FY</stp>
        <stp>BEST_CONSOLIDATED_OVERRIDE</stp>
        <stp>C</stp>
        <stp>Fill=-</stp>
        <tr r="K33" s="3"/>
      </tp>
      <tp t="s">
        <v>Consumer Electronics</v>
        <stp/>
        <stp>##V3_BDPV12</stp>
        <stp>6758 JP EQUITY</stp>
        <stp>GICS_SUB_INDUSTRY_NAME</stp>
        <stp>[XIDA.xlsm]Peers!R20C8</stp>
        <tr r="H20" s="4"/>
      </tp>
      <tp t="s">
        <v>ERICSSON LM-B SHS</v>
        <stp/>
        <stp>##V3_BDPV12</stp>
        <stp>ERICB SS EQUITY</stp>
        <stp>NAME</stp>
        <stp>[XIDA.xlsm]Peers!R25C5</stp>
        <tr r="E25" s="4"/>
      </tp>
      <tp>
        <v>150</v>
        <stp/>
        <stp>##V3_BDPV12</stp>
        <stp>AAPL US EQUITY</stp>
        <stp>CF_DEPR_AMORT</stp>
        <stp>[XIDA.xlsm]Financials!R86C7</stp>
        <stp>EQY_FUND_RELATIVE_PERIOD</stp>
        <stp>-10FY</stp>
        <stp>EQY_FUND_CRNCY</stp>
        <stp>USD</stp>
        <stp>EQY_CONSOLIDATED</stp>
        <stp>Y</stp>
        <stp>Fill=B</stp>
        <tr r="G86" s="8"/>
      </tp>
      <tp>
        <v>3787748.9422600004</v>
        <stp/>
        <stp>##V3_BDPV12</stp>
        <stp>6758 JP EQUITY</stp>
        <stp>CRNCY_ADJ_MKT_CAP</stp>
        <stp>[XIDA.xlsm]Peers!R20C13</stp>
        <tr r="M20" s="4"/>
        <tr r="M20" s="4"/>
      </tp>
      <tp>
        <v>5.1642071604116619</v>
        <stp/>
        <stp>##V3_BDPV12</stp>
        <stp>AAPL US EQUITY</stp>
        <stp>BEST_CUR_EV_TO_EBITDA</stp>
        <stp>[XIDA.xlsm]Overview!R35C10</stp>
        <stp>BEST_FPERIOD_OVERRIDE</stp>
        <stp>2FY</stp>
        <stp>BEST_CONSOLIDATED_OVERRIDE</stp>
        <stp>C</stp>
        <stp>Fill=-</stp>
        <tr r="J35" s="3"/>
      </tp>
      <tp>
        <v>5.0119001346665168</v>
        <stp/>
        <stp>##V3_BDPV12</stp>
        <stp>AAPL US EQUITY</stp>
        <stp>BEST_CUR_EV_TO_EBITDA</stp>
        <stp>[XIDA.xlsm]Overview!R35C11</stp>
        <stp>BEST_FPERIOD_OVERRIDE</stp>
        <stp>3FY</stp>
        <stp>BEST_CONSOLIDATED_OVERRIDE</stp>
        <stp>C</stp>
        <stp>Fill=-</stp>
        <tr r="K35" s="3"/>
      </tp>
      <tp t="e">
        <v>#N/A</v>
        <stp/>
        <stp>##V3_BDHV12</stp>
        <stp>AAPL US EQUITY</stp>
        <stp>TOT_BUY_REC</stp>
        <stp>ED-13AM</stp>
        <stp/>
        <stp>[XIDA.xlsm]DataH!R41C1</stp>
        <stp>BEST FPERIOD OVERRIDE</stp>
        <stp>1FY</stp>
        <stp>PER=CM</stp>
        <stp>SORT=D</stp>
        <stp>DAYS=W</stp>
        <stp>Fill=P</stp>
        <stp>DTS=S</stp>
        <stp>cols=2;rows=13</stp>
        <tr r="A41" s="16"/>
      </tp>
      <tp>
        <v>2.2834608371302694</v>
        <stp/>
        <stp>##V3_BDPV12</stp>
        <stp>AAPL US EQUITY</stp>
        <stp>BEST_PX_SALES_RATIO</stp>
        <stp>[XIDA.xlsm]Financials!R121C20</stp>
        <stp>BEST_FPERIOD_OVERRIDE</stp>
        <stp>3FY</stp>
        <stp>EQY_FUND_CRNCY</stp>
        <stp>USD</stp>
        <stp>BEST_CONSOLIDATED_OVERRIDE</stp>
        <stp>C</stp>
        <stp>Fill=B</stp>
        <tr r="T121" s="8"/>
      </tp>
      <tp>
        <v>1251</v>
        <stp/>
        <stp>##V3_BDPV12</stp>
        <stp>AAPL US EQUITY</stp>
        <stp>BS_TOT_NON_CUR_ASSET</stp>
        <stp>[XIDA.xlsm]Financials!R55C8</stp>
        <stp>EQY_FUND_RELATIVE_PERIOD</stp>
        <stp>-9FY</stp>
        <stp>EQY_FUND_CRNCY</stp>
        <stp>USD</stp>
        <stp>EQY_CONSOLIDATED</stp>
        <stp>Y</stp>
        <stp>Fill=B</stp>
        <tr r="H55" s="8"/>
      </tp>
      <tp>
        <v>2696</v>
        <stp/>
        <stp>##V3_BDPV12</stp>
        <stp>AAPL US EQUITY</stp>
        <stp>BS_TOT_NON_CUR_ASSET</stp>
        <stp>[XIDA.xlsm]Financials!R55C9</stp>
        <stp>EQY_FUND_RELATIVE_PERIOD</stp>
        <stp>-8FY</stp>
        <stp>EQY_FUND_CRNCY</stp>
        <stp>USD</stp>
        <stp>EQY_CONSOLIDATED</stp>
        <stp>Y</stp>
        <stp>Fill=B</stp>
        <tr r="I55" s="8"/>
      </tp>
      <tp>
        <v>177215.4278</v>
        <stp/>
        <stp>##V3_BDHV12</stp>
        <stp>005930 KS EQUITY</stp>
        <stp>CUR_MKT_CAP</stp>
        <stp>1/1/2015</stp>
        <stp>4/13/2015</stp>
        <stp>[XIDA.xlsm]MarketCapH!R4C1</stp>
        <stp>Dts=H</stp>
        <stp>FX=USD</stp>
        <stp>CDR=US</stp>
        <stp/>
        <stp>PER=CD</stp>
        <stp>cols=1;rows=69</stp>
        <tr r="A4" s="7"/>
      </tp>
      <tp>
        <v>14186</v>
        <stp/>
        <stp>##V3_BDPV12</stp>
        <stp>AAPL US EQUITY</stp>
        <stp>BEST_EBIT</stp>
        <stp>[XIDA.xlsm]DataH!R4C72</stp>
        <stp>BEST_FPERIOD_OVERRIDE</stp>
        <stp>1FQ</stp>
        <stp>BEST_DATA_SOURCE_OVERRIDE</stp>
        <stp>BLI</stp>
        <stp>EQY_FUND_CRNCY</stp>
        <stp>USD</stp>
        <stp>BEST_CONSOLIDATED_OVERRIDE</stp>
        <stp>C</stp>
        <tr r="BT4" s="16"/>
      </tp>
      <tp>
        <v>25007</v>
        <stp/>
        <stp>##V3_BDPV12</stp>
        <stp>AAPL US EQUITY</stp>
        <stp>BEST_EBIT</stp>
        <stp>[XIDA.xlsm]DataH!R4C73</stp>
        <stp>BEST_FPERIOD_OVERRIDE</stp>
        <stp>2FQ</stp>
        <stp>BEST_DATA_SOURCE_OVERRIDE</stp>
        <stp>BLI</stp>
        <stp>EQY_FUND_CRNCY</stp>
        <stp>USD</stp>
        <stp>BEST_CONSOLIDATED_OVERRIDE</stp>
        <stp>C</stp>
        <tr r="BU4" s="16"/>
      </tp>
      <tp>
        <v>18876.332999999999</v>
        <stp/>
        <stp>##V3_BDPV12</stp>
        <stp>AAPL US EQUITY</stp>
        <stp>BEST_EBIT</stp>
        <stp>[XIDA.xlsm]DataH!R4C75</stp>
        <stp>BEST_FPERIOD_OVERRIDE</stp>
        <stp>3FQ</stp>
        <stp>BEST_DATA_SOURCE_OVERRIDE</stp>
        <stp>BLI</stp>
        <stp>EQY_FUND_CRNCY</stp>
        <stp>USD</stp>
        <stp>BEST_CONSOLIDATED_OVERRIDE</stp>
        <stp>C</stp>
        <tr r="BW4" s="16"/>
      </tp>
      <tp>
        <v>0</v>
        <stp/>
        <stp>##V3_BDPV12</stp>
        <stp>AAPL US EQUITY</stp>
        <stp>CF_INCR_INVEST</stp>
        <stp>[XIDA.xlsm]Financials!R93C7</stp>
        <stp>EQY_FUND_RELATIVE_PERIOD</stp>
        <stp>-10FY</stp>
        <stp>EQY_FUND_CRNCY</stp>
        <stp>USD</stp>
        <stp>EQY_CONSOLIDATED</stp>
        <stp>Y</stp>
        <stp>Fill=B</stp>
        <tr r="G93" s="8"/>
      </tp>
      <tp>
        <v>17953</v>
        <stp/>
        <stp>##V3_BDPV12</stp>
        <stp>AAPL US EQUITY</stp>
        <stp>BEST_EBIT</stp>
        <stp>[XIDA.xlsm]DataH!R3C75</stp>
        <stp>BEST_FPERIOD_OVERRIDE</stp>
        <stp>3FQ</stp>
        <stp>BEST_DATA_SOURCE_OVERRIDE</stp>
        <stp>BST</stp>
        <stp>EQY_FUND_CRNCY</stp>
        <stp>USD</stp>
        <stp>BEST_CONSOLIDATED_OVERRIDE</stp>
        <stp>C</stp>
        <tr r="BW3" s="16"/>
      </tp>
      <tp>
        <v>14053.6</v>
        <stp/>
        <stp>##V3_BDPV12</stp>
        <stp>AAPL US EQUITY</stp>
        <stp>BEST_EBIT</stp>
        <stp>[XIDA.xlsm]DataH!R3C72</stp>
        <stp>BEST_FPERIOD_OVERRIDE</stp>
        <stp>1FQ</stp>
        <stp>BEST_DATA_SOURCE_OVERRIDE</stp>
        <stp>BST</stp>
        <stp>EQY_FUND_CRNCY</stp>
        <stp>USD</stp>
        <stp>BEST_CONSOLIDATED_OVERRIDE</stp>
        <stp>C</stp>
        <tr r="BT3" s="16"/>
      </tp>
      <tp>
        <v>23956.5</v>
        <stp/>
        <stp>##V3_BDPV12</stp>
        <stp>AAPL US EQUITY</stp>
        <stp>BEST_EBIT</stp>
        <stp>[XIDA.xlsm]DataH!R3C73</stp>
        <stp>BEST_FPERIOD_OVERRIDE</stp>
        <stp>2FQ</stp>
        <stp>BEST_DATA_SOURCE_OVERRIDE</stp>
        <stp>BST</stp>
        <stp>EQY_FUND_CRNCY</stp>
        <stp>USD</stp>
        <stp>BEST_CONSOLIDATED_OVERRIDE</stp>
        <stp>C</stp>
        <tr r="BU3" s="16"/>
      </tp>
      <tp>
        <v>17845.875</v>
        <stp/>
        <stp>##V3_BDPV12</stp>
        <stp>AAPL US EQUITY</stp>
        <stp>BEST_EBIT</stp>
        <stp>[XIDA.xlsm]DataH!R5C75</stp>
        <stp>BEST_FPERIOD_OVERRIDE</stp>
        <stp>3FQ</stp>
        <stp>BEST_DATA_SOURCE_OVERRIDE</stp>
        <stp>BPE</stp>
        <stp>EQY_FUND_CRNCY</stp>
        <stp>USD</stp>
        <stp>BEST_CONSOLIDATED_OVERRIDE</stp>
        <stp>C</stp>
        <tr r="BW5" s="16"/>
      </tp>
      <tp>
        <v>14127.5</v>
        <stp/>
        <stp>##V3_BDPV12</stp>
        <stp>AAPL US EQUITY</stp>
        <stp>BEST_EBIT</stp>
        <stp>[XIDA.xlsm]DataH!R5C72</stp>
        <stp>BEST_FPERIOD_OVERRIDE</stp>
        <stp>1FQ</stp>
        <stp>BEST_DATA_SOURCE_OVERRIDE</stp>
        <stp>BPE</stp>
        <stp>EQY_FUND_CRNCY</stp>
        <stp>USD</stp>
        <stp>BEST_CONSOLIDATED_OVERRIDE</stp>
        <stp>C</stp>
        <tr r="BT5" s="16"/>
      </tp>
      <tp>
        <v>24075.375</v>
        <stp/>
        <stp>##V3_BDPV12</stp>
        <stp>AAPL US EQUITY</stp>
        <stp>BEST_EBIT</stp>
        <stp>[XIDA.xlsm]DataH!R5C73</stp>
        <stp>BEST_FPERIOD_OVERRIDE</stp>
        <stp>2FQ</stp>
        <stp>BEST_DATA_SOURCE_OVERRIDE</stp>
        <stp>BPE</stp>
        <stp>EQY_FUND_CRNCY</stp>
        <stp>USD</stp>
        <stp>BEST_CONSOLIDATED_OVERRIDE</stp>
        <stp>C</stp>
        <tr r="BU5" s="16"/>
      </tp>
      <tp>
        <v>4735</v>
        <stp/>
        <stp>##V3_BDPV12</stp>
        <stp>AAPL US EQUITY</stp>
        <stp>CF_FREE_CASH_FLOW_FIRM</stp>
        <stp>[XIDA.xlsm]Financials!R111C10</stp>
        <stp>EQY_FUND_RELATIVE_PERIOD</stp>
        <stp>-7FY</stp>
        <stp>EQY_FUND_CRNCY</stp>
        <stp>USD</stp>
        <stp>EQY_CONSOLIDATED</stp>
        <stp>Y</stp>
        <stp>Fill=B</stp>
        <tr r="J111" s="8"/>
      </tp>
      <tp>
        <v>8505</v>
        <stp/>
        <stp>##V3_BDPV12</stp>
        <stp>AAPL US EQUITY</stp>
        <stp>CF_FREE_CASH_FLOW_FIRM</stp>
        <stp>[XIDA.xlsm]Financials!R111C11</stp>
        <stp>EQY_FUND_RELATIVE_PERIOD</stp>
        <stp>-6FY</stp>
        <stp>EQY_FUND_CRNCY</stp>
        <stp>USD</stp>
        <stp>EQY_CONSOLIDATED</stp>
        <stp>Y</stp>
        <stp>Fill=B</stp>
        <tr r="K111" s="8"/>
      </tp>
      <tp>
        <v>9015</v>
        <stp/>
        <stp>##V3_BDPV12</stp>
        <stp>AAPL US EQUITY</stp>
        <stp>CF_FREE_CASH_FLOW_FIRM</stp>
        <stp>[XIDA.xlsm]Financials!R111C12</stp>
        <stp>EQY_FUND_RELATIVE_PERIOD</stp>
        <stp>-5FY</stp>
        <stp>EQY_FUND_CRNCY</stp>
        <stp>USD</stp>
        <stp>EQY_CONSOLIDATED</stp>
        <stp>Y</stp>
        <stp>Fill=B</stp>
        <tr r="L111" s="8"/>
      </tp>
      <tp>
        <v>16590</v>
        <stp/>
        <stp>##V3_BDPV12</stp>
        <stp>AAPL US EQUITY</stp>
        <stp>CF_FREE_CASH_FLOW_FIRM</stp>
        <stp>[XIDA.xlsm]Financials!R111C13</stp>
        <stp>EQY_FUND_RELATIVE_PERIOD</stp>
        <stp>-4FY</stp>
        <stp>EQY_FUND_CRNCY</stp>
        <stp>USD</stp>
        <stp>EQY_CONSOLIDATED</stp>
        <stp>Y</stp>
        <stp>Fill=B</stp>
        <tr r="M111" s="8"/>
      </tp>
      <tp>
        <v>33269</v>
        <stp/>
        <stp>##V3_BDPV12</stp>
        <stp>AAPL US EQUITY</stp>
        <stp>CF_FREE_CASH_FLOW_FIRM</stp>
        <stp>[XIDA.xlsm]Financials!R111C14</stp>
        <stp>EQY_FUND_RELATIVE_PERIOD</stp>
        <stp>-3FY</stp>
        <stp>EQY_FUND_CRNCY</stp>
        <stp>USD</stp>
        <stp>EQY_CONSOLIDATED</stp>
        <stp>Y</stp>
        <stp>Fill=B</stp>
        <tr r="N111" s="8"/>
      </tp>
      <tp>
        <v>42561</v>
        <stp/>
        <stp>##V3_BDPV12</stp>
        <stp>AAPL US EQUITY</stp>
        <stp>CF_FREE_CASH_FLOW_FIRM</stp>
        <stp>[XIDA.xlsm]Financials!R111C15</stp>
        <stp>EQY_FUND_RELATIVE_PERIOD</stp>
        <stp>-2FY</stp>
        <stp>EQY_FUND_CRNCY</stp>
        <stp>USD</stp>
        <stp>EQY_CONSOLIDATED</stp>
        <stp>Y</stp>
        <stp>Fill=B</stp>
        <tr r="O111" s="8"/>
      </tp>
      <tp>
        <v>45601.429309141662</v>
        <stp/>
        <stp>##V3_BDPV12</stp>
        <stp>AAPL US EQUITY</stp>
        <stp>CF_FREE_CASH_FLOW_FIRM</stp>
        <stp>[XIDA.xlsm]Financials!R111C16</stp>
        <stp>EQY_FUND_RELATIVE_PERIOD</stp>
        <stp>-1FY</stp>
        <stp>EQY_FUND_CRNCY</stp>
        <stp>USD</stp>
        <stp>EQY_CONSOLIDATED</stp>
        <stp>Y</stp>
        <stp>Fill=B</stp>
        <tr r="P111" s="8"/>
      </tp>
      <tp>
        <v>50425.675934409068</v>
        <stp/>
        <stp>##V3_BDPV12</stp>
        <stp>AAPL US EQUITY</stp>
        <stp>CF_FREE_CASH_FLOW_FIRM</stp>
        <stp>[XIDA.xlsm]Financials!R111C17</stp>
        <stp>EQY_FUND_RELATIVE_PERIOD</stp>
        <stp>-0FY</stp>
        <stp>EQY_FUND_CRNCY</stp>
        <stp>USD</stp>
        <stp>EQY_CONSOLIDATED</stp>
        <stp>Y</stp>
        <stp>Fill=B</stp>
        <tr r="Q111" s="8"/>
      </tp>
      <tp>
        <v>4085</v>
        <stp/>
        <stp>##V3_BDPV12</stp>
        <stp>AAPL US EQUITY</stp>
        <stp>BS_TOT_LIAB2</stp>
        <stp>[XIDA.xlsm]Financials!R71C8</stp>
        <stp>EQY_FUND_RELATIVE_PERIOD</stp>
        <stp>-9FY</stp>
        <stp>EQY_FUND_CRNCY</stp>
        <stp>USD</stp>
        <stp>EQY_CONSOLIDATED</stp>
        <stp>Y</stp>
        <stp>Fill=B</stp>
        <tr r="H71" s="8"/>
      </tp>
      <tp>
        <v>7221</v>
        <stp/>
        <stp>##V3_BDPV12</stp>
        <stp>AAPL US EQUITY</stp>
        <stp>BS_TOT_LIAB2</stp>
        <stp>[XIDA.xlsm]Financials!R71C9</stp>
        <stp>EQY_FUND_RELATIVE_PERIOD</stp>
        <stp>-8FY</stp>
        <stp>EQY_FUND_CRNCY</stp>
        <stp>USD</stp>
        <stp>EQY_CONSOLIDATED</stp>
        <stp>Y</stp>
        <stp>Fill=B</stp>
        <tr r="I71" s="8"/>
      </tp>
      <tp>
        <v>11.954789999999999</v>
        <stp/>
        <stp>##V3_BDHV12</stp>
        <stp>ERICB SS EQUITY</stp>
        <stp>PX_LAST</stp>
        <stp>1/1/2015</stp>
        <stp>4/13/2015</stp>
        <stp>[XIDA.xlsm]PricesH!R4C8</stp>
        <stp>Dts=H</stp>
        <stp>FX=USD</stp>
        <stp>CDR=US</stp>
        <stp/>
        <stp>PER=CD</stp>
        <stp>cols=1;rows=69</stp>
        <tr r="H4" s="6"/>
      </tp>
      <tp t="s">
        <v>APPLE INC</v>
        <stp/>
        <stp>##V3_BDPV12</stp>
        <stp>AAPL US EQUITY</stp>
        <stp>NAME</stp>
        <stp>[XIDA.xlsm]ControlsH!R6C2</stp>
        <tr r="B6" s="2"/>
      </tp>
      <tp>
        <v>8279</v>
        <stp/>
        <stp>##V3_BDPV12</stp>
        <stp>AAPL US EQUITY</stp>
        <stp>SALES_REV_TURN</stp>
        <stp>[XIDA.xlsm]Financials!R14C7</stp>
        <stp>EQY_FUND_RELATIVE_PERIOD</stp>
        <stp>-10FY</stp>
        <stp>EQY_FUND_CRNCY</stp>
        <stp>USD</stp>
        <stp>EQY_CONSOLIDATED</stp>
        <stp>Y</stp>
        <stp>Fill=B</stp>
        <tr r="G14" s="8"/>
      </tp>
      <tp>
        <v>5.936122163673514</v>
        <stp/>
        <stp>##V3_BDPV12</stp>
        <stp>AAPL US EQUITY</stp>
        <stp>RETURN_COM_EQY</stp>
        <stp>[XIDA.xlsm]Financials!R131C7</stp>
        <stp>EQY_FUND_RELATIVE_PERIOD</stp>
        <stp>-10FY</stp>
        <stp>EQY_FUND_CRNCY</stp>
        <stp>USD</stp>
        <stp>EQY_CONSOLIDATED</stp>
        <stp>Y</stp>
        <stp>Fill=0</stp>
        <tr r="G131" s="8"/>
      </tp>
      <tp t="s">
        <v>#N/A Requesting Data...</v>
        <stp/>
        <stp>##V3_BDSV12</stp>
        <stp>AAPL US EQUITY</stp>
        <stp>BEST_EBITDA_BRK_GRID</stp>
        <stp>[XIDA.xlsm]DataH!R8C70</stp>
        <stp>BEST_FPERIOD_OVERRIDE</stp>
        <stp>3FQ</stp>
        <stp>STARTCOL=4</stp>
        <stp>ENDCOL=4</stp>
        <stp>EQY_FUND_CRNCY</stp>
        <stp>USD</stp>
        <stp>BEST_CONSOLIDATED_OVERRIDE</stp>
        <stp>C</stp>
        <tr r="BR8" s="16"/>
      </tp>
      <tp>
        <v>0</v>
        <stp/>
        <stp>##V3_BDPV12</stp>
        <stp>AAPL US EQUITY</stp>
        <stp>BS_ST_BORROW</stp>
        <stp>[XIDA.xlsm]Financials!R64C8</stp>
        <stp>EQY_FUND_RELATIVE_PERIOD</stp>
        <stp>-9FY</stp>
        <stp>EQY_FUND_CRNCY</stp>
        <stp>USD</stp>
        <stp>EQY_CONSOLIDATED</stp>
        <stp>Y</stp>
        <stp>Fill=B</stp>
        <tr r="H64" s="8"/>
      </tp>
      <tp>
        <v>0</v>
        <stp/>
        <stp>##V3_BDPV12</stp>
        <stp>AAPL US EQUITY</stp>
        <stp>BS_ST_BORROW</stp>
        <stp>[XIDA.xlsm]Financials!R64C9</stp>
        <stp>EQY_FUND_RELATIVE_PERIOD</stp>
        <stp>-8FY</stp>
        <stp>EQY_FUND_CRNCY</stp>
        <stp>USD</stp>
        <stp>EQY_CONSOLIDATED</stp>
        <stp>Y</stp>
        <stp>Fill=B</stp>
        <tr r="I64" s="8"/>
      </tp>
      <tp>
        <v>0</v>
        <stp/>
        <stp>##V3_BDPV12</stp>
        <stp>AAPL US EQUITY</stp>
        <stp>BS_LT_BORROW</stp>
        <stp>[XIDA.xlsm]Financials!R68C8</stp>
        <stp>EQY_FUND_RELATIVE_PERIOD</stp>
        <stp>-9FY</stp>
        <stp>EQY_FUND_CRNCY</stp>
        <stp>USD</stp>
        <stp>EQY_CONSOLIDATED</stp>
        <stp>Y</stp>
        <stp>Fill=B</stp>
        <tr r="H68" s="8"/>
      </tp>
      <tp>
        <v>0</v>
        <stp/>
        <stp>##V3_BDPV12</stp>
        <stp>AAPL US EQUITY</stp>
        <stp>BS_LT_BORROW</stp>
        <stp>[XIDA.xlsm]Financials!R68C9</stp>
        <stp>EQY_FUND_RELATIVE_PERIOD</stp>
        <stp>-8FY</stp>
        <stp>EQY_FUND_CRNCY</stp>
        <stp>USD</stp>
        <stp>EQY_CONSOLIDATED</stp>
        <stp>Y</stp>
        <stp>Fill=B</stp>
        <tr r="I68" s="8"/>
      </tp>
      <tp>
        <v>8704.3559000000005</v>
        <stp/>
        <stp>##V3_BDHV12</stp>
        <stp>066570 KS EQUITY</stp>
        <stp>CUR_MKT_CAP</stp>
        <stp>1/1/2015</stp>
        <stp>4/13/2015</stp>
        <stp>[XIDA.xlsm]MarketCapH!R4C4</stp>
        <stp>Dts=H</stp>
        <stp>FX=USD</stp>
        <stp>CDR=US</stp>
        <stp/>
        <stp>PER=CD</stp>
        <stp>cols=1;rows=69</stp>
        <tr r="D4" s="7"/>
      </tp>
      <tp t="s">
        <v>Information Technology</v>
        <stp/>
        <stp>##V3_BDPV12</stp>
        <stp>AAPL US EQUITY</stp>
        <stp xml:space="preserve"> GICS_SECTOR_NAME</stp>
        <stp>[XIDA.xlsm]Overview!R13C2</stp>
        <tr r="B13" s="3"/>
      </tp>
      <tp t="e">
        <v>#N/A</v>
        <stp/>
        <stp>##V3_BDHV12</stp>
        <stp>AAPL US EQUITY</stp>
        <stp>PX_LAST</stp>
        <stp>ED-18AM</stp>
        <stp/>
        <stp>[XIDA.xlsm]Ratings!R27C10</stp>
        <stp>PER=CD</stp>
        <stp>SORT=D</stp>
        <stp>DAYS=W</stp>
        <stp>Fill=P</stp>
        <stp>DTS=H</stp>
        <stp>cols=1;rows=391</stp>
        <tr r="J27" s="11"/>
      </tp>
      <tp>
        <v>0</v>
        <stp/>
        <stp>##V3_BDPV12</stp>
        <stp>AAPL US EQUITY</stp>
        <stp>BS_LT_INVEST</stp>
        <stp>[XIDA.xlsm]Financials!R56C8</stp>
        <stp>EQY_FUND_RELATIVE_PERIOD</stp>
        <stp>-9FY</stp>
        <stp>EQY_FUND_CRNCY</stp>
        <stp>USD</stp>
        <stp>EQY_CONSOLIDATED</stp>
        <stp>Y</stp>
        <stp>Fill=B</stp>
        <tr r="H56" s="8"/>
      </tp>
      <tp>
        <v>0</v>
        <stp/>
        <stp>##V3_BDPV12</stp>
        <stp>AAPL US EQUITY</stp>
        <stp>BS_LT_INVEST</stp>
        <stp>[XIDA.xlsm]Financials!R56C9</stp>
        <stp>EQY_FUND_RELATIVE_PERIOD</stp>
        <stp>-8FY</stp>
        <stp>EQY_FUND_CRNCY</stp>
        <stp>USD</stp>
        <stp>EQY_CONSOLIDATED</stp>
        <stp>Y</stp>
        <stp>Fill=B</stp>
        <tr r="I56" s="8"/>
      </tp>
      <tp>
        <v>18.302469895651303</v>
        <stp/>
        <stp>##V3_BDPV12</stp>
        <stp>AAPL US EQUITY</stp>
        <stp>EV_TO_T12M_EBITDA</stp>
        <stp>[XIDA.xlsm]Financials!R120C7</stp>
        <stp>EQY_FUND_RELATIVE_PERIOD</stp>
        <stp>-10FY</stp>
        <stp>EQY_FUND_CRNCY</stp>
        <stp>USD</stp>
        <stp>EQY_CONSOLIDATED</stp>
        <stp>Y</stp>
        <stp>Fill=B</stp>
        <tr r="G120" s="8"/>
      </tp>
      <tp t="s">
        <v/>
        <stp/>
        <stp>##V3_BDPV12</stp>
        <stp>AAPL US EQUITY</stp>
        <stp>INTEREST_COVERAGE_RATIO</stp>
        <stp>[XIDA.xlsm]Financials!R136C10</stp>
        <stp>EQY_FUND_RELATIVE_PERIOD</stp>
        <stp>-7FY</stp>
        <stp>EQY_FUND_CRNCY</stp>
        <stp>USD</stp>
        <stp>EQY_CONSOLIDATED</stp>
        <stp>Y</stp>
        <stp>Fill=B</stp>
        <tr r="J136" s="8"/>
      </tp>
      <tp t="s">
        <v/>
        <stp/>
        <stp>##V3_BDPV12</stp>
        <stp>AAPL US EQUITY</stp>
        <stp>INTEREST_COVERAGE_RATIO</stp>
        <stp>[XIDA.xlsm]Financials!R136C11</stp>
        <stp>EQY_FUND_RELATIVE_PERIOD</stp>
        <stp>-6FY</stp>
        <stp>EQY_FUND_CRNCY</stp>
        <stp>USD</stp>
        <stp>EQY_CONSOLIDATED</stp>
        <stp>Y</stp>
        <stp>Fill=B</stp>
        <tr r="K136" s="8"/>
      </tp>
      <tp t="s">
        <v/>
        <stp/>
        <stp>##V3_BDPV12</stp>
        <stp>AAPL US EQUITY</stp>
        <stp>INTEREST_COVERAGE_RATIO</stp>
        <stp>[XIDA.xlsm]Financials!R136C12</stp>
        <stp>EQY_FUND_RELATIVE_PERIOD</stp>
        <stp>-5FY</stp>
        <stp>EQY_FUND_CRNCY</stp>
        <stp>USD</stp>
        <stp>EQY_CONSOLIDATED</stp>
        <stp>Y</stp>
        <stp>Fill=B</stp>
        <tr r="L136" s="8"/>
      </tp>
      <tp t="s">
        <v/>
        <stp/>
        <stp>##V3_BDPV12</stp>
        <stp>AAPL US EQUITY</stp>
        <stp>INTEREST_COVERAGE_RATIO</stp>
        <stp>[XIDA.xlsm]Financials!R136C13</stp>
        <stp>EQY_FUND_RELATIVE_PERIOD</stp>
        <stp>-4FY</stp>
        <stp>EQY_FUND_CRNCY</stp>
        <stp>USD</stp>
        <stp>EQY_CONSOLIDATED</stp>
        <stp>Y</stp>
        <stp>Fill=B</stp>
        <tr r="M136" s="8"/>
      </tp>
      <tp t="s">
        <v/>
        <stp/>
        <stp>##V3_BDPV12</stp>
        <stp>AAPL US EQUITY</stp>
        <stp>INTEREST_COVERAGE_RATIO</stp>
        <stp>[XIDA.xlsm]Financials!R136C14</stp>
        <stp>EQY_FUND_RELATIVE_PERIOD</stp>
        <stp>-3FY</stp>
        <stp>EQY_FUND_CRNCY</stp>
        <stp>USD</stp>
        <stp>EQY_CONSOLIDATED</stp>
        <stp>Y</stp>
        <stp>Fill=B</stp>
        <tr r="N136" s="8"/>
      </tp>
      <tp t="s">
        <v/>
        <stp/>
        <stp>##V3_BDPV12</stp>
        <stp>AAPL US EQUITY</stp>
        <stp>INTEREST_COVERAGE_RATIO</stp>
        <stp>[XIDA.xlsm]Financials!R136C15</stp>
        <stp>EQY_FUND_RELATIVE_PERIOD</stp>
        <stp>-2FY</stp>
        <stp>EQY_FUND_CRNCY</stp>
        <stp>USD</stp>
        <stp>EQY_CONSOLIDATED</stp>
        <stp>Y</stp>
        <stp>Fill=B</stp>
        <tr r="O136" s="8"/>
      </tp>
      <tp>
        <v>360.28676470588238</v>
        <stp/>
        <stp>##V3_BDPV12</stp>
        <stp>AAPL US EQUITY</stp>
        <stp>INTEREST_COVERAGE_RATIO</stp>
        <stp>[XIDA.xlsm]Financials!R136C16</stp>
        <stp>EQY_FUND_RELATIVE_PERIOD</stp>
        <stp>-1FY</stp>
        <stp>EQY_FUND_CRNCY</stp>
        <stp>USD</stp>
        <stp>EQY_CONSOLIDATED</stp>
        <stp>Y</stp>
        <stp>Fill=B</stp>
        <tr r="P136" s="8"/>
      </tp>
      <tp>
        <v>136.7265625</v>
        <stp/>
        <stp>##V3_BDPV12</stp>
        <stp>AAPL US EQUITY</stp>
        <stp>INTEREST_COVERAGE_RATIO</stp>
        <stp>[XIDA.xlsm]Financials!R136C17</stp>
        <stp>EQY_FUND_RELATIVE_PERIOD</stp>
        <stp>-0FY</stp>
        <stp>EQY_FUND_CRNCY</stp>
        <stp>USD</stp>
        <stp>EQY_CONSOLIDATED</stp>
        <stp>Y</stp>
        <stp>Fill=B</stp>
        <tr r="Q136" s="8"/>
      </tp>
      <tp>
        <v>0</v>
        <stp/>
        <stp>##V3_BDPV12</stp>
        <stp>AAPL US EQUITY</stp>
        <stp>IS_DIV_PER_SHR</stp>
        <stp>[XIDA.xlsm]Financials!R37C10</stp>
        <stp>EQY_FUND_RELATIVE_PERIOD</stp>
        <stp>-7FY</stp>
        <stp>EQY_FUND_CRNCY</stp>
        <stp>USD</stp>
        <stp>EQY_CONSOLIDATED</stp>
        <stp>Y</stp>
        <stp>Fill=B</stp>
        <tr r="J37" s="8"/>
      </tp>
      <tp>
        <v>0</v>
        <stp/>
        <stp>##V3_BDPV12</stp>
        <stp>AAPL US EQUITY</stp>
        <stp>IS_DIV_PER_SHR</stp>
        <stp>[XIDA.xlsm]Financials!R37C11</stp>
        <stp>EQY_FUND_RELATIVE_PERIOD</stp>
        <stp>-6FY</stp>
        <stp>EQY_FUND_CRNCY</stp>
        <stp>USD</stp>
        <stp>EQY_CONSOLIDATED</stp>
        <stp>Y</stp>
        <stp>Fill=B</stp>
        <tr r="K37" s="8"/>
      </tp>
      <tp>
        <v>0</v>
        <stp/>
        <stp>##V3_BDPV12</stp>
        <stp>AAPL US EQUITY</stp>
        <stp>IS_DIV_PER_SHR</stp>
        <stp>[XIDA.xlsm]Financials!R37C12</stp>
        <stp>EQY_FUND_RELATIVE_PERIOD</stp>
        <stp>-5FY</stp>
        <stp>EQY_FUND_CRNCY</stp>
        <stp>USD</stp>
        <stp>EQY_CONSOLIDATED</stp>
        <stp>Y</stp>
        <stp>Fill=B</stp>
        <tr r="L37" s="8"/>
      </tp>
      <tp>
        <v>0</v>
        <stp/>
        <stp>##V3_BDPV12</stp>
        <stp>AAPL US EQUITY</stp>
        <stp>IS_DIV_PER_SHR</stp>
        <stp>[XIDA.xlsm]Financials!R37C13</stp>
        <stp>EQY_FUND_RELATIVE_PERIOD</stp>
        <stp>-4FY</stp>
        <stp>EQY_FUND_CRNCY</stp>
        <stp>USD</stp>
        <stp>EQY_CONSOLIDATED</stp>
        <stp>Y</stp>
        <stp>Fill=B</stp>
        <tr r="M37" s="8"/>
      </tp>
      <tp>
        <v>0</v>
        <stp/>
        <stp>##V3_BDPV12</stp>
        <stp>AAPL US EQUITY</stp>
        <stp>IS_DIV_PER_SHR</stp>
        <stp>[XIDA.xlsm]Financials!R37C14</stp>
        <stp>EQY_FUND_RELATIVE_PERIOD</stp>
        <stp>-3FY</stp>
        <stp>EQY_FUND_CRNCY</stp>
        <stp>USD</stp>
        <stp>EQY_CONSOLIDATED</stp>
        <stp>Y</stp>
        <stp>Fill=B</stp>
        <tr r="N37" s="8"/>
      </tp>
      <tp>
        <v>0.37857142857142856</v>
        <stp/>
        <stp>##V3_BDPV12</stp>
        <stp>AAPL US EQUITY</stp>
        <stp>IS_DIV_PER_SHR</stp>
        <stp>[XIDA.xlsm]Financials!R37C15</stp>
        <stp>EQY_FUND_RELATIVE_PERIOD</stp>
        <stp>-2FY</stp>
        <stp>EQY_FUND_CRNCY</stp>
        <stp>USD</stp>
        <stp>EQY_CONSOLIDATED</stp>
        <stp>Y</stp>
        <stp>Fill=B</stp>
        <tr r="O37" s="8"/>
      </tp>
      <tp>
        <v>1.6285714285714286</v>
        <stp/>
        <stp>##V3_BDPV12</stp>
        <stp>AAPL US EQUITY</stp>
        <stp>IS_DIV_PER_SHR</stp>
        <stp>[XIDA.xlsm]Financials!R37C16</stp>
        <stp>EQY_FUND_RELATIVE_PERIOD</stp>
        <stp>-1FY</stp>
        <stp>EQY_FUND_CRNCY</stp>
        <stp>USD</stp>
        <stp>EQY_CONSOLIDATED</stp>
        <stp>Y</stp>
        <stp>Fill=B</stp>
        <tr r="P37" s="8"/>
      </tp>
      <tp>
        <v>1.82</v>
        <stp/>
        <stp>##V3_BDPV12</stp>
        <stp>AAPL US EQUITY</stp>
        <stp>IS_DIV_PER_SHR</stp>
        <stp>[XIDA.xlsm]Financials!R37C17</stp>
        <stp>EQY_FUND_RELATIVE_PERIOD</stp>
        <stp>-0FY</stp>
        <stp>EQY_FUND_CRNCY</stp>
        <stp>USD</stp>
        <stp>EQY_CONSOLIDATED</stp>
        <stp>Y</stp>
        <stp>Fill=B</stp>
        <tr r="Q37" s="8"/>
      </tp>
      <tp>
        <v>0</v>
        <stp/>
        <stp>##V3_BDPV12</stp>
        <stp>AAPL US EQUITY</stp>
        <stp>IS_INT_EXPENSE</stp>
        <stp>[XIDA.xlsm]Financials!R22C10</stp>
        <stp>EQY_FUND_RELATIVE_PERIOD</stp>
        <stp>-7FY</stp>
        <stp>EQY_FUND_CRNCY</stp>
        <stp>USD</stp>
        <stp>EQY_CONSOLIDATED</stp>
        <stp>Y</stp>
        <stp>Fill=B</stp>
        <tr r="J22" s="8"/>
      </tp>
      <tp>
        <v>0</v>
        <stp/>
        <stp>##V3_BDPV12</stp>
        <stp>AAPL US EQUITY</stp>
        <stp>IS_INT_EXPENSE</stp>
        <stp>[XIDA.xlsm]Financials!R22C11</stp>
        <stp>EQY_FUND_RELATIVE_PERIOD</stp>
        <stp>-6FY</stp>
        <stp>EQY_FUND_CRNCY</stp>
        <stp>USD</stp>
        <stp>EQY_CONSOLIDATED</stp>
        <stp>Y</stp>
        <stp>Fill=B</stp>
        <tr r="K22" s="8"/>
      </tp>
      <tp>
        <v>0</v>
        <stp/>
        <stp>##V3_BDPV12</stp>
        <stp>AAPL US EQUITY</stp>
        <stp>IS_INT_EXPENSE</stp>
        <stp>[XIDA.xlsm]Financials!R22C12</stp>
        <stp>EQY_FUND_RELATIVE_PERIOD</stp>
        <stp>-5FY</stp>
        <stp>EQY_FUND_CRNCY</stp>
        <stp>USD</stp>
        <stp>EQY_CONSOLIDATED</stp>
        <stp>Y</stp>
        <stp>Fill=B</stp>
        <tr r="L22" s="8"/>
      </tp>
      <tp>
        <v>0</v>
        <stp/>
        <stp>##V3_BDPV12</stp>
        <stp>AAPL US EQUITY</stp>
        <stp>IS_INT_EXPENSE</stp>
        <stp>[XIDA.xlsm]Financials!R22C13</stp>
        <stp>EQY_FUND_RELATIVE_PERIOD</stp>
        <stp>-4FY</stp>
        <stp>EQY_FUND_CRNCY</stp>
        <stp>USD</stp>
        <stp>EQY_CONSOLIDATED</stp>
        <stp>Y</stp>
        <stp>Fill=B</stp>
        <tr r="M22" s="8"/>
      </tp>
      <tp>
        <v>0</v>
        <stp/>
        <stp>##V3_BDPV12</stp>
        <stp>AAPL US EQUITY</stp>
        <stp>IS_INT_EXPENSE</stp>
        <stp>[XIDA.xlsm]Financials!R22C14</stp>
        <stp>EQY_FUND_RELATIVE_PERIOD</stp>
        <stp>-3FY</stp>
        <stp>EQY_FUND_CRNCY</stp>
        <stp>USD</stp>
        <stp>EQY_CONSOLIDATED</stp>
        <stp>Y</stp>
        <stp>Fill=B</stp>
        <tr r="N22" s="8"/>
      </tp>
      <tp>
        <v>0</v>
        <stp/>
        <stp>##V3_BDPV12</stp>
        <stp>AAPL US EQUITY</stp>
        <stp>IS_INT_EXPENSE</stp>
        <stp>[XIDA.xlsm]Financials!R22C15</stp>
        <stp>EQY_FUND_RELATIVE_PERIOD</stp>
        <stp>-2FY</stp>
        <stp>EQY_FUND_CRNCY</stp>
        <stp>USD</stp>
        <stp>EQY_CONSOLIDATED</stp>
        <stp>Y</stp>
        <stp>Fill=B</stp>
        <tr r="O22" s="8"/>
      </tp>
      <tp>
        <v>136</v>
        <stp/>
        <stp>##V3_BDPV12</stp>
        <stp>AAPL US EQUITY</stp>
        <stp>IS_INT_EXPENSE</stp>
        <stp>[XIDA.xlsm]Financials!R22C16</stp>
        <stp>EQY_FUND_RELATIVE_PERIOD</stp>
        <stp>-1FY</stp>
        <stp>EQY_FUND_CRNCY</stp>
        <stp>USD</stp>
        <stp>EQY_CONSOLIDATED</stp>
        <stp>Y</stp>
        <stp>Fill=B</stp>
        <tr r="P22" s="8"/>
      </tp>
      <tp>
        <v>384</v>
        <stp/>
        <stp>##V3_BDPV12</stp>
        <stp>AAPL US EQUITY</stp>
        <stp>IS_INT_EXPENSE</stp>
        <stp>[XIDA.xlsm]Financials!R22C17</stp>
        <stp>EQY_FUND_RELATIVE_PERIOD</stp>
        <stp>-0FY</stp>
        <stp>EQY_FUND_CRNCY</stp>
        <stp>USD</stp>
        <stp>EQY_CONSOLIDATED</stp>
        <stp>Y</stp>
        <stp>Fill=B</stp>
        <tr r="Q22" s="8"/>
      </tp>
      <tp>
        <v>67437.573000000004</v>
        <stp/>
        <stp>##V3_BDPV12</stp>
        <stp>AAPL US EQUITY</stp>
        <stp>BEST_CALCULATED_FCF</stp>
        <stp>[XIDA.xlsm]Financials!R109C19</stp>
        <stp>BEST_FPERIOD_OVERRIDE</stp>
        <stp>2FY</stp>
        <stp>EQY_FUND_CRNCY</stp>
        <stp>USD</stp>
        <stp>BEST_CONSOLIDATED_OVERRIDE</stp>
        <stp>C</stp>
        <stp>Fill=B</stp>
        <tr r="S109" s="8"/>
      </tp>
      <tp>
        <v>74033.959000000003</v>
        <stp/>
        <stp>##V3_BDPV12</stp>
        <stp>AAPL US EQUITY</stp>
        <stp>BEST_CALCULATED_FCF</stp>
        <stp>[XIDA.xlsm]Financials!R109C18</stp>
        <stp>BEST_FPERIOD_OVERRIDE</stp>
        <stp>1FY</stp>
        <stp>EQY_FUND_CRNCY</stp>
        <stp>USD</stp>
        <stp>BEST_CONSOLIDATED_OVERRIDE</stp>
        <stp>C</stp>
        <stp>Fill=B</stp>
        <tr r="R109" s="8"/>
      </tp>
      <tp t="s">
        <v>#N/A Requesting Data...</v>
        <stp/>
        <stp>##V3_BDSV12</stp>
        <stp>AAPL US EQUITY</stp>
        <stp>BEST_EBITDA_BRK_GRID</stp>
        <stp>[XIDA.xlsm]DataH!R8C67</stp>
        <stp>BEST_FPERIOD_OVERRIDE</stp>
        <stp>1FQ</stp>
        <stp>STARTCOL=4</stp>
        <stp>ENDCOL=4</stp>
        <stp>EQY_FUND_CRNCY</stp>
        <stp>USD</stp>
        <stp>BEST_CONSOLIDATED_OVERRIDE</stp>
        <stp>C</stp>
        <tr r="BO8" s="16"/>
      </tp>
      <tp>
        <v>601</v>
        <stp/>
        <stp>##V3_BDPV12</stp>
        <stp>AAPL US EQUITY</stp>
        <stp>NON_CUR_LIAB</stp>
        <stp>[XIDA.xlsm]Financials!R67C8</stp>
        <stp>EQY_FUND_RELATIVE_PERIOD</stp>
        <stp>-9FY</stp>
        <stp>EQY_FUND_CRNCY</stp>
        <stp>USD</stp>
        <stp>EQY_CONSOLIDATED</stp>
        <stp>Y</stp>
        <stp>Fill=B</stp>
        <tr r="H67" s="8"/>
      </tp>
      <tp>
        <v>750</v>
        <stp/>
        <stp>##V3_BDPV12</stp>
        <stp>AAPL US EQUITY</stp>
        <stp>NON_CUR_LIAB</stp>
        <stp>[XIDA.xlsm]Financials!R67C9</stp>
        <stp>EQY_FUND_RELATIVE_PERIOD</stp>
        <stp>-8FY</stp>
        <stp>EQY_FUND_CRNCY</stp>
        <stp>USD</stp>
        <stp>EQY_CONSOLIDATED</stp>
        <stp>Y</stp>
        <stp>Fill=B</stp>
        <tr r="I67" s="8"/>
      </tp>
      <tp>
        <v>42006</v>
        <stp/>
        <stp>##V3_BDHV12</stp>
        <stp>AAPL US EQUITY</stp>
        <stp>PX_LAST</stp>
        <stp>1/1/2015</stp>
        <stp>4/13/2015</stp>
        <stp>[XIDA.xlsm]ControlsH!R21C10</stp>
        <stp>FX=USD</stp>
        <stp>CDR=US</stp>
        <stp/>
        <stp>Per=CD</stp>
        <stp>cols=2;rows=69</stp>
        <tr r="J21" s="2"/>
      </tp>
      <tp>
        <v>71405.573000000004</v>
        <stp/>
        <stp>##V3_BDPV12</stp>
        <stp>AAPL US EQUITY</stp>
        <stp>BEST_CALCULATED_FCF</stp>
        <stp>[XIDA.xlsm]Financials!R109C20</stp>
        <stp>BEST_FPERIOD_OVERRIDE</stp>
        <stp>3FY</stp>
        <stp>EQY_FUND_CRNCY</stp>
        <stp>USD</stp>
        <stp>BEST_CONSOLIDATED_OVERRIDE</stp>
        <stp>C</stp>
        <stp>Fill=B</stp>
        <tr r="T109" s="8"/>
      </tp>
      <tp t="s">
        <v>#N/A Requesting Data...</v>
        <stp/>
        <stp>##V3_BDSV12</stp>
        <stp>AAPL US EQUITY</stp>
        <stp>BEST_EBITDA_BRK_GRID</stp>
        <stp>[XIDA.xlsm]DataH!R8C66</stp>
        <stp>BEST_FPERIOD_OVERRIDE</stp>
        <stp>1FQ</stp>
        <stp>STARTCOL=1</stp>
        <stp>ENDCOL=1</stp>
        <stp>EQY_FUND_CRNCY</stp>
        <stp>USD</stp>
        <stp>BEST_CONSOLIDATED_OVERRIDE</stp>
        <stp>C</stp>
        <tr r="BN8" s="16"/>
      </tp>
      <tp>
        <v>5422.3539999999985</v>
        <stp/>
        <stp>##V3_BDPV12</stp>
        <stp>AAPL US EQUITY</stp>
        <stp>IS_SH_FOR_DILUTED_EPS</stp>
        <stp>[XIDA.xlsm]Financials!R41C7</stp>
        <stp>EQY_FUND_RELATIVE_PERIOD</stp>
        <stp>-10FY</stp>
        <stp>EQY_FUND_CRNCY</stp>
        <stp>USD</stp>
        <stp>EQY_CONSOLIDATED</stp>
        <stp>Y</stp>
        <stp>Fill=B</stp>
        <tr r="G41" s="8"/>
      </tp>
      <tp>
        <v>1.4214580888730166</v>
        <stp/>
        <stp>##V3_BDPV12</stp>
        <stp>AAPL US EQUITY</stp>
        <stp>ASSET_TURNOVER</stp>
        <stp>[XIDA.xlsm]Financials!R141C8</stp>
        <stp>EQY_FUND_RELATIVE_PERIOD</stp>
        <stp>-9FY</stp>
        <stp>EQY_FUND_CRNCY</stp>
        <stp>USD</stp>
        <stp>EQY_CONSOLIDATED</stp>
        <stp>Y</stp>
        <stp>Fill=B</stp>
        <tr r="H141" s="8"/>
      </tp>
      <tp>
        <v>1.3433718180553624</v>
        <stp/>
        <stp>##V3_BDPV12</stp>
        <stp>AAPL US EQUITY</stp>
        <stp>ASSET_TURNOVER</stp>
        <stp>[XIDA.xlsm]Financials!R141C9</stp>
        <stp>EQY_FUND_RELATIVE_PERIOD</stp>
        <stp>-8FY</stp>
        <stp>EQY_FUND_CRNCY</stp>
        <stp>USD</stp>
        <stp>EQY_CONSOLIDATED</stp>
        <stp>Y</stp>
        <stp>Fill=B</stp>
        <tr r="I141" s="8"/>
      </tp>
      <tp t="s">
        <v>9/30/2005</v>
        <stp/>
        <stp>##V3_BDPV12</stp>
        <stp>AAPL US EQUITY</stp>
        <stp>BEST_PERIOD_END_DATE</stp>
        <stp>[XIDA.xlsm]Financials!R11C8</stp>
        <stp>BEST_FPERIOD_OVERRIDE</stp>
        <stp>-9FY</stp>
        <tr r="H11" s="8"/>
        <tr r="H11" s="8"/>
      </tp>
      <tp t="s">
        <v>CISCO SYSTEMS INC</v>
        <stp/>
        <stp>##V3_BDPV12</stp>
        <stp>CSCO US EQUITY</stp>
        <stp>NAME</stp>
        <stp>[XIDA.xlsm]Indices!R6C37</stp>
        <tr r="AK6" s="5"/>
      </tp>
      <tp>
        <v>0.78647847425011963</v>
        <stp/>
        <stp>##V3_BDPV12</stp>
        <stp>005930 KS EQUITY</stp>
        <stp>BEST_PX_SALES_RATIO</stp>
        <stp>[XIDA.xlsm]DataH!R23C11</stp>
        <stp>BEST_FPERIOD_OVERRIDE</stp>
        <stp>14BC</stp>
        <stp>EQY_CONSOLIDATED</stp>
        <stp>Y</stp>
        <tr r="K23" s="16"/>
      </tp>
      <tp t="s">
        <v>9/30/2006</v>
        <stp/>
        <stp>##V3_BDPV12</stp>
        <stp>AAPL US EQUITY</stp>
        <stp>BEST_PERIOD_END_DATE</stp>
        <stp>[XIDA.xlsm]Financials!R11C9</stp>
        <stp>BEST_FPERIOD_OVERRIDE</stp>
        <stp>-8FY</stp>
        <tr r="I11" s="8"/>
        <tr r="I11" s="8"/>
      </tp>
      <tp>
        <v>327</v>
        <stp/>
        <stp>##V3_BDPV12</stp>
        <stp>AAPL US EQUITY</stp>
        <stp>CF_DEPR_AMORT</stp>
        <stp>[XIDA.xlsm]Financials!R86C10</stp>
        <stp>EQY_FUND_RELATIVE_PERIOD</stp>
        <stp>-7FY</stp>
        <stp>EQY_FUND_CRNCY</stp>
        <stp>USD</stp>
        <stp>EQY_CONSOLIDATED</stp>
        <stp>Y</stp>
        <stp>Fill=B</stp>
        <tr r="J86" s="8"/>
      </tp>
      <tp>
        <v>496</v>
        <stp/>
        <stp>##V3_BDPV12</stp>
        <stp>AAPL US EQUITY</stp>
        <stp>CF_DEPR_AMORT</stp>
        <stp>[XIDA.xlsm]Financials!R86C11</stp>
        <stp>EQY_FUND_RELATIVE_PERIOD</stp>
        <stp>-6FY</stp>
        <stp>EQY_FUND_CRNCY</stp>
        <stp>USD</stp>
        <stp>EQY_CONSOLIDATED</stp>
        <stp>Y</stp>
        <stp>Fill=B</stp>
        <tr r="K86" s="8"/>
      </tp>
      <tp>
        <v>734</v>
        <stp/>
        <stp>##V3_BDPV12</stp>
        <stp>AAPL US EQUITY</stp>
        <stp>CF_DEPR_AMORT</stp>
        <stp>[XIDA.xlsm]Financials!R86C12</stp>
        <stp>EQY_FUND_RELATIVE_PERIOD</stp>
        <stp>-5FY</stp>
        <stp>EQY_FUND_CRNCY</stp>
        <stp>USD</stp>
        <stp>EQY_CONSOLIDATED</stp>
        <stp>Y</stp>
        <stp>Fill=B</stp>
        <tr r="L86" s="8"/>
      </tp>
      <tp>
        <v>1027</v>
        <stp/>
        <stp>##V3_BDPV12</stp>
        <stp>AAPL US EQUITY</stp>
        <stp>CF_DEPR_AMORT</stp>
        <stp>[XIDA.xlsm]Financials!R86C13</stp>
        <stp>EQY_FUND_RELATIVE_PERIOD</stp>
        <stp>-4FY</stp>
        <stp>EQY_FUND_CRNCY</stp>
        <stp>USD</stp>
        <stp>EQY_CONSOLIDATED</stp>
        <stp>Y</stp>
        <stp>Fill=B</stp>
        <tr r="M86" s="8"/>
      </tp>
      <tp>
        <v>1814</v>
        <stp/>
        <stp>##V3_BDPV12</stp>
        <stp>AAPL US EQUITY</stp>
        <stp>CF_DEPR_AMORT</stp>
        <stp>[XIDA.xlsm]Financials!R86C14</stp>
        <stp>EQY_FUND_RELATIVE_PERIOD</stp>
        <stp>-3FY</stp>
        <stp>EQY_FUND_CRNCY</stp>
        <stp>USD</stp>
        <stp>EQY_CONSOLIDATED</stp>
        <stp>Y</stp>
        <stp>Fill=B</stp>
        <tr r="N86" s="8"/>
      </tp>
      <tp>
        <v>3277</v>
        <stp/>
        <stp>##V3_BDPV12</stp>
        <stp>AAPL US EQUITY</stp>
        <stp>CF_DEPR_AMORT</stp>
        <stp>[XIDA.xlsm]Financials!R86C15</stp>
        <stp>EQY_FUND_RELATIVE_PERIOD</stp>
        <stp>-2FY</stp>
        <stp>EQY_FUND_CRNCY</stp>
        <stp>USD</stp>
        <stp>EQY_CONSOLIDATED</stp>
        <stp>Y</stp>
        <stp>Fill=B</stp>
        <tr r="O86" s="8"/>
      </tp>
      <tp>
        <v>6757</v>
        <stp/>
        <stp>##V3_BDPV12</stp>
        <stp>AAPL US EQUITY</stp>
        <stp>CF_DEPR_AMORT</stp>
        <stp>[XIDA.xlsm]Financials!R86C16</stp>
        <stp>EQY_FUND_RELATIVE_PERIOD</stp>
        <stp>-1FY</stp>
        <stp>EQY_FUND_CRNCY</stp>
        <stp>USD</stp>
        <stp>EQY_CONSOLIDATED</stp>
        <stp>Y</stp>
        <stp>Fill=B</stp>
        <tr r="P86" s="8"/>
      </tp>
      <tp>
        <v>7946</v>
        <stp/>
        <stp>##V3_BDPV12</stp>
        <stp>AAPL US EQUITY</stp>
        <stp>CF_DEPR_AMORT</stp>
        <stp>[XIDA.xlsm]Financials!R86C17</stp>
        <stp>EQY_FUND_RELATIVE_PERIOD</stp>
        <stp>-0FY</stp>
        <stp>EQY_FUND_CRNCY</stp>
        <stp>USD</stp>
        <stp>EQY_CONSOLIDATED</stp>
        <stp>Y</stp>
        <stp>Fill=B</stp>
        <tr r="Q86" s="8"/>
      </tp>
      <tp t="s">
        <v>LG ELECTRONICS INC</v>
        <stp/>
        <stp>##V3_BDPV12</stp>
        <stp>066570 KS EQUITY</stp>
        <stp>NAME</stp>
        <stp>[XIDA.xlsm]Peers!R21C5</stp>
        <tr r="E21" s="4"/>
      </tp>
      <tp>
        <v>0.70999286418439711</v>
        <stp/>
        <stp>##V3_BDPV12</stp>
        <stp>005930 KS EQUITY</stp>
        <stp>BEST_PX_SALES_RATIO</stp>
        <stp>[XIDA.xlsm]DataH!R23C10</stp>
        <stp>BEST_FPERIOD_OVERRIDE</stp>
        <stp>13BC</stp>
        <stp>EQY_CONSOLIDATED</stp>
        <stp>Y</stp>
        <tr r="J23" s="16"/>
      </tp>
      <tp>
        <v>42240</v>
        <stp/>
        <stp>##V3_BTODAY</stp>
        <stp>[XIDA.xlsm]Peers!R7C13</stp>
        <tr r="M7" s="4"/>
      </tp>
      <tp>
        <v>5997.46</v>
        <stp/>
        <stp>##V3_BDPV12</stp>
        <stp>AAPL US EQUITY</stp>
        <stp>IS_SH_FOR_DILUTED_EPS</stp>
        <stp>[XIDA.xlsm]Financials!R41C8</stp>
        <stp>EQY_FUND_RELATIVE_PERIOD</stp>
        <stp>-9FY</stp>
        <stp>EQY_FUND_CRNCY</stp>
        <stp>USD</stp>
        <stp>EQY_CONSOLIDATED</stp>
        <stp>Y</stp>
        <stp>Fill=B</stp>
        <tr r="H41" s="8"/>
      </tp>
      <tp>
        <v>6142.6819999999998</v>
        <stp/>
        <stp>##V3_BDPV12</stp>
        <stp>AAPL US EQUITY</stp>
        <stp>IS_SH_FOR_DILUTED_EPS</stp>
        <stp>[XIDA.xlsm]Financials!R41C9</stp>
        <stp>EQY_FUND_RELATIVE_PERIOD</stp>
        <stp>-8FY</stp>
        <stp>EQY_FUND_CRNCY</stp>
        <stp>USD</stp>
        <stp>EQY_CONSOLIDATED</stp>
        <stp>Y</stp>
        <stp>Fill=B</stp>
        <tr r="I41" s="8"/>
      </tp>
      <tp>
        <v>1009</v>
        <stp/>
        <stp>##V3_BDPV12</stp>
        <stp>AAPL US EQUITY</stp>
        <stp>BS_ACCUM_DEPR</stp>
        <stp>[XIDA.xlsm]Financials!R58C10</stp>
        <stp>EQY_FUND_RELATIVE_PERIOD</stp>
        <stp>-7FY</stp>
        <stp>EQY_FUND_CRNCY</stp>
        <stp>USD</stp>
        <stp>EQY_CONSOLIDATED</stp>
        <stp>Y</stp>
        <stp>Fill=B</stp>
        <tr r="J58" s="8"/>
      </tp>
      <tp>
        <v>1292</v>
        <stp/>
        <stp>##V3_BDPV12</stp>
        <stp>AAPL US EQUITY</stp>
        <stp>BS_ACCUM_DEPR</stp>
        <stp>[XIDA.xlsm]Financials!R58C11</stp>
        <stp>EQY_FUND_RELATIVE_PERIOD</stp>
        <stp>-6FY</stp>
        <stp>EQY_FUND_CRNCY</stp>
        <stp>USD</stp>
        <stp>EQY_CONSOLIDATED</stp>
        <stp>Y</stp>
        <stp>Fill=B</stp>
        <tr r="K58" s="8"/>
      </tp>
      <tp>
        <v>1713</v>
        <stp/>
        <stp>##V3_BDPV12</stp>
        <stp>AAPL US EQUITY</stp>
        <stp>BS_ACCUM_DEPR</stp>
        <stp>[XIDA.xlsm]Financials!R58C12</stp>
        <stp>EQY_FUND_RELATIVE_PERIOD</stp>
        <stp>-5FY</stp>
        <stp>EQY_FUND_CRNCY</stp>
        <stp>USD</stp>
        <stp>EQY_CONSOLIDATED</stp>
        <stp>Y</stp>
        <stp>Fill=B</stp>
        <tr r="L58" s="8"/>
      </tp>
      <tp>
        <v>2466</v>
        <stp/>
        <stp>##V3_BDPV12</stp>
        <stp>AAPL US EQUITY</stp>
        <stp>BS_ACCUM_DEPR</stp>
        <stp>[XIDA.xlsm]Financials!R58C13</stp>
        <stp>EQY_FUND_RELATIVE_PERIOD</stp>
        <stp>-4FY</stp>
        <stp>EQY_FUND_CRNCY</stp>
        <stp>USD</stp>
        <stp>EQY_CONSOLIDATED</stp>
        <stp>Y</stp>
        <stp>Fill=B</stp>
        <tr r="M58" s="8"/>
      </tp>
      <tp>
        <v>3991</v>
        <stp/>
        <stp>##V3_BDPV12</stp>
        <stp>AAPL US EQUITY</stp>
        <stp>BS_ACCUM_DEPR</stp>
        <stp>[XIDA.xlsm]Financials!R58C14</stp>
        <stp>EQY_FUND_RELATIVE_PERIOD</stp>
        <stp>-3FY</stp>
        <stp>EQY_FUND_CRNCY</stp>
        <stp>USD</stp>
        <stp>EQY_CONSOLIDATED</stp>
        <stp>Y</stp>
        <stp>Fill=B</stp>
        <tr r="N58" s="8"/>
      </tp>
      <tp>
        <v>6435</v>
        <stp/>
        <stp>##V3_BDPV12</stp>
        <stp>AAPL US EQUITY</stp>
        <stp>BS_ACCUM_DEPR</stp>
        <stp>[XIDA.xlsm]Financials!R58C15</stp>
        <stp>EQY_FUND_RELATIVE_PERIOD</stp>
        <stp>-2FY</stp>
        <stp>EQY_FUND_CRNCY</stp>
        <stp>USD</stp>
        <stp>EQY_CONSOLIDATED</stp>
        <stp>Y</stp>
        <stp>Fill=B</stp>
        <tr r="O58" s="8"/>
      </tp>
      <tp>
        <v>11922</v>
        <stp/>
        <stp>##V3_BDPV12</stp>
        <stp>AAPL US EQUITY</stp>
        <stp>BS_ACCUM_DEPR</stp>
        <stp>[XIDA.xlsm]Financials!R58C16</stp>
        <stp>EQY_FUND_RELATIVE_PERIOD</stp>
        <stp>-1FY</stp>
        <stp>EQY_FUND_CRNCY</stp>
        <stp>USD</stp>
        <stp>EQY_CONSOLIDATED</stp>
        <stp>Y</stp>
        <stp>Fill=B</stp>
        <tr r="P58" s="8"/>
      </tp>
      <tp>
        <v>18391</v>
        <stp/>
        <stp>##V3_BDPV12</stp>
        <stp>AAPL US EQUITY</stp>
        <stp>BS_ACCUM_DEPR</stp>
        <stp>[XIDA.xlsm]Financials!R58C17</stp>
        <stp>EQY_FUND_RELATIVE_PERIOD</stp>
        <stp>-0FY</stp>
        <stp>EQY_FUND_CRNCY</stp>
        <stp>USD</stp>
        <stp>EQY_CONSOLIDATED</stp>
        <stp>Y</stp>
        <stp>Fill=B</stp>
        <tr r="Q58" s="8"/>
      </tp>
      <tp>
        <v>9163</v>
        <stp/>
        <stp>##V3_BDPV12</stp>
        <stp>AAPL US EQUITY</stp>
        <stp>BS_RETAIN_EARN</stp>
        <stp>[XIDA.xlsm]Financials!R75C10</stp>
        <stp>EQY_FUND_RELATIVE_PERIOD</stp>
        <stp>-7FY</stp>
        <stp>EQY_FUND_CRNCY</stp>
        <stp>USD</stp>
        <stp>EQY_CONSOLIDATED</stp>
        <stp>Y</stp>
        <stp>Fill=B</stp>
        <tr r="J75" s="8"/>
      </tp>
      <tp>
        <v>15120</v>
        <stp/>
        <stp>##V3_BDPV12</stp>
        <stp>AAPL US EQUITY</stp>
        <stp>BS_RETAIN_EARN</stp>
        <stp>[XIDA.xlsm]Financials!R75C11</stp>
        <stp>EQY_FUND_RELATIVE_PERIOD</stp>
        <stp>-6FY</stp>
        <stp>EQY_FUND_CRNCY</stp>
        <stp>USD</stp>
        <stp>EQY_CONSOLIDATED</stp>
        <stp>Y</stp>
        <stp>Fill=B</stp>
        <tr r="K75" s="8"/>
      </tp>
      <tp>
        <v>23430</v>
        <stp/>
        <stp>##V3_BDPV12</stp>
        <stp>AAPL US EQUITY</stp>
        <stp>BS_RETAIN_EARN</stp>
        <stp>[XIDA.xlsm]Financials!R75C12</stp>
        <stp>EQY_FUND_RELATIVE_PERIOD</stp>
        <stp>-5FY</stp>
        <stp>EQY_FUND_CRNCY</stp>
        <stp>USD</stp>
        <stp>EQY_CONSOLIDATED</stp>
        <stp>Y</stp>
        <stp>Fill=B</stp>
        <tr r="L75" s="8"/>
      </tp>
      <tp>
        <v>37123</v>
        <stp/>
        <stp>##V3_BDPV12</stp>
        <stp>AAPL US EQUITY</stp>
        <stp>BS_RETAIN_EARN</stp>
        <stp>[XIDA.xlsm]Financials!R75C13</stp>
        <stp>EQY_FUND_RELATIVE_PERIOD</stp>
        <stp>-4FY</stp>
        <stp>EQY_FUND_CRNCY</stp>
        <stp>USD</stp>
        <stp>EQY_CONSOLIDATED</stp>
        <stp>Y</stp>
        <stp>Fill=B</stp>
        <tr r="M75" s="8"/>
      </tp>
      <tp>
        <v>63284</v>
        <stp/>
        <stp>##V3_BDPV12</stp>
        <stp>AAPL US EQUITY</stp>
        <stp>BS_RETAIN_EARN</stp>
        <stp>[XIDA.xlsm]Financials!R75C14</stp>
        <stp>EQY_FUND_RELATIVE_PERIOD</stp>
        <stp>-3FY</stp>
        <stp>EQY_FUND_CRNCY</stp>
        <stp>USD</stp>
        <stp>EQY_CONSOLIDATED</stp>
        <stp>Y</stp>
        <stp>Fill=B</stp>
        <tr r="N75" s="8"/>
      </tp>
      <tp>
        <v>101788</v>
        <stp/>
        <stp>##V3_BDPV12</stp>
        <stp>AAPL US EQUITY</stp>
        <stp>BS_RETAIN_EARN</stp>
        <stp>[XIDA.xlsm]Financials!R75C15</stp>
        <stp>EQY_FUND_RELATIVE_PERIOD</stp>
        <stp>-2FY</stp>
        <stp>EQY_FUND_CRNCY</stp>
        <stp>USD</stp>
        <stp>EQY_CONSOLIDATED</stp>
        <stp>Y</stp>
        <stp>Fill=B</stp>
        <tr r="O75" s="8"/>
      </tp>
      <tp>
        <v>103785</v>
        <stp/>
        <stp>##V3_BDPV12</stp>
        <stp>AAPL US EQUITY</stp>
        <stp>BS_RETAIN_EARN</stp>
        <stp>[XIDA.xlsm]Financials!R75C16</stp>
        <stp>EQY_FUND_RELATIVE_PERIOD</stp>
        <stp>-1FY</stp>
        <stp>EQY_FUND_CRNCY</stp>
        <stp>USD</stp>
        <stp>EQY_CONSOLIDATED</stp>
        <stp>Y</stp>
        <stp>Fill=B</stp>
        <tr r="P75" s="8"/>
      </tp>
      <tp>
        <v>88234</v>
        <stp/>
        <stp>##V3_BDPV12</stp>
        <stp>AAPL US EQUITY</stp>
        <stp>BS_RETAIN_EARN</stp>
        <stp>[XIDA.xlsm]Financials!R75C17</stp>
        <stp>EQY_FUND_RELATIVE_PERIOD</stp>
        <stp>-0FY</stp>
        <stp>EQY_FUND_CRNCY</stp>
        <stp>USD</stp>
        <stp>EQY_CONSOLIDATED</stp>
        <stp>Y</stp>
        <stp>Fill=B</stp>
        <tr r="Q75" s="8"/>
      </tp>
      <tp>
        <v>0.77549402406081114</v>
        <stp/>
        <stp>##V3_BDPV12</stp>
        <stp>005930 KS EQUITY</stp>
        <stp>BEST_PX_SALES_RATIO</stp>
        <stp>[XIDA.xlsm]DataH!R23C13</stp>
        <stp>BEST_FPERIOD_OVERRIDE</stp>
        <stp>16BC</stp>
        <stp>EQY_CONSOLIDATED</stp>
        <stp>Y</stp>
        <tr r="M23" s="16"/>
      </tp>
      <tp>
        <v>1511</v>
        <stp/>
        <stp>##V3_BDPV12</stp>
        <stp>AAPL US EQUITY</stp>
        <stp>IS_INC_TAX_EXP</stp>
        <stp>[XIDA.xlsm]Financials!R27C10</stp>
        <stp>EQY_FUND_RELATIVE_PERIOD</stp>
        <stp>-7FY</stp>
        <stp>EQY_FUND_CRNCY</stp>
        <stp>USD</stp>
        <stp>EQY_CONSOLIDATED</stp>
        <stp>Y</stp>
        <stp>Fill=B</stp>
        <tr r="J27" s="8"/>
      </tp>
      <tp>
        <v>2828</v>
        <stp/>
        <stp>##V3_BDPV12</stp>
        <stp>AAPL US EQUITY</stp>
        <stp>IS_INC_TAX_EXP</stp>
        <stp>[XIDA.xlsm]Financials!R27C11</stp>
        <stp>EQY_FUND_RELATIVE_PERIOD</stp>
        <stp>-6FY</stp>
        <stp>EQY_FUND_CRNCY</stp>
        <stp>USD</stp>
        <stp>EQY_CONSOLIDATED</stp>
        <stp>Y</stp>
        <stp>Fill=B</stp>
        <tr r="K27" s="8"/>
      </tp>
      <tp>
        <v>3831</v>
        <stp/>
        <stp>##V3_BDPV12</stp>
        <stp>AAPL US EQUITY</stp>
        <stp>IS_INC_TAX_EXP</stp>
        <stp>[XIDA.xlsm]Financials!R27C12</stp>
        <stp>EQY_FUND_RELATIVE_PERIOD</stp>
        <stp>-5FY</stp>
        <stp>EQY_FUND_CRNCY</stp>
        <stp>USD</stp>
        <stp>EQY_CONSOLIDATED</stp>
        <stp>Y</stp>
        <stp>Fill=B</stp>
        <tr r="L27" s="8"/>
      </tp>
      <tp>
        <v>4527</v>
        <stp/>
        <stp>##V3_BDPV12</stp>
        <stp>AAPL US EQUITY</stp>
        <stp>IS_INC_TAX_EXP</stp>
        <stp>[XIDA.xlsm]Financials!R27C13</stp>
        <stp>EQY_FUND_RELATIVE_PERIOD</stp>
        <stp>-4FY</stp>
        <stp>EQY_FUND_CRNCY</stp>
        <stp>USD</stp>
        <stp>EQY_CONSOLIDATED</stp>
        <stp>Y</stp>
        <stp>Fill=B</stp>
        <tr r="M27" s="8"/>
      </tp>
      <tp>
        <v>8283</v>
        <stp/>
        <stp>##V3_BDPV12</stp>
        <stp>AAPL US EQUITY</stp>
        <stp>IS_INC_TAX_EXP</stp>
        <stp>[XIDA.xlsm]Financials!R27C14</stp>
        <stp>EQY_FUND_RELATIVE_PERIOD</stp>
        <stp>-3FY</stp>
        <stp>EQY_FUND_CRNCY</stp>
        <stp>USD</stp>
        <stp>EQY_CONSOLIDATED</stp>
        <stp>Y</stp>
        <stp>Fill=B</stp>
        <tr r="N27" s="8"/>
      </tp>
      <tp>
        <v>14030</v>
        <stp/>
        <stp>##V3_BDPV12</stp>
        <stp>AAPL US EQUITY</stp>
        <stp>IS_INC_TAX_EXP</stp>
        <stp>[XIDA.xlsm]Financials!R27C15</stp>
        <stp>EQY_FUND_RELATIVE_PERIOD</stp>
        <stp>-2FY</stp>
        <stp>EQY_FUND_CRNCY</stp>
        <stp>USD</stp>
        <stp>EQY_CONSOLIDATED</stp>
        <stp>Y</stp>
        <stp>Fill=B</stp>
        <tr r="O27" s="8"/>
      </tp>
      <tp>
        <v>13118</v>
        <stp/>
        <stp>##V3_BDPV12</stp>
        <stp>AAPL US EQUITY</stp>
        <stp>IS_INC_TAX_EXP</stp>
        <stp>[XIDA.xlsm]Financials!R27C16</stp>
        <stp>EQY_FUND_RELATIVE_PERIOD</stp>
        <stp>-1FY</stp>
        <stp>EQY_FUND_CRNCY</stp>
        <stp>USD</stp>
        <stp>EQY_CONSOLIDATED</stp>
        <stp>Y</stp>
        <stp>Fill=B</stp>
        <tr r="P27" s="8"/>
      </tp>
      <tp>
        <v>13973</v>
        <stp/>
        <stp>##V3_BDPV12</stp>
        <stp>AAPL US EQUITY</stp>
        <stp>IS_INC_TAX_EXP</stp>
        <stp>[XIDA.xlsm]Financials!R27C17</stp>
        <stp>EQY_FUND_RELATIVE_PERIOD</stp>
        <stp>-0FY</stp>
        <stp>EQY_FUND_CRNCY</stp>
        <stp>USD</stp>
        <stp>EQY_CONSOLIDATED</stp>
        <stp>Y</stp>
        <stp>Fill=B</stp>
        <tr r="Q27" s="8"/>
      </tp>
      <tp>
        <v>4734</v>
        <stp/>
        <stp>##V3_BDPV12</stp>
        <stp>AAPL US EQUITY</stp>
        <stp>EBITDA</stp>
        <stp>[XIDA.xlsm]Financials!R43C10</stp>
        <stp>EQY_FUND_RELATIVE_PERIOD</stp>
        <stp>-7FY</stp>
        <stp>EQY_FUND_CRNCY</stp>
        <stp>USD</stp>
        <stp>EQY_CONSOLIDATED</stp>
        <stp>Y</stp>
        <stp>Fill=B</stp>
        <tr r="J43" s="8"/>
      </tp>
      <tp>
        <v>8823</v>
        <stp/>
        <stp>##V3_BDPV12</stp>
        <stp>AAPL US EQUITY</stp>
        <stp>EBITDA</stp>
        <stp>[XIDA.xlsm]Financials!R43C11</stp>
        <stp>EQY_FUND_RELATIVE_PERIOD</stp>
        <stp>-6FY</stp>
        <stp>EQY_FUND_CRNCY</stp>
        <stp>USD</stp>
        <stp>EQY_CONSOLIDATED</stp>
        <stp>Y</stp>
        <stp>Fill=B</stp>
        <tr r="K43" s="8"/>
      </tp>
      <tp>
        <v>12474</v>
        <stp/>
        <stp>##V3_BDPV12</stp>
        <stp>AAPL US EQUITY</stp>
        <stp>EBITDA</stp>
        <stp>[XIDA.xlsm]Financials!R43C12</stp>
        <stp>EQY_FUND_RELATIVE_PERIOD</stp>
        <stp>-5FY</stp>
        <stp>EQY_FUND_CRNCY</stp>
        <stp>USD</stp>
        <stp>EQY_CONSOLIDATED</stp>
        <stp>Y</stp>
        <stp>Fill=B</stp>
        <tr r="L43" s="8"/>
      </tp>
      <tp>
        <v>19412</v>
        <stp/>
        <stp>##V3_BDPV12</stp>
        <stp>AAPL US EQUITY</stp>
        <stp>EBITDA</stp>
        <stp>[XIDA.xlsm]Financials!R43C13</stp>
        <stp>EQY_FUND_RELATIVE_PERIOD</stp>
        <stp>-4FY</stp>
        <stp>EQY_FUND_CRNCY</stp>
        <stp>USD</stp>
        <stp>EQY_CONSOLIDATED</stp>
        <stp>Y</stp>
        <stp>Fill=B</stp>
        <tr r="M43" s="8"/>
      </tp>
      <tp>
        <v>35604</v>
        <stp/>
        <stp>##V3_BDPV12</stp>
        <stp>AAPL US EQUITY</stp>
        <stp>EBITDA</stp>
        <stp>[XIDA.xlsm]Financials!R43C14</stp>
        <stp>EQY_FUND_RELATIVE_PERIOD</stp>
        <stp>-3FY</stp>
        <stp>EQY_FUND_CRNCY</stp>
        <stp>USD</stp>
        <stp>EQY_CONSOLIDATED</stp>
        <stp>Y</stp>
        <stp>Fill=B</stp>
        <tr r="N43" s="8"/>
      </tp>
      <tp>
        <v>58518</v>
        <stp/>
        <stp>##V3_BDPV12</stp>
        <stp>AAPL US EQUITY</stp>
        <stp>EBITDA</stp>
        <stp>[XIDA.xlsm]Financials!R43C15</stp>
        <stp>EQY_FUND_RELATIVE_PERIOD</stp>
        <stp>-2FY</stp>
        <stp>EQY_FUND_CRNCY</stp>
        <stp>USD</stp>
        <stp>EQY_CONSOLIDATED</stp>
        <stp>Y</stp>
        <stp>Fill=B</stp>
        <tr r="O43" s="8"/>
      </tp>
      <tp>
        <v>55756</v>
        <stp/>
        <stp>##V3_BDPV12</stp>
        <stp>AAPL US EQUITY</stp>
        <stp>EBITDA</stp>
        <stp>[XIDA.xlsm]Financials!R43C16</stp>
        <stp>EQY_FUND_RELATIVE_PERIOD</stp>
        <stp>-1FY</stp>
        <stp>EQY_FUND_CRNCY</stp>
        <stp>USD</stp>
        <stp>EQY_CONSOLIDATED</stp>
        <stp>Y</stp>
        <stp>Fill=B</stp>
        <tr r="P43" s="8"/>
      </tp>
      <tp>
        <v>60449</v>
        <stp/>
        <stp>##V3_BDPV12</stp>
        <stp>AAPL US EQUITY</stp>
        <stp>EBITDA</stp>
        <stp>[XIDA.xlsm]Financials!R43C17</stp>
        <stp>EQY_FUND_RELATIVE_PERIOD</stp>
        <stp>-0FY</stp>
        <stp>EQY_FUND_CRNCY</stp>
        <stp>USD</stp>
        <stp>EQY_CONSOLIDATED</stp>
        <stp>Y</stp>
        <stp>Fill=B</stp>
        <tr r="Q43" s="8"/>
      </tp>
      <tp>
        <v>2.33</v>
        <stp/>
        <stp>##V3_BDPV12</stp>
        <stp>AAPL US EQUITY</stp>
        <stp>BEST_CPS</stp>
        <stp>[XIDA.xlsm]DataH!R4C92</stp>
        <stp>BEST_FPERIOD_OVERRIDE</stp>
        <stp>1FQ</stp>
        <stp>BEST_DATA_SOURCE_OVERRIDE</stp>
        <stp>BLI</stp>
        <stp>EQY_FUND_CRNCY</stp>
        <stp>USD</stp>
        <stp>BEST_CONSOLIDATED_OVERRIDE</stp>
        <stp>C</stp>
        <tr r="CN4" s="16"/>
      </tp>
      <tp>
        <v>5.0350000000000001</v>
        <stp/>
        <stp>##V3_BDPV12</stp>
        <stp>AAPL US EQUITY</stp>
        <stp>BEST_CPS</stp>
        <stp>[XIDA.xlsm]DataH!R4C93</stp>
        <stp>BEST_FPERIOD_OVERRIDE</stp>
        <stp>2FQ</stp>
        <stp>BEST_DATA_SOURCE_OVERRIDE</stp>
        <stp>BLI</stp>
        <stp>EQY_FUND_CRNCY</stp>
        <stp>USD</stp>
        <stp>BEST_CONSOLIDATED_OVERRIDE</stp>
        <stp>C</stp>
        <tr r="CO4" s="16"/>
      </tp>
      <tp>
        <v>2.86</v>
        <stp/>
        <stp>##V3_BDPV12</stp>
        <stp>AAPL US EQUITY</stp>
        <stp>BEST_CPS</stp>
        <stp>[XIDA.xlsm]DataH!R4C95</stp>
        <stp>BEST_FPERIOD_OVERRIDE</stp>
        <stp>3FQ</stp>
        <stp>BEST_DATA_SOURCE_OVERRIDE</stp>
        <stp>BLI</stp>
        <stp>EQY_FUND_CRNCY</stp>
        <stp>USD</stp>
        <stp>BEST_CONSOLIDATED_OVERRIDE</stp>
        <stp>C</stp>
        <tr r="CQ4" s="16"/>
      </tp>
      <tp>
        <v>14241.222</v>
        <stp/>
        <stp>##V3_BDPV12</stp>
        <stp>AAPL US EQUITY</stp>
        <stp>BEST_OPP</stp>
        <stp>[XIDA.xlsm]DataH!R4C62</stp>
        <stp>BEST_FPERIOD_OVERRIDE</stp>
        <stp>1FQ</stp>
        <stp>BEST_DATA_SOURCE_OVERRIDE</stp>
        <stp>BLI</stp>
        <stp>EQY_FUND_CRNCY</stp>
        <stp>USD</stp>
        <stp>BEST_CONSOLIDATED_OVERRIDE</stp>
        <stp>C</stp>
        <tr r="BJ4" s="16"/>
      </tp>
      <tp>
        <v>23877</v>
        <stp/>
        <stp>##V3_BDPV12</stp>
        <stp>AAPL US EQUITY</stp>
        <stp>BEST_OPP</stp>
        <stp>[XIDA.xlsm]DataH!R4C63</stp>
        <stp>BEST_FPERIOD_OVERRIDE</stp>
        <stp>2FQ</stp>
        <stp>BEST_DATA_SOURCE_OVERRIDE</stp>
        <stp>BLI</stp>
        <stp>EQY_FUND_CRNCY</stp>
        <stp>USD</stp>
        <stp>BEST_CONSOLIDATED_OVERRIDE</stp>
        <stp>C</stp>
        <tr r="BK4" s="16"/>
      </tp>
      <tp>
        <v>18173.125</v>
        <stp/>
        <stp>##V3_BDPV12</stp>
        <stp>AAPL US EQUITY</stp>
        <stp>BEST_OPP</stp>
        <stp>[XIDA.xlsm]DataH!R4C65</stp>
        <stp>BEST_FPERIOD_OVERRIDE</stp>
        <stp>3FQ</stp>
        <stp>BEST_DATA_SOURCE_OVERRIDE</stp>
        <stp>BLI</stp>
        <stp>EQY_FUND_CRNCY</stp>
        <stp>USD</stp>
        <stp>BEST_CONSOLIDATED_OVERRIDE</stp>
        <stp>C</stp>
        <tr r="BM4" s="16"/>
      </tp>
      <tp>
        <v>0.503</v>
        <stp/>
        <stp>##V3_BDPV12</stp>
        <stp>AAPL US EQUITY</stp>
        <stp>BEST_DPS</stp>
        <stp>[XIDA.xlsm]DataH!R4C97</stp>
        <stp>BEST_FPERIOD_OVERRIDE</stp>
        <stp>1FQ</stp>
        <stp>BEST_DATA_SOURCE_OVERRIDE</stp>
        <stp>BLI</stp>
        <stp>EQY_FUND_CRNCY</stp>
        <stp>USD</stp>
        <stp>BEST_CONSOLIDATED_OVERRIDE</stp>
        <stp>C</stp>
        <tr r="CS4" s="16"/>
      </tp>
      <tp>
        <v>0.503</v>
        <stp/>
        <stp>##V3_BDPV12</stp>
        <stp>AAPL US EQUITY</stp>
        <stp>BEST_DPS</stp>
        <stp>[XIDA.xlsm]DataH!R4C98</stp>
        <stp>BEST_FPERIOD_OVERRIDE</stp>
        <stp>2FQ</stp>
        <stp>BEST_DATA_SOURCE_OVERRIDE</stp>
        <stp>BLI</stp>
        <stp>EQY_FUND_CRNCY</stp>
        <stp>USD</stp>
        <stp>BEST_CONSOLIDATED_OVERRIDE</stp>
        <stp>C</stp>
        <tr r="CT4" s="16"/>
      </tp>
      <tp>
        <v>2.4180000000000001</v>
        <stp/>
        <stp>##V3_BDPV12</stp>
        <stp>AAPL US EQUITY</stp>
        <stp>BEST_EPS</stp>
        <stp>[XIDA.xlsm]DataH!R4C50</stp>
        <stp>BEST_FPERIOD_OVERRIDE</stp>
        <stp>3FQ</stp>
        <stp>BEST_DATA_SOURCE_OVERRIDE</stp>
        <stp>BLI</stp>
        <stp>EQY_FUND_CRNCY</stp>
        <stp>USD</stp>
        <stp>BEST_CONSOLIDATED_OVERRIDE</stp>
        <stp>C</stp>
        <tr r="AX4" s="16"/>
      </tp>
      <tp>
        <v>1.8880000000000001</v>
        <stp/>
        <stp>##V3_BDPV12</stp>
        <stp>AAPL US EQUITY</stp>
        <stp>BEST_EPS</stp>
        <stp>[XIDA.xlsm]DataH!R4C47</stp>
        <stp>BEST_FPERIOD_OVERRIDE</stp>
        <stp>1FQ</stp>
        <stp>BEST_DATA_SOURCE_OVERRIDE</stp>
        <stp>BLI</stp>
        <stp>EQY_FUND_CRNCY</stp>
        <stp>USD</stp>
        <stp>BEST_CONSOLIDATED_OVERRIDE</stp>
        <stp>C</stp>
        <tr r="AU4" s="16"/>
      </tp>
      <tp>
        <v>3.161</v>
        <stp/>
        <stp>##V3_BDPV12</stp>
        <stp>AAPL US EQUITY</stp>
        <stp>BEST_EPS</stp>
        <stp>[XIDA.xlsm]DataH!R4C48</stp>
        <stp>BEST_FPERIOD_OVERRIDE</stp>
        <stp>2FQ</stp>
        <stp>BEST_DATA_SOURCE_OVERRIDE</stp>
        <stp>BLI</stp>
        <stp>EQY_FUND_CRNCY</stp>
        <stp>USD</stp>
        <stp>BEST_CONSOLIDATED_OVERRIDE</stp>
        <stp>C</stp>
        <tr r="AV4" s="16"/>
      </tp>
      <tp>
        <v>3.1870000000000003</v>
        <stp/>
        <stp>##V3_BDPV12</stp>
        <stp>AAPL US EQUITY</stp>
        <stp>BEST_EPS</stp>
        <stp>[XIDA.xlsm]DataH!R3C48</stp>
        <stp>BEST_FPERIOD_OVERRIDE</stp>
        <stp>2FQ</stp>
        <stp>BEST_DATA_SOURCE_OVERRIDE</stp>
        <stp>BST</stp>
        <stp>EQY_FUND_CRNCY</stp>
        <stp>USD</stp>
        <stp>BEST_CONSOLIDATED_OVERRIDE</stp>
        <stp>C</stp>
        <tr r="AV3" s="16"/>
      </tp>
      <tp>
        <v>1.873</v>
        <stp/>
        <stp>##V3_BDPV12</stp>
        <stp>AAPL US EQUITY</stp>
        <stp>BEST_EPS</stp>
        <stp>[XIDA.xlsm]DataH!R3C47</stp>
        <stp>BEST_FPERIOD_OVERRIDE</stp>
        <stp>1FQ</stp>
        <stp>BEST_DATA_SOURCE_OVERRIDE</stp>
        <stp>BST</stp>
        <stp>EQY_FUND_CRNCY</stp>
        <stp>USD</stp>
        <stp>BEST_CONSOLIDATED_OVERRIDE</stp>
        <stp>C</stp>
        <tr r="AU3" s="16"/>
      </tp>
      <tp>
        <v>2.4180000000000001</v>
        <stp/>
        <stp>##V3_BDPV12</stp>
        <stp>AAPL US EQUITY</stp>
        <stp>BEST_EPS</stp>
        <stp>[XIDA.xlsm]DataH!R3C50</stp>
        <stp>BEST_FPERIOD_OVERRIDE</stp>
        <stp>3FQ</stp>
        <stp>BEST_DATA_SOURCE_OVERRIDE</stp>
        <stp>BST</stp>
        <stp>EQY_FUND_CRNCY</stp>
        <stp>USD</stp>
        <stp>BEST_CONSOLIDATED_OVERRIDE</stp>
        <stp>C</stp>
        <tr r="AX3" s="16"/>
      </tp>
      <tp>
        <v>2.4159999999999999</v>
        <stp/>
        <stp>##V3_BDPV12</stp>
        <stp>AAPL US EQUITY</stp>
        <stp>BEST_EPS</stp>
        <stp>[XIDA.xlsm]DataH!R5C50</stp>
        <stp>BEST_FPERIOD_OVERRIDE</stp>
        <stp>3FQ</stp>
        <stp>BEST_DATA_SOURCE_OVERRIDE</stp>
        <stp>BPE</stp>
        <stp>EQY_FUND_CRNCY</stp>
        <stp>USD</stp>
        <stp>BEST_CONSOLIDATED_OVERRIDE</stp>
        <stp>C</stp>
        <tr r="AX5" s="16"/>
      </tp>
      <tp>
        <v>3.1830000000000003</v>
        <stp/>
        <stp>##V3_BDPV12</stp>
        <stp>AAPL US EQUITY</stp>
        <stp>BEST_EPS</stp>
        <stp>[XIDA.xlsm]DataH!R5C48</stp>
        <stp>BEST_FPERIOD_OVERRIDE</stp>
        <stp>2FQ</stp>
        <stp>BEST_DATA_SOURCE_OVERRIDE</stp>
        <stp>BPE</stp>
        <stp>EQY_FUND_CRNCY</stp>
        <stp>USD</stp>
        <stp>BEST_CONSOLIDATED_OVERRIDE</stp>
        <stp>C</stp>
        <tr r="AV5" s="16"/>
      </tp>
      <tp>
        <v>1.873</v>
        <stp/>
        <stp>##V3_BDPV12</stp>
        <stp>AAPL US EQUITY</stp>
        <stp>BEST_EPS</stp>
        <stp>[XIDA.xlsm]DataH!R5C47</stp>
        <stp>BEST_FPERIOD_OVERRIDE</stp>
        <stp>1FQ</stp>
        <stp>BEST_DATA_SOURCE_OVERRIDE</stp>
        <stp>BPE</stp>
        <stp>EQY_FUND_CRNCY</stp>
        <stp>USD</stp>
        <stp>BEST_CONSOLIDATED_OVERRIDE</stp>
        <stp>C</stp>
        <tr r="AU5" s="16"/>
      </tp>
      <tp>
        <v>0.51300000000000001</v>
        <stp/>
        <stp>##V3_BDPV12</stp>
        <stp>AAPL US EQUITY</stp>
        <stp>BEST_DPS</stp>
        <stp>[XIDA.xlsm]DataH!R3C98</stp>
        <stp>BEST_FPERIOD_OVERRIDE</stp>
        <stp>2FQ</stp>
        <stp>BEST_DATA_SOURCE_OVERRIDE</stp>
        <stp>BST</stp>
        <stp>EQY_FUND_CRNCY</stp>
        <stp>USD</stp>
        <stp>BEST_CONSOLIDATED_OVERRIDE</stp>
        <stp>C</stp>
        <tr r="CT3" s="16"/>
      </tp>
      <tp>
        <v>0.51400000000000001</v>
        <stp/>
        <stp>##V3_BDPV12</stp>
        <stp>AAPL US EQUITY</stp>
        <stp>BEST_DPS</stp>
        <stp>[XIDA.xlsm]DataH!R3C97</stp>
        <stp>BEST_FPERIOD_OVERRIDE</stp>
        <stp>1FQ</stp>
        <stp>BEST_DATA_SOURCE_OVERRIDE</stp>
        <stp>BST</stp>
        <stp>EQY_FUND_CRNCY</stp>
        <stp>USD</stp>
        <stp>BEST_CONSOLIDATED_OVERRIDE</stp>
        <stp>C</stp>
        <tr r="CS3" s="16"/>
      </tp>
      <tp>
        <v>0.51300000000000001</v>
        <stp/>
        <stp>##V3_BDPV12</stp>
        <stp>AAPL US EQUITY</stp>
        <stp>BEST_DPS</stp>
        <stp>[XIDA.xlsm]DataH!R5C98</stp>
        <stp>BEST_FPERIOD_OVERRIDE</stp>
        <stp>2FQ</stp>
        <stp>BEST_DATA_SOURCE_OVERRIDE</stp>
        <stp>BPE</stp>
        <stp>EQY_FUND_CRNCY</stp>
        <stp>USD</stp>
        <stp>BEST_CONSOLIDATED_OVERRIDE</stp>
        <stp>C</stp>
        <tr r="CT5" s="16"/>
      </tp>
      <tp>
        <v>0.51400000000000001</v>
        <stp/>
        <stp>##V3_BDPV12</stp>
        <stp>AAPL US EQUITY</stp>
        <stp>BEST_DPS</stp>
        <stp>[XIDA.xlsm]DataH!R5C97</stp>
        <stp>BEST_FPERIOD_OVERRIDE</stp>
        <stp>1FQ</stp>
        <stp>BEST_DATA_SOURCE_OVERRIDE</stp>
        <stp>BPE</stp>
        <stp>EQY_FUND_CRNCY</stp>
        <stp>USD</stp>
        <stp>BEST_CONSOLIDATED_OVERRIDE</stp>
        <stp>C</stp>
        <tr r="CS5" s="16"/>
      </tp>
      <tp>
        <v>18113.167000000001</v>
        <stp/>
        <stp>##V3_BDPV12</stp>
        <stp>AAPL US EQUITY</stp>
        <stp>BEST_OPP</stp>
        <stp>[XIDA.xlsm]DataH!R3C65</stp>
        <stp>BEST_FPERIOD_OVERRIDE</stp>
        <stp>3FQ</stp>
        <stp>BEST_DATA_SOURCE_OVERRIDE</stp>
        <stp>BST</stp>
        <stp>EQY_FUND_CRNCY</stp>
        <stp>USD</stp>
        <stp>BEST_CONSOLIDATED_OVERRIDE</stp>
        <stp>C</stp>
        <tr r="BM3" s="16"/>
      </tp>
      <tp>
        <v>14084.1</v>
        <stp/>
        <stp>##V3_BDPV12</stp>
        <stp>AAPL US EQUITY</stp>
        <stp>BEST_OPP</stp>
        <stp>[XIDA.xlsm]DataH!R3C62</stp>
        <stp>BEST_FPERIOD_OVERRIDE</stp>
        <stp>1FQ</stp>
        <stp>BEST_DATA_SOURCE_OVERRIDE</stp>
        <stp>BST</stp>
        <stp>EQY_FUND_CRNCY</stp>
        <stp>USD</stp>
        <stp>BEST_CONSOLIDATED_OVERRIDE</stp>
        <stp>C</stp>
        <tr r="BJ3" s="16"/>
      </tp>
      <tp>
        <v>24339.25</v>
        <stp/>
        <stp>##V3_BDPV12</stp>
        <stp>AAPL US EQUITY</stp>
        <stp>BEST_OPP</stp>
        <stp>[XIDA.xlsm]DataH!R3C63</stp>
        <stp>BEST_FPERIOD_OVERRIDE</stp>
        <stp>2FQ</stp>
        <stp>BEST_DATA_SOURCE_OVERRIDE</stp>
        <stp>BST</stp>
        <stp>EQY_FUND_CRNCY</stp>
        <stp>USD</stp>
        <stp>BEST_CONSOLIDATED_OVERRIDE</stp>
        <stp>C</stp>
        <tr r="BK3" s="16"/>
      </tp>
      <tp>
        <v>3.637</v>
        <stp/>
        <stp>##V3_BDPV12</stp>
        <stp>AAPL US EQUITY</stp>
        <stp>BEST_CPS</stp>
        <stp>[XIDA.xlsm]DataH!R5C95</stp>
        <stp>BEST_FPERIOD_OVERRIDE</stp>
        <stp>3FQ</stp>
        <stp>BEST_DATA_SOURCE_OVERRIDE</stp>
        <stp>BPE</stp>
        <stp>EQY_FUND_CRNCY</stp>
        <stp>USD</stp>
        <stp>BEST_CONSOLIDATED_OVERRIDE</stp>
        <stp>C</stp>
        <tr r="CQ5" s="16"/>
      </tp>
      <tp>
        <v>2.427</v>
        <stp/>
        <stp>##V3_BDPV12</stp>
        <stp>AAPL US EQUITY</stp>
        <stp>BEST_CPS</stp>
        <stp>[XIDA.xlsm]DataH!R5C92</stp>
        <stp>BEST_FPERIOD_OVERRIDE</stp>
        <stp>1FQ</stp>
        <stp>BEST_DATA_SOURCE_OVERRIDE</stp>
        <stp>BPE</stp>
        <stp>EQY_FUND_CRNCY</stp>
        <stp>USD</stp>
        <stp>BEST_CONSOLIDATED_OVERRIDE</stp>
        <stp>C</stp>
        <tr r="CN5" s="16"/>
      </tp>
      <tp>
        <v>4.05</v>
        <stp/>
        <stp>##V3_BDPV12</stp>
        <stp>AAPL US EQUITY</stp>
        <stp>BEST_CPS</stp>
        <stp>[XIDA.xlsm]DataH!R5C93</stp>
        <stp>BEST_FPERIOD_OVERRIDE</stp>
        <stp>2FQ</stp>
        <stp>BEST_DATA_SOURCE_OVERRIDE</stp>
        <stp>BPE</stp>
        <stp>EQY_FUND_CRNCY</stp>
        <stp>USD</stp>
        <stp>BEST_CONSOLIDATED_OVERRIDE</stp>
        <stp>C</stp>
        <tr r="CO5" s="16"/>
      </tp>
      <tp>
        <v>3.637</v>
        <stp/>
        <stp>##V3_BDPV12</stp>
        <stp>AAPL US EQUITY</stp>
        <stp>BEST_CPS</stp>
        <stp>[XIDA.xlsm]DataH!R3C95</stp>
        <stp>BEST_FPERIOD_OVERRIDE</stp>
        <stp>3FQ</stp>
        <stp>BEST_DATA_SOURCE_OVERRIDE</stp>
        <stp>BST</stp>
        <stp>EQY_FUND_CRNCY</stp>
        <stp>USD</stp>
        <stp>BEST_CONSOLIDATED_OVERRIDE</stp>
        <stp>C</stp>
        <tr r="CQ3" s="16"/>
      </tp>
      <tp>
        <v>2.427</v>
        <stp/>
        <stp>##V3_BDPV12</stp>
        <stp>AAPL US EQUITY</stp>
        <stp>BEST_CPS</stp>
        <stp>[XIDA.xlsm]DataH!R3C92</stp>
        <stp>BEST_FPERIOD_OVERRIDE</stp>
        <stp>1FQ</stp>
        <stp>BEST_DATA_SOURCE_OVERRIDE</stp>
        <stp>BST</stp>
        <stp>EQY_FUND_CRNCY</stp>
        <stp>USD</stp>
        <stp>BEST_CONSOLIDATED_OVERRIDE</stp>
        <stp>C</stp>
        <tr r="CN3" s="16"/>
      </tp>
      <tp>
        <v>4.05</v>
        <stp/>
        <stp>##V3_BDPV12</stp>
        <stp>AAPL US EQUITY</stp>
        <stp>BEST_CPS</stp>
        <stp>[XIDA.xlsm]DataH!R3C93</stp>
        <stp>BEST_FPERIOD_OVERRIDE</stp>
        <stp>2FQ</stp>
        <stp>BEST_DATA_SOURCE_OVERRIDE</stp>
        <stp>BST</stp>
        <stp>EQY_FUND_CRNCY</stp>
        <stp>USD</stp>
        <stp>BEST_CONSOLIDATED_OVERRIDE</stp>
        <stp>C</stp>
        <tr r="CO3" s="16"/>
      </tp>
      <tp>
        <v>18038.317999999999</v>
        <stp/>
        <stp>##V3_BDPV12</stp>
        <stp>AAPL US EQUITY</stp>
        <stp>BEST_OPP</stp>
        <stp>[XIDA.xlsm]DataH!R5C65</stp>
        <stp>BEST_FPERIOD_OVERRIDE</stp>
        <stp>3FQ</stp>
        <stp>BEST_DATA_SOURCE_OVERRIDE</stp>
        <stp>BPE</stp>
        <stp>EQY_FUND_CRNCY</stp>
        <stp>USD</stp>
        <stp>BEST_CONSOLIDATED_OVERRIDE</stp>
        <stp>C</stp>
        <tr r="BM5" s="16"/>
      </tp>
      <tp>
        <v>14078.759</v>
        <stp/>
        <stp>##V3_BDPV12</stp>
        <stp>AAPL US EQUITY</stp>
        <stp>BEST_OPP</stp>
        <stp>[XIDA.xlsm]DataH!R5C62</stp>
        <stp>BEST_FPERIOD_OVERRIDE</stp>
        <stp>1FQ</stp>
        <stp>BEST_DATA_SOURCE_OVERRIDE</stp>
        <stp>BPE</stp>
        <stp>EQY_FUND_CRNCY</stp>
        <stp>USD</stp>
        <stp>BEST_CONSOLIDATED_OVERRIDE</stp>
        <stp>C</stp>
        <tr r="BJ5" s="16"/>
      </tp>
      <tp>
        <v>24203.817999999999</v>
        <stp/>
        <stp>##V3_BDPV12</stp>
        <stp>AAPL US EQUITY</stp>
        <stp>BEST_OPP</stp>
        <stp>[XIDA.xlsm]DataH!R5C63</stp>
        <stp>BEST_FPERIOD_OVERRIDE</stp>
        <stp>2FQ</stp>
        <stp>BEST_DATA_SOURCE_OVERRIDE</stp>
        <stp>BPE</stp>
        <stp>EQY_FUND_CRNCY</stp>
        <stp>USD</stp>
        <stp>BEST_CONSOLIDATED_OVERRIDE</stp>
        <stp>C</stp>
        <tr r="BK5" s="16"/>
      </tp>
      <tp t="s">
        <v>4/23/2013</v>
        <stp/>
        <stp>##V3_BDPV12</stp>
        <stp>AAPL US EQUITY</stp>
        <stp>RTG_SP_LT_LC_ISS_CRED_RTG_DT</stp>
        <stp>[XIDA.xlsm]Overview!R26C8</stp>
        <tr r="H26" s="3"/>
        <tr r="H26" s="3"/>
      </tp>
      <tp>
        <v>1345</v>
        <stp/>
        <stp>##V3_BDPV12</stp>
        <stp>AAPL US EQUITY</stp>
        <stp>BS_OTHER_ASSET_DEF_CHNG_OTHER</stp>
        <stp>[XIDA.xlsm]Financials!R60C10</stp>
        <stp>EQY_FUND_RELATIVE_PERIOD</stp>
        <stp>-7FY</stp>
        <stp>EQY_FUND_CRNCY</stp>
        <stp>USD</stp>
        <stp>EQY_CONSOLIDATED</stp>
        <stp>Y</stp>
        <stp>Fill=B</stp>
        <tr r="J60" s="8"/>
      </tp>
      <tp>
        <v>1331</v>
        <stp/>
        <stp>##V3_BDPV12</stp>
        <stp>AAPL US EQUITY</stp>
        <stp>BS_OTHER_ASSET_DEF_CHNG_OTHER</stp>
        <stp>[XIDA.xlsm]Financials!R60C11</stp>
        <stp>EQY_FUND_RELATIVE_PERIOD</stp>
        <stp>-6FY</stp>
        <stp>EQY_FUND_CRNCY</stp>
        <stp>USD</stp>
        <stp>EQY_CONSOLIDATED</stp>
        <stp>Y</stp>
        <stp>Fill=B</stp>
        <tr r="K60" s="8"/>
      </tp>
      <tp>
        <v>2464</v>
        <stp/>
        <stp>##V3_BDPV12</stp>
        <stp>AAPL US EQUITY</stp>
        <stp>BS_OTHER_ASSET_DEF_CHNG_OTHER</stp>
        <stp>[XIDA.xlsm]Financials!R60C12</stp>
        <stp>EQY_FUND_RELATIVE_PERIOD</stp>
        <stp>-5FY</stp>
        <stp>EQY_FUND_CRNCY</stp>
        <stp>USD</stp>
        <stp>EQY_CONSOLIDATED</stp>
        <stp>Y</stp>
        <stp>Fill=B</stp>
        <tr r="L60" s="8"/>
      </tp>
      <tp>
        <v>3346</v>
        <stp/>
        <stp>##V3_BDPV12</stp>
        <stp>AAPL US EQUITY</stp>
        <stp>BS_OTHER_ASSET_DEF_CHNG_OTHER</stp>
        <stp>[XIDA.xlsm]Financials!R60C13</stp>
        <stp>EQY_FUND_RELATIVE_PERIOD</stp>
        <stp>-4FY</stp>
        <stp>EQY_FUND_CRNCY</stp>
        <stp>USD</stp>
        <stp>EQY_CONSOLIDATED</stp>
        <stp>Y</stp>
        <stp>Fill=B</stp>
        <tr r="M60" s="8"/>
      </tp>
      <tp>
        <v>7988</v>
        <stp/>
        <stp>##V3_BDPV12</stp>
        <stp>AAPL US EQUITY</stp>
        <stp>BS_OTHER_ASSET_DEF_CHNG_OTHER</stp>
        <stp>[XIDA.xlsm]Financials!R60C14</stp>
        <stp>EQY_FUND_RELATIVE_PERIOD</stp>
        <stp>-3FY</stp>
        <stp>EQY_FUND_CRNCY</stp>
        <stp>USD</stp>
        <stp>EQY_CONSOLIDATED</stp>
        <stp>Y</stp>
        <stp>Fill=B</stp>
        <tr r="N60" s="8"/>
      </tp>
      <tp>
        <v>10837</v>
        <stp/>
        <stp>##V3_BDPV12</stp>
        <stp>AAPL US EQUITY</stp>
        <stp>BS_OTHER_ASSET_DEF_CHNG_OTHER</stp>
        <stp>[XIDA.xlsm]Financials!R60C15</stp>
        <stp>EQY_FUND_RELATIVE_PERIOD</stp>
        <stp>-2FY</stp>
        <stp>EQY_FUND_CRNCY</stp>
        <stp>USD</stp>
        <stp>EQY_CONSOLIDATED</stp>
        <stp>Y</stp>
        <stp>Fill=B</stp>
        <tr r="O60" s="8"/>
      </tp>
      <tp>
        <v>10902</v>
        <stp/>
        <stp>##V3_BDPV12</stp>
        <stp>AAPL US EQUITY</stp>
        <stp>BS_OTHER_ASSET_DEF_CHNG_OTHER</stp>
        <stp>[XIDA.xlsm]Financials!R60C16</stp>
        <stp>EQY_FUND_RELATIVE_PERIOD</stp>
        <stp>-1FY</stp>
        <stp>EQY_FUND_CRNCY</stp>
        <stp>USD</stp>
        <stp>EQY_CONSOLIDATED</stp>
        <stp>Y</stp>
        <stp>Fill=B</stp>
        <tr r="P60" s="8"/>
      </tp>
      <tp>
        <v>12522</v>
        <stp/>
        <stp>##V3_BDPV12</stp>
        <stp>AAPL US EQUITY</stp>
        <stp>BS_OTHER_ASSET_DEF_CHNG_OTHER</stp>
        <stp>[XIDA.xlsm]Financials!R60C17</stp>
        <stp>EQY_FUND_RELATIVE_PERIOD</stp>
        <stp>-0FY</stp>
        <stp>EQY_FUND_CRNCY</stp>
        <stp>USD</stp>
        <stp>EQY_CONSOLIDATED</stp>
        <stp>Y</stp>
        <stp>Fill=B</stp>
        <tr r="Q60" s="8"/>
      </tp>
      <tp>
        <v>4043</v>
        <stp/>
        <stp>##V3_BDPV12</stp>
        <stp>AAPL US EQUITY</stp>
        <stp>GROSS_PROFIT</stp>
        <stp>[XIDA.xlsm]Financials!R17C8</stp>
        <stp>EQY_FUND_RELATIVE_PERIOD</stp>
        <stp>-9FY</stp>
        <stp>EQY_FUND_CRNCY</stp>
        <stp>USD</stp>
        <stp>EQY_CONSOLIDATED</stp>
        <stp>Y</stp>
        <stp>Fill=B</stp>
        <tr r="H17" s="8"/>
      </tp>
      <tp>
        <v>5598</v>
        <stp/>
        <stp>##V3_BDPV12</stp>
        <stp>AAPL US EQUITY</stp>
        <stp>GROSS_PROFIT</stp>
        <stp>[XIDA.xlsm]Financials!R17C9</stp>
        <stp>EQY_FUND_RELATIVE_PERIOD</stp>
        <stp>-8FY</stp>
        <stp>EQY_FUND_CRNCY</stp>
        <stp>USD</stp>
        <stp>EQY_CONSOLIDATED</stp>
        <stp>Y</stp>
        <stp>Fill=B</stp>
        <tr r="I17" s="8"/>
      </tp>
      <tp>
        <v>0.80444672267476702</v>
        <stp/>
        <stp>##V3_BDPV12</stp>
        <stp>005930 KS EQUITY</stp>
        <stp>BEST_PX_SALES_RATIO</stp>
        <stp>[XIDA.xlsm]DataH!R23C12</stp>
        <stp>BEST_FPERIOD_OVERRIDE</stp>
        <stp>15BC</stp>
        <stp>EQY_CONSOLIDATED</stp>
        <stp>Y</stp>
        <tr r="L23" s="16"/>
      </tp>
      <tp t="e">
        <v>#N/A</v>
        <stp/>
        <stp>##V3_BDSV12</stp>
        <stp>AAPL US EQUITY</stp>
        <stp>BEST_ANALYST_RECS_BULK</stp>
        <stp>[XIDA.xlsm]Ratings!R27C13</stp>
        <stp>STARTCOL=1</stp>
        <stp>ENDCOL=1</stp>
        <stp>Fill=B</stp>
        <stp>cols=1;rows=54</stp>
        <tr r="M27" s="11"/>
      </tp>
      <tp>
        <v>-165</v>
        <stp/>
        <stp>##V3_BDPV12</stp>
        <stp>AAPL US EQUITY</stp>
        <stp>IS_NET_NON_OPER_LOSS</stp>
        <stp>[XIDA.xlsm]Financials!R24C8</stp>
        <stp>EQY_FUND_RELATIVE_PERIOD</stp>
        <stp>-9FY</stp>
        <stp>EQY_FUND_CRNCY</stp>
        <stp>USD</stp>
        <stp>EQY_CONSOLIDATED</stp>
        <stp>Y</stp>
        <stp>Fill=B</stp>
        <tr r="H24" s="8"/>
      </tp>
      <tp>
        <v>-365</v>
        <stp/>
        <stp>##V3_BDPV12</stp>
        <stp>AAPL US EQUITY</stp>
        <stp>IS_NET_NON_OPER_LOSS</stp>
        <stp>[XIDA.xlsm]Financials!R24C9</stp>
        <stp>EQY_FUND_RELATIVE_PERIOD</stp>
        <stp>-8FY</stp>
        <stp>EQY_FUND_CRNCY</stp>
        <stp>USD</stp>
        <stp>EQY_CONSOLIDATED</stp>
        <stp>Y</stp>
        <stp>Fill=B</stp>
        <tr r="I24" s="8"/>
      </tp>
      <tp t="s">
        <v>Change</v>
        <stp/>
        <stp>##V3_BDSV12</stp>
        <stp>AAPL US EQUITY</stp>
        <stp>BEST_EPS_GAAP_BRK_GRID</stp>
        <stp>[XIDA.xlsm]DataH!R84C4</stp>
        <stp>BEST_FPERIOD_OVERRIDE</stp>
        <stp>1FY</stp>
        <stp>EQY_CONSOLIDATED</stp>
        <stp>Y</stp>
        <stp>STARTCOL=5</stp>
        <stp>ENDCOL=5</stp>
        <stp>EQY_FUND_CRNCY</stp>
        <stp>USD</stp>
        <stp>cols=1;rows=51</stp>
        <tr r="D84" s="16"/>
      </tp>
      <tp t="s">
        <v>Change</v>
        <stp/>
        <stp>##V3_BDSV12</stp>
        <stp>AAPL US EQUITY</stp>
        <stp>BEST_EPS_GAAP_BRK_GRID</stp>
        <stp>[XIDA.xlsm]DataH!R84C8</stp>
        <stp>BEST_FPERIOD_OVERRIDE</stp>
        <stp>2FY</stp>
        <stp>EQY_CONSOLIDATED</stp>
        <stp>Y</stp>
        <stp>STARTCOL=5</stp>
        <stp>ENDCOL=5</stp>
        <stp>EQY_FUND_CRNCY</stp>
        <stp>USD</stp>
        <stp>cols=1;rows=50</stp>
        <tr r="H84" s="16"/>
      </tp>
    </main>
    <main first="bloomberg.rtd">
      <tp t="s">
        <v>iPhone</v>
        <stp/>
        <stp>##V3_BDSV12</stp>
        <stp>AAPL US EQUITY</stp>
        <stp>PG_REVENUE</stp>
        <stp>[XIDA.xlsm]DataH!R3C6</stp>
        <stp>EQY_FUND_YEAR</stp>
        <stp>2014</stp>
        <stp>EQY_FUND_CRNCY</stp>
        <stp>USD</stp>
        <stp>PRODUCT_GEO_OVERRIDE</stp>
        <stp>P</stp>
        <stp>PG_HIERARCHY_LEVEL=1</stp>
        <stp>FUND_PER</stp>
        <stp>Y</stp>
        <stp>EQY_CONSOLIDATED</stp>
        <stp>Y</stp>
        <stp>StartCol=1</stp>
        <stp>EndCol=1</stp>
        <stp>StartRow=1</stp>
        <stp>EndRow=8</stp>
        <stp>cols=1;rows=7</stp>
        <tr r="F3" s="16"/>
      </tp>
      <tp>
        <v>0.75497139210770581</v>
        <stp/>
        <stp>##V3_BDPV12</stp>
        <stp>005930 KS EQUITY</stp>
        <stp>BEST_PX_SALES_RATIO</stp>
        <stp>[XIDA.xlsm]DataH!R23C14</stp>
        <stp>BEST_FPERIOD_OVERRIDE</stp>
        <stp>17BC</stp>
        <stp>EQY_CONSOLIDATED</stp>
        <stp>Y</stp>
        <tr r="N23" s="16"/>
      </tp>
      <tp>
        <v>534</v>
        <stp/>
        <stp>##V3_BDPV12</stp>
        <stp>AAPL US EQUITY</stp>
        <stp>IS_RD_EXPEND</stp>
        <stp>[XIDA.xlsm]Financials!R19C8</stp>
        <stp>EQY_FUND_RELATIVE_PERIOD</stp>
        <stp>-9FY</stp>
        <stp>EQY_FUND_CRNCY</stp>
        <stp>USD</stp>
        <stp>EQY_CONSOLIDATED</stp>
        <stp>Y</stp>
        <stp>Fill=B</stp>
        <tr r="H19" s="8"/>
      </tp>
      <tp>
        <v>712</v>
        <stp/>
        <stp>##V3_BDPV12</stp>
        <stp>AAPL US EQUITY</stp>
        <stp>IS_RD_EXPEND</stp>
        <stp>[XIDA.xlsm]Financials!R19C9</stp>
        <stp>EQY_FUND_RELATIVE_PERIOD</stp>
        <stp>-8FY</stp>
        <stp>EQY_FUND_CRNCY</stp>
        <stp>USD</stp>
        <stp>EQY_CONSOLIDATED</stp>
        <stp>Y</stp>
        <stp>Fill=B</stp>
        <tr r="I19" s="8"/>
      </tp>
      <tp>
        <v>9352</v>
        <stp/>
        <stp>##V3_BDPV12</stp>
        <stp>AAPL US EQUITY</stp>
        <stp>BS_CASH_NEAR_CASH_ITEM</stp>
        <stp>[XIDA.xlsm]Financials!R49C10</stp>
        <stp>EQY_FUND_RELATIVE_PERIOD</stp>
        <stp>-7FY</stp>
        <stp>EQY_FUND_CRNCY</stp>
        <stp>USD</stp>
        <stp>EQY_CONSOLIDATED</stp>
        <stp>Y</stp>
        <stp>Fill=B</stp>
        <tr r="J49" s="8"/>
      </tp>
      <tp>
        <v>11875</v>
        <stp/>
        <stp>##V3_BDPV12</stp>
        <stp>AAPL US EQUITY</stp>
        <stp>BS_CASH_NEAR_CASH_ITEM</stp>
        <stp>[XIDA.xlsm]Financials!R49C11</stp>
        <stp>EQY_FUND_RELATIVE_PERIOD</stp>
        <stp>-6FY</stp>
        <stp>EQY_FUND_CRNCY</stp>
        <stp>USD</stp>
        <stp>EQY_CONSOLIDATED</stp>
        <stp>Y</stp>
        <stp>Fill=B</stp>
        <tr r="K49" s="8"/>
      </tp>
      <tp>
        <v>5263</v>
        <stp/>
        <stp>##V3_BDPV12</stp>
        <stp>AAPL US EQUITY</stp>
        <stp>BS_CASH_NEAR_CASH_ITEM</stp>
        <stp>[XIDA.xlsm]Financials!R49C12</stp>
        <stp>EQY_FUND_RELATIVE_PERIOD</stp>
        <stp>-5FY</stp>
        <stp>EQY_FUND_CRNCY</stp>
        <stp>USD</stp>
        <stp>EQY_CONSOLIDATED</stp>
        <stp>Y</stp>
        <stp>Fill=B</stp>
        <tr r="L49" s="8"/>
      </tp>
      <tp>
        <v>11261</v>
        <stp/>
        <stp>##V3_BDPV12</stp>
        <stp>AAPL US EQUITY</stp>
        <stp>BS_CASH_NEAR_CASH_ITEM</stp>
        <stp>[XIDA.xlsm]Financials!R49C13</stp>
        <stp>EQY_FUND_RELATIVE_PERIOD</stp>
        <stp>-4FY</stp>
        <stp>EQY_FUND_CRNCY</stp>
        <stp>USD</stp>
        <stp>EQY_CONSOLIDATED</stp>
        <stp>Y</stp>
        <stp>Fill=B</stp>
        <tr r="M49" s="8"/>
      </tp>
      <tp>
        <v>9815</v>
        <stp/>
        <stp>##V3_BDPV12</stp>
        <stp>AAPL US EQUITY</stp>
        <stp>BS_CASH_NEAR_CASH_ITEM</stp>
        <stp>[XIDA.xlsm]Financials!R49C14</stp>
        <stp>EQY_FUND_RELATIVE_PERIOD</stp>
        <stp>-3FY</stp>
        <stp>EQY_FUND_CRNCY</stp>
        <stp>USD</stp>
        <stp>EQY_CONSOLIDATED</stp>
        <stp>Y</stp>
        <stp>Fill=B</stp>
        <tr r="N49" s="8"/>
      </tp>
      <tp>
        <v>10746</v>
        <stp/>
        <stp>##V3_BDPV12</stp>
        <stp>AAPL US EQUITY</stp>
        <stp>BS_CASH_NEAR_CASH_ITEM</stp>
        <stp>[XIDA.xlsm]Financials!R49C15</stp>
        <stp>EQY_FUND_RELATIVE_PERIOD</stp>
        <stp>-2FY</stp>
        <stp>EQY_FUND_CRNCY</stp>
        <stp>USD</stp>
        <stp>EQY_CONSOLIDATED</stp>
        <stp>Y</stp>
        <stp>Fill=B</stp>
        <tr r="O49" s="8"/>
      </tp>
      <tp>
        <v>14259</v>
        <stp/>
        <stp>##V3_BDPV12</stp>
        <stp>AAPL US EQUITY</stp>
        <stp>BS_CASH_NEAR_CASH_ITEM</stp>
        <stp>[XIDA.xlsm]Financials!R49C16</stp>
        <stp>EQY_FUND_RELATIVE_PERIOD</stp>
        <stp>-1FY</stp>
        <stp>EQY_FUND_CRNCY</stp>
        <stp>USD</stp>
        <stp>EQY_CONSOLIDATED</stp>
        <stp>Y</stp>
        <stp>Fill=B</stp>
        <tr r="P49" s="8"/>
      </tp>
      <tp>
        <v>13844</v>
        <stp/>
        <stp>##V3_BDPV12</stp>
        <stp>AAPL US EQUITY</stp>
        <stp>BS_CASH_NEAR_CASH_ITEM</stp>
        <stp>[XIDA.xlsm]Financials!R49C17</stp>
        <stp>EQY_FUND_RELATIVE_PERIOD</stp>
        <stp>-0FY</stp>
        <stp>EQY_FUND_CRNCY</stp>
        <stp>USD</stp>
        <stp>EQY_CONSOLIDATED</stp>
        <stp>Y</stp>
        <stp>Fill=B</stp>
        <tr r="Q49" s="8"/>
      </tp>
      <tp t="s">
        <v>BLACKBERRY LTD</v>
        <stp/>
        <stp>##V3_BDPV12</stp>
        <stp>BB CN EQUITY</stp>
        <stp>NAME</stp>
        <stp>[XIDA.xlsm]Indices!R6C33</stp>
        <tr r="AG6" s="5"/>
      </tp>
      <tp>
        <v>42248</v>
        <stp/>
        <stp>##V3_BDSV12</stp>
        <stp>AAPL US EQUITY</stp>
        <stp>BEST_EPS_GAAP_BRK_GRID</stp>
        <stp>[XIDA.xlsm]DataH!R84C3</stp>
        <stp>BEST_FPERIOD_OVERRIDE</stp>
        <stp>1FY</stp>
        <stp>EQY_CONSOLIDATED</stp>
        <stp>Y</stp>
        <stp>STARTCOL=4</stp>
        <stp>ENDCOL=4</stp>
        <stp>EQY_FUND_CRNCY</stp>
        <stp>USD</stp>
        <stp>cols=1;rows=51</stp>
        <tr r="C84" s="16"/>
      </tp>
      <tp>
        <v>42614</v>
        <stp/>
        <stp>##V3_BDSV12</stp>
        <stp>AAPL US EQUITY</stp>
        <stp>BEST_EPS_GAAP_BRK_GRID</stp>
        <stp>[XIDA.xlsm]DataH!R84C7</stp>
        <stp>BEST_FPERIOD_OVERRIDE</stp>
        <stp>2FY</stp>
        <stp>EQY_CONSOLIDATED</stp>
        <stp>Y</stp>
        <stp>STARTCOL=4</stp>
        <stp>ENDCOL=4</stp>
        <stp>EQY_FUND_CRNCY</stp>
        <stp>USD</stp>
        <stp>cols=1;rows=50</stp>
        <tr r="G84" s="16"/>
      </tp>
      <tp t="e">
        <v>#N/A</v>
        <stp/>
        <stp>##V3_BDSV12</stp>
        <stp>AAPL US EQUITY</stp>
        <stp>BEST_ANALYST_RECS_BULK</stp>
        <stp>[XIDA.xlsm]Ratings!R27C16</stp>
        <stp>STARTCOL=2</stp>
        <stp>ENDCOL=2</stp>
        <stp>Fill=B</stp>
        <stp>cols=1;rows=54</stp>
        <tr r="P27" s="11"/>
      </tp>
      <tp>
        <v>26.168860968280804</v>
        <stp/>
        <stp>##V3_BDPV12</stp>
        <stp>AAPL US EQUITY</stp>
        <stp>EV_TO_T12M_EBIT</stp>
        <stp>[XIDA.xlsm]Financials!R119C7</stp>
        <stp>EQY_FUND_RELATIVE_PERIOD</stp>
        <stp>-10FY</stp>
        <stp>EQY_FUND_CRNCY</stp>
        <stp>USD</stp>
        <stp>EQY_CONSOLIDATED</stp>
        <stp>Y</stp>
        <stp>Fill=B</stp>
        <tr r="G119" s="8"/>
      </tp>
      <tp t="s">
        <v>KRW</v>
        <stp/>
        <stp>##V3_BDPV12</stp>
        <stp>066570 KS EQUITY</stp>
        <stp>CRNCY</stp>
        <stp>[XIDA.xlsm]Peers!R21C11</stp>
        <tr r="K21" s="4"/>
      </tp>
      <tp>
        <v>101</v>
        <stp/>
        <stp>##V3_BDPV12</stp>
        <stp>AAPL US EQUITY</stp>
        <stp>BS_INVENTORIES</stp>
        <stp>[XIDA.xlsm]Financials!R52C7</stp>
        <stp>EQY_FUND_RELATIVE_PERIOD</stp>
        <stp>-10FY</stp>
        <stp>EQY_FUND_CRNCY</stp>
        <stp>USD</stp>
        <stp>EQY_CONSOLIDATED</stp>
        <stp>Y</stp>
        <stp>Fill=B</stp>
        <tr r="G52" s="8"/>
      </tp>
      <tp>
        <v>101991</v>
        <stp/>
        <stp>##V3_BDSV12</stp>
        <stp>AAPL US EQUITY</stp>
        <stp>PG_REVENUE</stp>
        <stp>[XIDA.xlsm]DataH!R3C7</stp>
        <stp>EQY_FUND_YEAR</stp>
        <stp>2014</stp>
        <stp>EQY_FUND_CRNCY</stp>
        <stp>USD</stp>
        <stp>PRODUCT_GEO_OVERRIDE</stp>
        <stp>P</stp>
        <stp>PG_HIERARCHY_LEVEL=1</stp>
        <stp>FUND_PER</stp>
        <stp>Y</stp>
        <stp>EQY_CONSOLIDATED</stp>
        <stp>Y</stp>
        <stp>StartCol=3</stp>
        <stp>EndCol=3</stp>
        <stp>StartRow=1</stp>
        <stp>EndRow=8</stp>
        <stp>cols=1;rows=7</stp>
        <tr r="G3" s="16"/>
      </tp>
      <tp>
        <v>-5.3964679999999996</v>
        <stp/>
        <stp>##V3_BDPV12</stp>
        <stp>AAPL US EQUITY</stp>
        <stp>CUST_TRR_RETURN_HOLDING_PER</stp>
        <stp>[XIDA.xlsm]Overview!R22C11</stp>
        <stp>CUST_TRR_START_DT</stp>
        <stp>20150101</stp>
        <stp>CUST_TRR_END_DT</stp>
        <stp>20150824</stp>
        <stp>CUST_TRR_CRNCY</stp>
        <stp>USD</stp>
        <tr r="K22" s="3"/>
      </tp>
      <tp>
        <v>0.40200930435073029</v>
        <stp/>
        <stp>##V3_BDPV12</stp>
        <stp>AAPL US EQUITY</stp>
        <stp>FREE_CASH_FLOW_PER_SH</stp>
        <stp>[XIDA.xlsm]Financials!R113C8</stp>
        <stp>EQY_FUND_RELATIVE_PERIOD</stp>
        <stp>-9FY</stp>
        <stp>EQY_FUND_CRNCY</stp>
        <stp>USD</stp>
        <stp>EQY_CONSOLIDATED</stp>
        <stp>Y</stp>
        <stp>Fill=B</stp>
        <tr r="H113" s="8"/>
      </tp>
      <tp>
        <v>0.26453835433787048</v>
        <stp/>
        <stp>##V3_BDPV12</stp>
        <stp>AAPL US EQUITY</stp>
        <stp>FREE_CASH_FLOW_PER_SH</stp>
        <stp>[XIDA.xlsm]Financials!R113C9</stp>
        <stp>EQY_FUND_RELATIVE_PERIOD</stp>
        <stp>-8FY</stp>
        <stp>EQY_FUND_CRNCY</stp>
        <stp>USD</stp>
        <stp>EQY_CONSOLIDATED</stp>
        <stp>Y</stp>
        <stp>Fill=B</stp>
        <tr r="I113" s="8"/>
      </tp>
      <tp t="e">
        <v>#N/A</v>
        <stp/>
        <stp>##V3_BDSV12</stp>
        <stp>AAPL US EQUITY</stp>
        <stp>PCT_GEO_OWNERSHIP</stp>
        <stp>[XIDA.xlsm]DataH!R74C10</stp>
        <stp>StartCol=1</stp>
        <stp>EndCol=2</stp>
        <stp>StartRow=1</stp>
        <stp>EndRow=8</stp>
        <stp>cols=2;rows=8</stp>
        <tr r="J74" s="16"/>
      </tp>
      <tp>
        <v>1.1138916918937101</v>
        <stp/>
        <stp>##V3_BDPV12</stp>
        <stp>AAPL US EQUITY</stp>
        <stp>ASSET_TURNOVER</stp>
        <stp>[XIDA.xlsm]Financials!R141C7</stp>
        <stp>EQY_FUND_RELATIVE_PERIOD</stp>
        <stp>-10FY</stp>
        <stp>EQY_FUND_CRNCY</stp>
        <stp>USD</stp>
        <stp>EQY_CONSOLIDATED</stp>
        <stp>Y</stp>
        <stp>Fill=B</stp>
        <tr r="G141" s="8"/>
      </tp>
      <tp>
        <v>2058.1999999999998</v>
        <stp/>
        <stp>##V3_BDHV12</stp>
        <stp>SPX INDEX</stp>
        <stp>PX_LAST</stp>
        <stp>1/1/2015</stp>
        <stp>4/13/2015</stp>
        <stp>[XIDA.xlsm]ControlsH!R21C12</stp>
        <stp>Dts=H</stp>
        <stp>FX=USD</stp>
        <stp>CDR=US</stp>
        <stp/>
        <stp>Per=CD</stp>
        <stp>cols=1;rows=69</stp>
        <tr r="L21" s="2"/>
      </tp>
      <tp>
        <v>-21.30152</v>
        <stp/>
        <stp>##V3_BDPV12</stp>
        <stp>AAPL US EQUITY</stp>
        <stp>CUST_TRR_RETURN_HOLDING_PER</stp>
        <stp>[XIDA.xlsm]Overview!R20C11</stp>
        <stp>CUST_TRR_START_DT</stp>
        <stp>20150224</stp>
        <stp>CUST_TRR_END_DT</stp>
        <stp>20150824</stp>
        <stp>CUST_TRR_CRNCY</stp>
        <stp>USD</stp>
        <tr r="K20" s="3"/>
      </tp>
      <tp>
        <v>0</v>
        <stp/>
        <stp>##V3_BDPV12</stp>
        <stp>AAPL US EQUITY</stp>
        <stp>CF_DECR_INVEST</stp>
        <stp>[XIDA.xlsm]Financials!R94C10</stp>
        <stp>EQY_FUND_RELATIVE_PERIOD</stp>
        <stp>-7FY</stp>
        <stp>EQY_FUND_CRNCY</stp>
        <stp>USD</stp>
        <stp>EQY_CONSOLIDATED</stp>
        <stp>Y</stp>
        <stp>Fill=B</stp>
        <tr r="J94" s="8"/>
      </tp>
      <tp>
        <v>0</v>
        <stp/>
        <stp>##V3_BDPV12</stp>
        <stp>AAPL US EQUITY</stp>
        <stp>CF_DECR_INVEST</stp>
        <stp>[XIDA.xlsm]Financials!R94C11</stp>
        <stp>EQY_FUND_RELATIVE_PERIOD</stp>
        <stp>-6FY</stp>
        <stp>EQY_FUND_CRNCY</stp>
        <stp>USD</stp>
        <stp>EQY_CONSOLIDATED</stp>
        <stp>Y</stp>
        <stp>Fill=B</stp>
        <tr r="K94" s="8"/>
      </tp>
      <tp>
        <v>0</v>
        <stp/>
        <stp>##V3_BDPV12</stp>
        <stp>AAPL US EQUITY</stp>
        <stp>CF_DECR_INVEST</stp>
        <stp>[XIDA.xlsm]Financials!R94C12</stp>
        <stp>EQY_FUND_RELATIVE_PERIOD</stp>
        <stp>-5FY</stp>
        <stp>EQY_FUND_CRNCY</stp>
        <stp>USD</stp>
        <stp>EQY_CONSOLIDATED</stp>
        <stp>Y</stp>
        <stp>Fill=B</stp>
        <tr r="L94" s="8"/>
      </tp>
      <tp>
        <v>0</v>
        <stp/>
        <stp>##V3_BDPV12</stp>
        <stp>AAPL US EQUITY</stp>
        <stp>CF_DECR_INVEST</stp>
        <stp>[XIDA.xlsm]Financials!R94C13</stp>
        <stp>EQY_FUND_RELATIVE_PERIOD</stp>
        <stp>-4FY</stp>
        <stp>EQY_FUND_CRNCY</stp>
        <stp>USD</stp>
        <stp>EQY_CONSOLIDATED</stp>
        <stp>Y</stp>
        <stp>Fill=B</stp>
        <tr r="M94" s="8"/>
      </tp>
      <tp>
        <v>0</v>
        <stp/>
        <stp>##V3_BDPV12</stp>
        <stp>AAPL US EQUITY</stp>
        <stp>CF_DECR_INVEST</stp>
        <stp>[XIDA.xlsm]Financials!R94C14</stp>
        <stp>EQY_FUND_RELATIVE_PERIOD</stp>
        <stp>-3FY</stp>
        <stp>EQY_FUND_CRNCY</stp>
        <stp>USD</stp>
        <stp>EQY_CONSOLIDATED</stp>
        <stp>Y</stp>
        <stp>Fill=B</stp>
        <tr r="N94" s="8"/>
      </tp>
      <tp>
        <v>0</v>
        <stp/>
        <stp>##V3_BDPV12</stp>
        <stp>AAPL US EQUITY</stp>
        <stp>CF_DECR_INVEST</stp>
        <stp>[XIDA.xlsm]Financials!R94C15</stp>
        <stp>EQY_FUND_RELATIVE_PERIOD</stp>
        <stp>-2FY</stp>
        <stp>EQY_FUND_CRNCY</stp>
        <stp>USD</stp>
        <stp>EQY_CONSOLIDATED</stp>
        <stp>Y</stp>
        <stp>Fill=B</stp>
        <tr r="O94" s="8"/>
      </tp>
      <tp>
        <v>0</v>
        <stp/>
        <stp>##V3_BDPV12</stp>
        <stp>AAPL US EQUITY</stp>
        <stp>CF_DECR_INVEST</stp>
        <stp>[XIDA.xlsm]Financials!R94C16</stp>
        <stp>EQY_FUND_RELATIVE_PERIOD</stp>
        <stp>-1FY</stp>
        <stp>EQY_FUND_CRNCY</stp>
        <stp>USD</stp>
        <stp>EQY_CONSOLIDATED</stp>
        <stp>Y</stp>
        <stp>Fill=B</stp>
        <tr r="P94" s="8"/>
      </tp>
      <tp>
        <v>0</v>
        <stp/>
        <stp>##V3_BDPV12</stp>
        <stp>AAPL US EQUITY</stp>
        <stp>CF_DECR_INVEST</stp>
        <stp>[XIDA.xlsm]Financials!R94C17</stp>
        <stp>EQY_FUND_RELATIVE_PERIOD</stp>
        <stp>-0FY</stp>
        <stp>EQY_FUND_CRNCY</stp>
        <stp>USD</stp>
        <stp>EQY_CONSOLIDATED</stp>
        <stp>Y</stp>
        <stp>Fill=B</stp>
        <tr r="Q94" s="8"/>
      </tp>
      <tp t="s">
        <v>03/2015</v>
        <stp/>
        <stp>##V3_BDPV12</stp>
        <stp>6758 JP EQUITY</stp>
        <stp>EQY_FISCAL_YR_END</stp>
        <stp>[XIDA.xlsm]Peers!R20C29</stp>
        <tr r="AC20" s="4"/>
      </tp>
      <tp>
        <v>16.610032554713307</v>
        <stp/>
        <stp>##V3_BDPV12</stp>
        <stp>AAPL US EQUITY</stp>
        <stp>RETURN_ON_ASSET</stp>
        <stp>[XIDA.xlsm]Financials!R130C10</stp>
        <stp>EQY_FUND_RELATIVE_PERIOD</stp>
        <stp>-7FY</stp>
        <stp>EQY_FUND_CRNCY</stp>
        <stp>USD</stp>
        <stp>EQY_CONSOLIDATED</stp>
        <stp>Y</stp>
        <stp>Fill=0</stp>
        <tr r="J130" s="8"/>
      </tp>
      <tp>
        <v>20.046192402823962</v>
        <stp/>
        <stp>##V3_BDPV12</stp>
        <stp>AAPL US EQUITY</stp>
        <stp>RETURN_ON_ASSET</stp>
        <stp>[XIDA.xlsm]Financials!R130C11</stp>
        <stp>EQY_FUND_RELATIVE_PERIOD</stp>
        <stp>-6FY</stp>
        <stp>EQY_FUND_CRNCY</stp>
        <stp>USD</stp>
        <stp>EQY_CONSOLIDATED</stp>
        <stp>Y</stp>
        <stp>Fill=0</stp>
        <tr r="K130" s="8"/>
      </tp>
      <tp>
        <v>19.684004206903147</v>
        <stp/>
        <stp>##V3_BDPV12</stp>
        <stp>AAPL US EQUITY</stp>
        <stp>RETURN_ON_ASSET</stp>
        <stp>[XIDA.xlsm]Financials!R130C12</stp>
        <stp>EQY_FUND_RELATIVE_PERIOD</stp>
        <stp>-5FY</stp>
        <stp>EQY_FUND_CRNCY</stp>
        <stp>USD</stp>
        <stp>EQY_CONSOLIDATED</stp>
        <stp>Y</stp>
        <stp>Fill=0</stp>
        <tr r="L130" s="8"/>
      </tp>
      <tp>
        <v>22.844054644452413</v>
        <stp/>
        <stp>##V3_BDPV12</stp>
        <stp>AAPL US EQUITY</stp>
        <stp>RETURN_ON_ASSET</stp>
        <stp>[XIDA.xlsm]Financials!R130C13</stp>
        <stp>EQY_FUND_RELATIVE_PERIOD</stp>
        <stp>-4FY</stp>
        <stp>EQY_FUND_CRNCY</stp>
        <stp>USD</stp>
        <stp>EQY_CONSOLIDATED</stp>
        <stp>Y</stp>
        <stp>Fill=0</stp>
        <tr r="M130" s="8"/>
      </tp>
      <tp>
        <v>27.064952963655159</v>
        <stp/>
        <stp>##V3_BDPV12</stp>
        <stp>AAPL US EQUITY</stp>
        <stp>RETURN_ON_ASSET</stp>
        <stp>[XIDA.xlsm]Financials!R130C14</stp>
        <stp>EQY_FUND_RELATIVE_PERIOD</stp>
        <stp>-3FY</stp>
        <stp>EQY_FUND_CRNCY</stp>
        <stp>USD</stp>
        <stp>EQY_CONSOLIDATED</stp>
        <stp>Y</stp>
        <stp>Fill=0</stp>
        <tr r="N130" s="8"/>
      </tp>
      <tp>
        <v>28.54172722143382</v>
        <stp/>
        <stp>##V3_BDPV12</stp>
        <stp>AAPL US EQUITY</stp>
        <stp>RETURN_ON_ASSET</stp>
        <stp>[XIDA.xlsm]Financials!R130C15</stp>
        <stp>EQY_FUND_RELATIVE_PERIOD</stp>
        <stp>-2FY</stp>
        <stp>EQY_FUND_CRNCY</stp>
        <stp>USD</stp>
        <stp>EQY_CONSOLIDATED</stp>
        <stp>Y</stp>
        <stp>Fill=0</stp>
        <tr r="O130" s="8"/>
      </tp>
      <tp>
        <v>19.337238685963705</v>
        <stp/>
        <stp>##V3_BDPV12</stp>
        <stp>AAPL US EQUITY</stp>
        <stp>RETURN_ON_ASSET</stp>
        <stp>[XIDA.xlsm]Financials!R130C16</stp>
        <stp>EQY_FUND_RELATIVE_PERIOD</stp>
        <stp>-1FY</stp>
        <stp>EQY_FUND_CRNCY</stp>
        <stp>USD</stp>
        <stp>EQY_CONSOLIDATED</stp>
        <stp>Y</stp>
        <stp>Fill=0</stp>
        <tr r="P130" s="8"/>
      </tp>
      <tp>
        <v>18.006603788633189</v>
        <stp/>
        <stp>##V3_BDPV12</stp>
        <stp>AAPL US EQUITY</stp>
        <stp>RETURN_ON_ASSET</stp>
        <stp>[XIDA.xlsm]Financials!R130C17</stp>
        <stp>EQY_FUND_RELATIVE_PERIOD</stp>
        <stp>-0FY</stp>
        <stp>EQY_FUND_CRNCY</stp>
        <stp>USD</stp>
        <stp>EQY_CONSOLIDATED</stp>
        <stp>Y</stp>
        <stp>Fill=0</stp>
        <tr r="Q130" s="8"/>
      </tp>
      <tp t="e">
        <v>#N/A</v>
        <stp/>
        <stp>##V3_BDSV12</stp>
        <stp>AAPL US EQUITY</stp>
        <stp>BEST_ANALYST_RECS_BULK</stp>
        <stp>[XIDA.xlsm]Ratings!R27C20</stp>
        <stp>STARTCOL=6</stp>
        <stp>ENDCOL=6</stp>
        <stp>Fill=B</stp>
        <stp>cols=1;rows=54</stp>
        <tr r="T27" s="11"/>
      </tp>
      <tp>
        <v>6225.0439999999999</v>
        <stp/>
        <stp>##V3_BDPV12</stp>
        <stp>AAPL US EQUITY</stp>
        <stp>IS_SH_FOR_DILUTED_EPS</stp>
        <stp>[XIDA.xlsm]Financials!R41C10</stp>
        <stp>EQY_FUND_RELATIVE_PERIOD</stp>
        <stp>-7FY</stp>
        <stp>EQY_FUND_CRNCY</stp>
        <stp>USD</stp>
        <stp>EQY_CONSOLIDATED</stp>
        <stp>Y</stp>
        <stp>Fill=B</stp>
        <tr r="J41" s="8"/>
      </tp>
      <tp>
        <v>6314.973</v>
        <stp/>
        <stp>##V3_BDPV12</stp>
        <stp>AAPL US EQUITY</stp>
        <stp>IS_SH_FOR_DILUTED_EPS</stp>
        <stp>[XIDA.xlsm]Financials!R41C11</stp>
        <stp>EQY_FUND_RELATIVE_PERIOD</stp>
        <stp>-6FY</stp>
        <stp>EQY_FUND_CRNCY</stp>
        <stp>USD</stp>
        <stp>EQY_CONSOLIDATED</stp>
        <stp>Y</stp>
        <stp>Fill=B</stp>
        <tr r="K41" s="8"/>
      </tp>
      <tp>
        <v>6349.0349999999999</v>
        <stp/>
        <stp>##V3_BDPV12</stp>
        <stp>AAPL US EQUITY</stp>
        <stp>IS_SH_FOR_DILUTED_EPS</stp>
        <stp>[XIDA.xlsm]Financials!R41C12</stp>
        <stp>EQY_FUND_RELATIVE_PERIOD</stp>
        <stp>-5FY</stp>
        <stp>EQY_FUND_CRNCY</stp>
        <stp>USD</stp>
        <stp>EQY_CONSOLIDATED</stp>
        <stp>Y</stp>
        <stp>Fill=B</stp>
        <tr r="L41" s="8"/>
      </tp>
      <tp>
        <v>6472.9839999999995</v>
        <stp/>
        <stp>##V3_BDPV12</stp>
        <stp>AAPL US EQUITY</stp>
        <stp>IS_SH_FOR_DILUTED_EPS</stp>
        <stp>[XIDA.xlsm]Financials!R41C13</stp>
        <stp>EQY_FUND_RELATIVE_PERIOD</stp>
        <stp>-4FY</stp>
        <stp>EQY_FUND_CRNCY</stp>
        <stp>USD</stp>
        <stp>EQY_CONSOLIDATED</stp>
        <stp>Y</stp>
        <stp>Fill=B</stp>
        <tr r="M41" s="8"/>
      </tp>
      <tp>
        <v>6556.5149999999985</v>
        <stp/>
        <stp>##V3_BDPV12</stp>
        <stp>AAPL US EQUITY</stp>
        <stp>IS_SH_FOR_DILUTED_EPS</stp>
        <stp>[XIDA.xlsm]Financials!R41C14</stp>
        <stp>EQY_FUND_RELATIVE_PERIOD</stp>
        <stp>-3FY</stp>
        <stp>EQY_FUND_CRNCY</stp>
        <stp>USD</stp>
        <stp>EQY_CONSOLIDATED</stp>
        <stp>Y</stp>
        <stp>Fill=B</stp>
        <tr r="N41" s="8"/>
      </tp>
      <tp>
        <v>6617.4850000000006</v>
        <stp/>
        <stp>##V3_BDPV12</stp>
        <stp>AAPL US EQUITY</stp>
        <stp>IS_SH_FOR_DILUTED_EPS</stp>
        <stp>[XIDA.xlsm]Financials!R41C15</stp>
        <stp>EQY_FUND_RELATIVE_PERIOD</stp>
        <stp>-2FY</stp>
        <stp>EQY_FUND_CRNCY</stp>
        <stp>USD</stp>
        <stp>EQY_CONSOLIDATED</stp>
        <stp>Y</stp>
        <stp>Fill=B</stp>
        <tr r="O41" s="8"/>
      </tp>
      <tp>
        <v>6521.634</v>
        <stp/>
        <stp>##V3_BDPV12</stp>
        <stp>AAPL US EQUITY</stp>
        <stp>IS_SH_FOR_DILUTED_EPS</stp>
        <stp>[XIDA.xlsm]Financials!R41C16</stp>
        <stp>EQY_FUND_RELATIVE_PERIOD</stp>
        <stp>-1FY</stp>
        <stp>EQY_FUND_CRNCY</stp>
        <stp>USD</stp>
        <stp>EQY_CONSOLIDATED</stp>
        <stp>Y</stp>
        <stp>Fill=B</stp>
        <tr r="P41" s="8"/>
      </tp>
      <tp>
        <v>6122.6629999999996</v>
        <stp/>
        <stp>##V3_BDPV12</stp>
        <stp>AAPL US EQUITY</stp>
        <stp>IS_SH_FOR_DILUTED_EPS</stp>
        <stp>[XIDA.xlsm]Financials!R41C17</stp>
        <stp>EQY_FUND_RELATIVE_PERIOD</stp>
        <stp>-0FY</stp>
        <stp>EQY_FUND_CRNCY</stp>
        <stp>USD</stp>
        <stp>EQY_CONSOLIDATED</stp>
        <stp>Y</stp>
        <stp>Fill=B</stp>
        <tr r="Q41" s="8"/>
      </tp>
      <tp>
        <v>11.293396123097143</v>
        <stp/>
        <stp>##V3_BDPV12</stp>
        <stp>AAPL US EQUITY</stp>
        <stp>BEST_PE_RATIO</stp>
        <stp>[XIDA.xlsm]Overview!R33C9</stp>
        <stp>BEST_FPERIOD_OVERRIDE</stp>
        <stp>1FY</stp>
        <stp>BEST_CONSOLIDATED_OVERRIDE</stp>
        <stp>C</stp>
        <stp>Fill=-</stp>
        <tr r="I33" s="3"/>
      </tp>
      <tp t="s">
        <v>CISCO SYSTEMS INC</v>
        <stp/>
        <stp>##V3_BDPV12</stp>
        <stp>CSCO US EQUITY</stp>
        <stp>NAME</stp>
        <stp>[XIDA.xlsm]Peers!R23C5</stp>
        <tr r="E23" s="4"/>
      </tp>
      <tp t="s">
        <v>9/30/2011</v>
        <stp/>
        <stp>##V3_BDPV12</stp>
        <stp>AAPL US EQUITY</stp>
        <stp>BEST_PERIOD_END_DATE</stp>
        <stp>[XIDA.xlsm]Overview!R32C5</stp>
        <stp>BEST_FPERIOD_OVERRIDE</stp>
        <stp>-3FY</stp>
        <tr r="E32" s="3"/>
        <tr r="E32" s="3"/>
      </tp>
      <tp t="s">
        <v>#N/A Requesting Data...</v>
        <stp/>
        <stp>##V3_BDSV12</stp>
        <stp>AAPL US EQUITY</stp>
        <stp>BEST_OP_INC_BRK_GRID</stp>
        <stp>[XIDA.xlsm]DataH!R8C61</stp>
        <stp>BEST_FPERIOD_OVERRIDE</stp>
        <stp>1FQ</stp>
        <stp>STARTCOL=1</stp>
        <stp>ENDCOL=1</stp>
        <stp>EQY_FUND_CRNCY</stp>
        <stp>USD</stp>
        <stp>BEST_CONSOLIDATED_OVERRIDE</stp>
        <stp>C</stp>
        <tr r="BI8" s="16"/>
      </tp>
      <tp>
        <v>-13.413259999999999</v>
        <stp/>
        <stp>##V3_BDPV12</stp>
        <stp>6758 JP EQUITY</stp>
        <stp>CUST_TRR_RETURN_HOLDING_PER</stp>
        <stp>[XIDA.xlsm]DataH!R25C7</stp>
        <stp>CUST_TRR_START_DT</stp>
        <stp>20150224</stp>
        <stp>CUST_TRR_END_DT</stp>
        <stp>20150824</stp>
        <stp>CUST_TRR_CRNCY</stp>
        <stp>USD</stp>
        <tr r="G25" s="16"/>
      </tp>
      <tp>
        <v>80095</v>
        <stp/>
        <stp>##V3_BDSV12</stp>
        <stp>AAPL US EQUITY</stp>
        <stp>PG_REVENUE</stp>
        <stp>[XIDA.xlsm]DataH!R3C9</stp>
        <stp>EQY_FUND_YEAR</stp>
        <stp>2014</stp>
        <stp>EQY_FUND_CRNCY</stp>
        <stp>USD</stp>
        <stp>PRODUCT_GEO_OVERRIDE</stp>
        <stp>G</stp>
        <stp>PG_HIERARCHY_LEVEL=1</stp>
        <stp>FUND_PER</stp>
        <stp>Y</stp>
        <stp>EQY_CONSOLIDATED</stp>
        <stp>Y</stp>
        <stp>StartCol=3</stp>
        <stp>EndCol=3</stp>
        <stp>StartRow=1</stp>
        <stp>EndRow=8</stp>
        <stp>cols=1;rows=5</stp>
        <tr r="I3" s="16"/>
      </tp>
      <tp>
        <v>434</v>
        <stp/>
        <stp>##V3_BDPV12</stp>
        <stp>AAPL US EQUITY</stp>
        <stp>BS_OTHER_ASSET_DEF_CHNG_OTHER</stp>
        <stp>[XIDA.xlsm]Financials!R60C8</stp>
        <stp>EQY_FUND_RELATIVE_PERIOD</stp>
        <stp>-9FY</stp>
        <stp>EQY_FUND_CRNCY</stp>
        <stp>USD</stp>
        <stp>EQY_CONSOLIDATED</stp>
        <stp>Y</stp>
        <stp>Fill=B</stp>
        <tr r="H60" s="8"/>
      </tp>
      <tp>
        <v>1415</v>
        <stp/>
        <stp>##V3_BDPV12</stp>
        <stp>AAPL US EQUITY</stp>
        <stp>BS_OTHER_ASSET_DEF_CHNG_OTHER</stp>
        <stp>[XIDA.xlsm]Financials!R60C9</stp>
        <stp>EQY_FUND_RELATIVE_PERIOD</stp>
        <stp>-8FY</stp>
        <stp>EQY_FUND_CRNCY</stp>
        <stp>USD</stp>
        <stp>EQY_CONSOLIDATED</stp>
        <stp>Y</stp>
        <stp>Fill=B</stp>
        <tr r="I60" s="8"/>
      </tp>
      <tp t="e">
        <v>#N/A</v>
        <stp/>
        <stp>##V3_BDSV12</stp>
        <stp>AAPL US EQUITY</stp>
        <stp>BEST_ANALYST_RECS_BULK</stp>
        <stp>[XIDA.xlsm]Ratings!R27C21</stp>
        <stp>STARTCOL=8</stp>
        <stp>ENDCOL=8</stp>
        <stp>Fill=B</stp>
        <stp>cols=1;rows=54</stp>
        <tr r="U27" s="11"/>
      </tp>
      <tp t="s">
        <v>HEWLETT-PACKARD CO</v>
        <stp/>
        <stp>##V3_BDPV12</stp>
        <stp>HPQ US EQUITY</stp>
        <stp>NAME</stp>
        <stp>[XIDA.xlsm]Peers!R22C5</stp>
        <tr r="E22" s="4"/>
      </tp>
      <tp>
        <v>54714.125</v>
        <stp/>
        <stp>##V3_BDPV12</stp>
        <stp>AAPL US EQUITY</stp>
        <stp>BEST_NET_GAAP</stp>
        <stp>[XIDA.xlsm]Financials!R85C19</stp>
        <stp>BEST_FPERIOD_OVERRIDE</stp>
        <stp>2FY</stp>
        <stp>EQY_FUND_CRNCY</stp>
        <stp>USD</stp>
        <stp>BEST_CONSOLIDATED_OVERRIDE</stp>
        <stp>C</stp>
        <stp>Fill=B</stp>
        <tr r="S85" s="8"/>
      </tp>
      <tp>
        <v>53195.65</v>
        <stp/>
        <stp>##V3_BDPV12</stp>
        <stp>AAPL US EQUITY</stp>
        <stp>BEST_NET_GAAP</stp>
        <stp>[XIDA.xlsm]Financials!R85C18</stp>
        <stp>BEST_FPERIOD_OVERRIDE</stp>
        <stp>1FY</stp>
        <stp>EQY_FUND_CRNCY</stp>
        <stp>USD</stp>
        <stp>BEST_CONSOLIDATED_OVERRIDE</stp>
        <stp>C</stp>
        <stp>Fill=B</stp>
        <tr r="R85" s="8"/>
      </tp>
      <tp t="s">
        <v>9/30/2012</v>
        <stp/>
        <stp>##V3_BDPV12</stp>
        <stp>AAPL US EQUITY</stp>
        <stp>BEST_PERIOD_END_DATE</stp>
        <stp>[XIDA.xlsm]Overview!R32C6</stp>
        <stp>BEST_FPERIOD_OVERRIDE</stp>
        <stp>-2FY</stp>
        <tr r="F32" s="3"/>
        <tr r="F32" s="3"/>
      </tp>
      <tp>
        <v>41.673231194636919</v>
        <stp/>
        <stp>##V3_BDPV12</stp>
        <stp>AAPL US EQUITY</stp>
        <stp>RETURN_COM_EQY</stp>
        <stp>[XIDA.xlsm]Overview!R47C5</stp>
        <stp>EQY_FUND_RELATIVE_PERIOD</stp>
        <stp>-3FY</stp>
        <stp>EQY_CONSOLIDATED</stp>
        <stp>Y</stp>
        <stp>Fill=-</stp>
        <tr r="E47" s="3"/>
      </tp>
      <tp>
        <v>30.639603903060486</v>
        <stp/>
        <stp>##V3_BDPV12</stp>
        <stp>AAPL US EQUITY</stp>
        <stp>RETURN_COM_EQY</stp>
        <stp>[XIDA.xlsm]Overview!R47C7</stp>
        <stp>EQY_FUND_RELATIVE_PERIOD</stp>
        <stp>-1FY</stp>
        <stp>EQY_CONSOLIDATED</stp>
        <stp>Y</stp>
        <stp>Fill=-</stp>
        <tr r="G47" s="3"/>
      </tp>
      <tp>
        <v>42.841524445014755</v>
        <stp/>
        <stp>##V3_BDPV12</stp>
        <stp>AAPL US EQUITY</stp>
        <stp>RETURN_COM_EQY</stp>
        <stp>[XIDA.xlsm]Overview!R47C6</stp>
        <stp>EQY_FUND_RELATIVE_PERIOD</stp>
        <stp>-2FY</stp>
        <stp>EQY_CONSOLIDATED</stp>
        <stp>Y</stp>
        <stp>Fill=-</stp>
        <tr r="F47" s="3"/>
      </tp>
      <tp>
        <v>33.611801136556977</v>
        <stp/>
        <stp>##V3_BDPV12</stp>
        <stp>AAPL US EQUITY</stp>
        <stp>RETURN_COM_EQY</stp>
        <stp>[XIDA.xlsm]Overview!R47C8</stp>
        <stp>EQY_FUND_RELATIVE_PERIOD</stp>
        <stp>-0FY</stp>
        <stp>EQY_CONSOLIDATED</stp>
        <stp>Y</stp>
        <stp>Fill=-</stp>
        <tr r="H47" s="3"/>
      </tp>
      <tp>
        <v>0.1100265029289621</v>
        <stp/>
        <stp>##V3_BDPV12</stp>
        <stp>066570 KS EQUITY</stp>
        <stp>BEST_PX_SALES_RATIO</stp>
        <stp>[XIDA.xlsm]DataH!R26C14</stp>
        <stp>BEST_FPERIOD_OVERRIDE</stp>
        <stp>17BC</stp>
        <stp>EQY_CONSOLIDATED</stp>
        <stp>Y</stp>
        <tr r="N26" s="16"/>
      </tp>
      <tp t="s">
        <v>#N/A N/A</v>
        <stp/>
        <stp>##V3_BDPV12</stp>
        <stp>AAPL US EQUITY</stp>
        <stp>RTG_FITCH_OUTLOOK</stp>
        <stp>[XIDA.xlsm]Overview!R28C11</stp>
        <tr r="K28" s="3"/>
      </tp>
      <tp t="s">
        <v>USD</v>
        <stp/>
        <stp>##V3_BDPV12</stp>
        <stp>AAPL US EQUITY</stp>
        <stp>CRNCY</stp>
        <stp>[XIDA.xlsm]Ratings!R8C2</stp>
        <tr r="B8" s="11"/>
      </tp>
      <tp t="s">
        <v>HEWLETT-PACKARD CO</v>
        <stp/>
        <stp>##V3_BDPV12</stp>
        <stp>HPQ US EQUITY</stp>
        <stp>NAME</stp>
        <stp>[XIDA.xlsm]Indices!R6C36</stp>
        <tr r="AJ6" s="5"/>
      </tp>
      <tp>
        <v>3</v>
        <stp/>
        <stp>##V3_BDPV12</stp>
        <stp>AAPL US EQUITY</stp>
        <stp>IS_INT_EXPENSE</stp>
        <stp>[XIDA.xlsm]Financials!R22C7</stp>
        <stp>EQY_FUND_RELATIVE_PERIOD</stp>
        <stp>-10FY</stp>
        <stp>EQY_FUND_CRNCY</stp>
        <stp>USD</stp>
        <stp>EQY_CONSOLIDATED</stp>
        <stp>Y</stp>
        <stp>Fill=B</stp>
        <tr r="G22" s="8"/>
      </tp>
      <tp>
        <v>0</v>
        <stp/>
        <stp>##V3_BDPV12</stp>
        <stp>AAPL US EQUITY</stp>
        <stp>IS_DIV_PER_SHR</stp>
        <stp>[XIDA.xlsm]Financials!R37C7</stp>
        <stp>EQY_FUND_RELATIVE_PERIOD</stp>
        <stp>-10FY</stp>
        <stp>EQY_FUND_CRNCY</stp>
        <stp>USD</stp>
        <stp>EQY_CONSOLIDATED</stp>
        <stp>Y</stp>
        <stp>Fill=B</stp>
        <tr r="G37" s="8"/>
      </tp>
      <tp t="s">
        <v>KRW</v>
        <stp/>
        <stp>##V3_BDPV12</stp>
        <stp>005930 KS EQUITY</stp>
        <stp>CRNCY</stp>
        <stp>[XIDA.xlsm]Peers!R18C11</stp>
        <tr r="K18" s="4"/>
      </tp>
      <tp t="s">
        <v>9/30/2013</v>
        <stp/>
        <stp>##V3_BDPV12</stp>
        <stp>AAPL US EQUITY</stp>
        <stp>BEST_PERIOD_END_DATE</stp>
        <stp>[XIDA.xlsm]Overview!R32C7</stp>
        <stp>BEST_FPERIOD_OVERRIDE</stp>
        <stp>-1FY</stp>
        <tr r="G32" s="3"/>
        <tr r="G32" s="3"/>
      </tp>
      <tp>
        <v>58310.421000000002</v>
        <stp/>
        <stp>##V3_BDPV12</stp>
        <stp>AAPL US EQUITY</stp>
        <stp>BEST_NET_GAAP</stp>
        <stp>[XIDA.xlsm]Financials!R85C20</stp>
        <stp>BEST_FPERIOD_OVERRIDE</stp>
        <stp>3FY</stp>
        <stp>EQY_FUND_CRNCY</stp>
        <stp>USD</stp>
        <stp>BEST_CONSOLIDATED_OVERRIDE</stp>
        <stp>C</stp>
        <stp>Fill=B</stp>
        <tr r="T85" s="8"/>
      </tp>
      <tp t="s">
        <v>#N/A Requesting Data...</v>
        <stp/>
        <stp>##V3_BDSV12</stp>
        <stp>AAPL US EQUITY</stp>
        <stp>BEST_OP_INC_BRK_GRID</stp>
        <stp>[XIDA.xlsm]DataH!R8C63</stp>
        <stp>BEST_FPERIOD_OVERRIDE</stp>
        <stp>1FQ</stp>
        <stp>STARTCOL=6</stp>
        <stp>ENDCOL=6</stp>
        <stp>EQY_FUND_CRNCY</stp>
        <stp>USD</stp>
        <stp>BEST_CONSOLIDATED_OVERRIDE</stp>
        <stp>C</stp>
        <tr r="BK8" s="16"/>
      </tp>
      <tp t="e">
        <v>#N/A</v>
        <stp/>
        <stp>##V3_BDSV12</stp>
        <stp>AAPL US EQUITY</stp>
        <stp>BEST_ANALYST_RECS_BULK</stp>
        <stp>[XIDA.xlsm]Ratings!R27C18</stp>
        <stp>STARTCOL=3</stp>
        <stp>ENDCOL=3</stp>
        <stp>Fill=B</stp>
        <stp>cols=1;rows=54</stp>
        <tr r="R27" s="11"/>
      </tp>
      <tp t="s">
        <v>ALCATEL-LUCENT</v>
        <stp/>
        <stp>##V3_BDPV12</stp>
        <stp>ALU FP EQUITY</stp>
        <stp>NAME</stp>
        <stp>[XIDA.xlsm]Peers!R24C5</stp>
        <tr r="E24" s="4"/>
      </tp>
      <tp>
        <v>25.029642444621885</v>
        <stp/>
        <stp>##V3_BDPV12</stp>
        <stp>AAPL US EQUITY</stp>
        <stp>EV_TO_T12M_EBITDA</stp>
        <stp>[XIDA.xlsm]Financials!R120C10</stp>
        <stp>EQY_FUND_RELATIVE_PERIOD</stp>
        <stp>-7FY</stp>
        <stp>EQY_FUND_CRNCY</stp>
        <stp>USD</stp>
        <stp>EQY_CONSOLIDATED</stp>
        <stp>Y</stp>
        <stp>Fill=B</stp>
        <tr r="J120" s="8"/>
      </tp>
      <tp>
        <v>10.135886067949677</v>
        <stp/>
        <stp>##V3_BDPV12</stp>
        <stp>AAPL US EQUITY</stp>
        <stp>EV_TO_T12M_EBITDA</stp>
        <stp>[XIDA.xlsm]Financials!R120C11</stp>
        <stp>EQY_FUND_RELATIVE_PERIOD</stp>
        <stp>-6FY</stp>
        <stp>EQY_FUND_CRNCY</stp>
        <stp>USD</stp>
        <stp>EQY_CONSOLIDATED</stp>
        <stp>Y</stp>
        <stp>Fill=B</stp>
        <tr r="K120" s="8"/>
      </tp>
      <tp>
        <v>10.430137007776176</v>
        <stp/>
        <stp>##V3_BDPV12</stp>
        <stp>AAPL US EQUITY</stp>
        <stp>EV_TO_T12M_EBITDA</stp>
        <stp>[XIDA.xlsm]Financials!R120C12</stp>
        <stp>EQY_FUND_RELATIVE_PERIOD</stp>
        <stp>-5FY</stp>
        <stp>EQY_FUND_CRNCY</stp>
        <stp>USD</stp>
        <stp>EQY_CONSOLIDATED</stp>
        <stp>Y</stp>
        <stp>Fill=B</stp>
        <tr r="L120" s="8"/>
      </tp>
      <tp>
        <v>11.165534979188131</v>
        <stp/>
        <stp>##V3_BDPV12</stp>
        <stp>AAPL US EQUITY</stp>
        <stp>EV_TO_T12M_EBITDA</stp>
        <stp>[XIDA.xlsm]Financials!R120C13</stp>
        <stp>EQY_FUND_RELATIVE_PERIOD</stp>
        <stp>-4FY</stp>
        <stp>EQY_FUND_CRNCY</stp>
        <stp>USD</stp>
        <stp>EQY_CONSOLIDATED</stp>
        <stp>Y</stp>
        <stp>Fill=B</stp>
        <tr r="M120" s="8"/>
      </tp>
      <tp>
        <v>8.2613383636670044</v>
        <stp/>
        <stp>##V3_BDPV12</stp>
        <stp>AAPL US EQUITY</stp>
        <stp>EV_TO_T12M_EBITDA</stp>
        <stp>[XIDA.xlsm]Financials!R120C14</stp>
        <stp>EQY_FUND_RELATIVE_PERIOD</stp>
        <stp>-3FY</stp>
        <stp>EQY_FUND_CRNCY</stp>
        <stp>USD</stp>
        <stp>EQY_CONSOLIDATED</stp>
        <stp>Y</stp>
        <stp>Fill=B</stp>
        <tr r="N120" s="8"/>
      </tp>
      <tp>
        <v>8.6349388707748034</v>
        <stp/>
        <stp>##V3_BDPV12</stp>
        <stp>AAPL US EQUITY</stp>
        <stp>EV_TO_T12M_EBITDA</stp>
        <stp>[XIDA.xlsm]Financials!R120C15</stp>
        <stp>EQY_FUND_RELATIVE_PERIOD</stp>
        <stp>-2FY</stp>
        <stp>EQY_FUND_CRNCY</stp>
        <stp>USD</stp>
        <stp>EQY_CONSOLIDATED</stp>
        <stp>Y</stp>
        <stp>Fill=B</stp>
        <tr r="O120" s="8"/>
      </tp>
      <tp>
        <v>5.457602334277925</v>
        <stp/>
        <stp>##V3_BDPV12</stp>
        <stp>AAPL US EQUITY</stp>
        <stp>EV_TO_T12M_EBITDA</stp>
        <stp>[XIDA.xlsm]Financials!R120C16</stp>
        <stp>EQY_FUND_RELATIVE_PERIOD</stp>
        <stp>-1FY</stp>
        <stp>EQY_FUND_CRNCY</stp>
        <stp>USD</stp>
        <stp>EQY_CONSOLIDATED</stp>
        <stp>Y</stp>
        <stp>Fill=B</stp>
        <tr r="P120" s="8"/>
      </tp>
      <tp>
        <v>7.792878637363728</v>
        <stp/>
        <stp>##V3_BDPV12</stp>
        <stp>AAPL US EQUITY</stp>
        <stp>EV_TO_T12M_EBITDA</stp>
        <stp>[XIDA.xlsm]Financials!R120C17</stp>
        <stp>EQY_FUND_RELATIVE_PERIOD</stp>
        <stp>-0FY</stp>
        <stp>EQY_FUND_CRNCY</stp>
        <stp>USD</stp>
        <stp>EQY_CONSOLIDATED</stp>
        <stp>Y</stp>
        <stp>Fill=B</stp>
        <tr r="Q120" s="8"/>
      </tp>
      <tp t="s">
        <v>9/30/2014</v>
        <stp/>
        <stp>##V3_BDPV12</stp>
        <stp>AAPL US EQUITY</stp>
        <stp>BEST_PERIOD_END_DATE</stp>
        <stp>[XIDA.xlsm]Overview!R32C8</stp>
        <stp>BEST_FPERIOD_OVERRIDE</stp>
        <stp>-0FY</stp>
        <tr r="H32" s="3"/>
        <tr r="H32" s="3"/>
      </tp>
      <tp t="s">
        <v>#N/A Requesting Data...</v>
        <stp/>
        <stp>##V3_BDSV12</stp>
        <stp>AAPL US EQUITY</stp>
        <stp>BEST_OP_INC_BRK_GRID</stp>
        <stp>[XIDA.xlsm]DataH!R8C62</stp>
        <stp>BEST_FPERIOD_OVERRIDE</stp>
        <stp>1FQ</stp>
        <stp>STARTCOL=4</stp>
        <stp>ENDCOL=4</stp>
        <stp>EQY_FUND_CRNCY</stp>
        <stp>USD</stp>
        <stp>BEST_CONSOLIDATED_OVERRIDE</stp>
        <stp>C</stp>
        <tr r="BJ8" s="16"/>
      </tp>
      <tp>
        <v>-16.798590000000001</v>
        <stp/>
        <stp>##V3_BDPV12</stp>
        <stp>AAPL US EQUITY</stp>
        <stp>CUST_TRR_RETURN_HOLDING_PER</stp>
        <stp>[XIDA.xlsm]Overview!R19C11</stp>
        <stp>CUST_TRR_START_DT</stp>
        <stp>20150724</stp>
        <stp>CUST_TRR_END_DT</stp>
        <stp>20150824</stp>
        <stp>CUST_TRR_CRNCY</stp>
        <stp>USD</stp>
        <tr r="K19" s="3"/>
      </tp>
      <tp>
        <v>0.22285714285714286</v>
        <stp/>
        <stp>##V3_BDPV12</stp>
        <stp>AAPL US EQUITY</stp>
        <stp>IS_COMP_EPS_ADJUSTED</stp>
        <stp>[XIDA.xlsm]Financials!R36C8</stp>
        <stp>EQY_FUND_RELATIVE_PERIOD</stp>
        <stp>-9FY</stp>
        <stp>EQY_FUND_CRNCY</stp>
        <stp>USD</stp>
        <stp>EQY_CONSOLIDATED</stp>
        <stp>Y</stp>
        <stp>Fill=B</stp>
        <tr r="H36" s="8"/>
      </tp>
      <tp>
        <v>0.32428571428571429</v>
        <stp/>
        <stp>##V3_BDPV12</stp>
        <stp>AAPL US EQUITY</stp>
        <stp>IS_COMP_EPS_ADJUSTED</stp>
        <stp>[XIDA.xlsm]Financials!R36C9</stp>
        <stp>EQY_FUND_RELATIVE_PERIOD</stp>
        <stp>-8FY</stp>
        <stp>EQY_FUND_CRNCY</stp>
        <stp>USD</stp>
        <stp>EQY_CONSOLIDATED</stp>
        <stp>Y</stp>
        <stp>Fill=B</stp>
        <tr r="I36" s="8"/>
      </tp>
      <tp t="s">
        <v>Americas</v>
        <stp/>
        <stp>##V3_BDSV12</stp>
        <stp>AAPL US EQUITY</stp>
        <stp>PG_REVENUE</stp>
        <stp>[XIDA.xlsm]DataH!R3C8</stp>
        <stp>EQY_FUND_YEAR</stp>
        <stp>2014</stp>
        <stp>EQY_FUND_CRNCY</stp>
        <stp>USD</stp>
        <stp>PRODUCT_GEO_OVERRIDE</stp>
        <stp>G</stp>
        <stp>PG_HIERARCHY_LEVEL=1</stp>
        <stp>FUND_PER</stp>
        <stp>Y</stp>
        <stp>EQY_CONSOLIDATED</stp>
        <stp>Y</stp>
        <stp>StartCol=1</stp>
        <stp>EndCol=1</stp>
        <stp>StartRow=1</stp>
        <stp>EndRow=8</stp>
        <stp>cols=1;rows=5</stp>
        <tr r="H3" s="16"/>
      </tp>
      <tp>
        <v>590657.47679999995</v>
        <stp/>
        <stp>##V3_BDHV12</stp>
        <stp>AAPL US EQUITY</stp>
        <stp>CURR_ENTP_VAL</stp>
        <stp>1/1/2015</stp>
        <stp>4/13/2015</stp>
        <stp>[XIDA.xlsm]DataH!R3C27</stp>
        <stp>PER=CW</stp>
        <stp>SORT=D</stp>
        <stp>DAYS=A</stp>
        <stp>Fill=P</stp>
        <stp>DATES=H</stp>
        <stp>FX=USD</stp>
        <stp>cols=1;rows=15</stp>
        <tr r="AA3" s="16"/>
      </tp>
      <tp>
        <v>116.33333333333333</v>
        <stp/>
        <stp>##V3_BDPV12</stp>
        <stp>AAPL US EQUITY</stp>
        <stp>INTEREST_COVERAGE_RATIO</stp>
        <stp>[XIDA.xlsm]Financials!R136C7</stp>
        <stp>EQY_FUND_RELATIVE_PERIOD</stp>
        <stp>-10FY</stp>
        <stp>EQY_FUND_CRNCY</stp>
        <stp>USD</stp>
        <stp>EQY_CONSOLIDATED</stp>
        <stp>Y</stp>
        <stp>Fill=B</stp>
        <tr r="G136" s="8"/>
      </tp>
      <tp>
        <v>28.513155211095249</v>
        <stp/>
        <stp>##V3_BDPV12</stp>
        <stp>AAPL US EQUITY</stp>
        <stp>RETURN_COM_EQY</stp>
        <stp>[XIDA.xlsm]Financials!R131C10</stp>
        <stp>EQY_FUND_RELATIVE_PERIOD</stp>
        <stp>-7FY</stp>
        <stp>EQY_FUND_CRNCY</stp>
        <stp>USD</stp>
        <stp>EQY_CONSOLIDATED</stp>
        <stp>Y</stp>
        <stp>Fill=0</stp>
        <tr r="J131" s="8"/>
      </tp>
      <tp>
        <v>33.230150972086456</v>
        <stp/>
        <stp>##V3_BDPV12</stp>
        <stp>AAPL US EQUITY</stp>
        <stp>RETURN_COM_EQY</stp>
        <stp>[XIDA.xlsm]Financials!R131C11</stp>
        <stp>EQY_FUND_RELATIVE_PERIOD</stp>
        <stp>-6FY</stp>
        <stp>EQY_FUND_CRNCY</stp>
        <stp>USD</stp>
        <stp>EQY_CONSOLIDATED</stp>
        <stp>Y</stp>
        <stp>Fill=0</stp>
        <tr r="K131" s="8"/>
      </tp>
      <tp>
        <v>30.535624895711667</v>
        <stp/>
        <stp>##V3_BDPV12</stp>
        <stp>AAPL US EQUITY</stp>
        <stp>RETURN_COM_EQY</stp>
        <stp>[XIDA.xlsm]Financials!R131C12</stp>
        <stp>EQY_FUND_RELATIVE_PERIOD</stp>
        <stp>-5FY</stp>
        <stp>EQY_FUND_CRNCY</stp>
        <stp>USD</stp>
        <stp>EQY_CONSOLIDATED</stp>
        <stp>Y</stp>
        <stp>Fill=0</stp>
        <tr r="L131" s="8"/>
      </tp>
      <tp>
        <v>35.283453563470182</v>
        <stp/>
        <stp>##V3_BDPV12</stp>
        <stp>AAPL US EQUITY</stp>
        <stp>RETURN_COM_EQY</stp>
        <stp>[XIDA.xlsm]Financials!R131C13</stp>
        <stp>EQY_FUND_RELATIVE_PERIOD</stp>
        <stp>-4FY</stp>
        <stp>EQY_FUND_CRNCY</stp>
        <stp>USD</stp>
        <stp>EQY_CONSOLIDATED</stp>
        <stp>Y</stp>
        <stp>Fill=0</stp>
        <tr r="M131" s="8"/>
      </tp>
      <tp>
        <v>41.673231194636919</v>
        <stp/>
        <stp>##V3_BDPV12</stp>
        <stp>AAPL US EQUITY</stp>
        <stp>RETURN_COM_EQY</stp>
        <stp>[XIDA.xlsm]Financials!R131C14</stp>
        <stp>EQY_FUND_RELATIVE_PERIOD</stp>
        <stp>-3FY</stp>
        <stp>EQY_FUND_CRNCY</stp>
        <stp>USD</stp>
        <stp>EQY_CONSOLIDATED</stp>
        <stp>Y</stp>
        <stp>Fill=0</stp>
        <tr r="N131" s="8"/>
      </tp>
      <tp>
        <v>42.841524445014755</v>
        <stp/>
        <stp>##V3_BDPV12</stp>
        <stp>AAPL US EQUITY</stp>
        <stp>RETURN_COM_EQY</stp>
        <stp>[XIDA.xlsm]Financials!R131C15</stp>
        <stp>EQY_FUND_RELATIVE_PERIOD</stp>
        <stp>-2FY</stp>
        <stp>EQY_FUND_CRNCY</stp>
        <stp>USD</stp>
        <stp>EQY_CONSOLIDATED</stp>
        <stp>Y</stp>
        <stp>Fill=0</stp>
        <tr r="O131" s="8"/>
      </tp>
      <tp>
        <v>30.639603903060486</v>
        <stp/>
        <stp>##V3_BDPV12</stp>
        <stp>AAPL US EQUITY</stp>
        <stp>RETURN_COM_EQY</stp>
        <stp>[XIDA.xlsm]Financials!R131C16</stp>
        <stp>EQY_FUND_RELATIVE_PERIOD</stp>
        <stp>-1FY</stp>
        <stp>EQY_FUND_CRNCY</stp>
        <stp>USD</stp>
        <stp>EQY_CONSOLIDATED</stp>
        <stp>Y</stp>
        <stp>Fill=0</stp>
        <tr r="P131" s="8"/>
      </tp>
      <tp>
        <v>33.611801136556977</v>
        <stp/>
        <stp>##V3_BDPV12</stp>
        <stp>AAPL US EQUITY</stp>
        <stp>RETURN_COM_EQY</stp>
        <stp>[XIDA.xlsm]Financials!R131C17</stp>
        <stp>EQY_FUND_RELATIVE_PERIOD</stp>
        <stp>-0FY</stp>
        <stp>EQY_FUND_CRNCY</stp>
        <stp>USD</stp>
        <stp>EQY_CONSOLIDATED</stp>
        <stp>Y</stp>
        <stp>Fill=0</stp>
        <tr r="Q131" s="8"/>
      </tp>
      <tp>
        <v>0.11419719432838098</v>
        <stp/>
        <stp>##V3_BDPV12</stp>
        <stp>066570 KS EQUITY</stp>
        <stp>BEST_PX_SALES_RATIO</stp>
        <stp>[XIDA.xlsm]DataH!R26C11</stp>
        <stp>BEST_FPERIOD_OVERRIDE</stp>
        <stp>14BC</stp>
        <stp>EQY_CONSOLIDATED</stp>
        <stp>Y</stp>
        <tr r="K26" s="16"/>
      </tp>
      <tp>
        <v>3.508575</v>
        <stp/>
        <stp>##V3_BDPV12</stp>
        <stp>AAPL US EQUITY</stp>
        <stp>CUST_TRR_RETURN_HOLDING_PER</stp>
        <stp>[XIDA.xlsm]Overview!R21C11</stp>
        <stp>CUST_TRR_START_DT</stp>
        <stp>20140824</stp>
        <stp>CUST_TRR_END_DT</stp>
        <stp>20150824</stp>
        <stp>CUST_TRR_CRNCY</stp>
        <stp>USD</stp>
        <tr r="K21" s="3"/>
      </tp>
      <tp>
        <v>24578</v>
        <stp/>
        <stp>##V3_BDPV12</stp>
        <stp>AAPL US EQUITY</stp>
        <stp>SALES_REV_TURN</stp>
        <stp>[XIDA.xlsm]Financials!R14C10</stp>
        <stp>EQY_FUND_RELATIVE_PERIOD</stp>
        <stp>-7FY</stp>
        <stp>EQY_FUND_CRNCY</stp>
        <stp>USD</stp>
        <stp>EQY_CONSOLIDATED</stp>
        <stp>Y</stp>
        <stp>Fill=B</stp>
        <tr r="J14" s="8"/>
      </tp>
      <tp>
        <v>37491</v>
        <stp/>
        <stp>##V3_BDPV12</stp>
        <stp>AAPL US EQUITY</stp>
        <stp>SALES_REV_TURN</stp>
        <stp>[XIDA.xlsm]Financials!R14C11</stp>
        <stp>EQY_FUND_RELATIVE_PERIOD</stp>
        <stp>-6FY</stp>
        <stp>EQY_FUND_CRNCY</stp>
        <stp>USD</stp>
        <stp>EQY_CONSOLIDATED</stp>
        <stp>Y</stp>
        <stp>Fill=B</stp>
        <tr r="K14" s="8"/>
      </tp>
      <tp>
        <v>42905</v>
        <stp/>
        <stp>##V3_BDPV12</stp>
        <stp>AAPL US EQUITY</stp>
        <stp>SALES_REV_TURN</stp>
        <stp>[XIDA.xlsm]Financials!R14C12</stp>
        <stp>EQY_FUND_RELATIVE_PERIOD</stp>
        <stp>-5FY</stp>
        <stp>EQY_FUND_CRNCY</stp>
        <stp>USD</stp>
        <stp>EQY_CONSOLIDATED</stp>
        <stp>Y</stp>
        <stp>Fill=B</stp>
        <tr r="L14" s="8"/>
      </tp>
      <tp>
        <v>65225</v>
        <stp/>
        <stp>##V3_BDPV12</stp>
        <stp>AAPL US EQUITY</stp>
        <stp>SALES_REV_TURN</stp>
        <stp>[XIDA.xlsm]Financials!R14C13</stp>
        <stp>EQY_FUND_RELATIVE_PERIOD</stp>
        <stp>-4FY</stp>
        <stp>EQY_FUND_CRNCY</stp>
        <stp>USD</stp>
        <stp>EQY_CONSOLIDATED</stp>
        <stp>Y</stp>
        <stp>Fill=B</stp>
        <tr r="M14" s="8"/>
      </tp>
      <tp>
        <v>108249</v>
        <stp/>
        <stp>##V3_BDPV12</stp>
        <stp>AAPL US EQUITY</stp>
        <stp>SALES_REV_TURN</stp>
        <stp>[XIDA.xlsm]Financials!R14C14</stp>
        <stp>EQY_FUND_RELATIVE_PERIOD</stp>
        <stp>-3FY</stp>
        <stp>EQY_FUND_CRNCY</stp>
        <stp>USD</stp>
        <stp>EQY_CONSOLIDATED</stp>
        <stp>Y</stp>
        <stp>Fill=B</stp>
        <tr r="N14" s="8"/>
      </tp>
      <tp>
        <v>156508</v>
        <stp/>
        <stp>##V3_BDPV12</stp>
        <stp>AAPL US EQUITY</stp>
        <stp>SALES_REV_TURN</stp>
        <stp>[XIDA.xlsm]Financials!R14C15</stp>
        <stp>EQY_FUND_RELATIVE_PERIOD</stp>
        <stp>-2FY</stp>
        <stp>EQY_FUND_CRNCY</stp>
        <stp>USD</stp>
        <stp>EQY_CONSOLIDATED</stp>
        <stp>Y</stp>
        <stp>Fill=B</stp>
        <tr r="O14" s="8"/>
      </tp>
      <tp>
        <v>170910</v>
        <stp/>
        <stp>##V3_BDPV12</stp>
        <stp>AAPL US EQUITY</stp>
        <stp>SALES_REV_TURN</stp>
        <stp>[XIDA.xlsm]Financials!R14C16</stp>
        <stp>EQY_FUND_RELATIVE_PERIOD</stp>
        <stp>-1FY</stp>
        <stp>EQY_FUND_CRNCY</stp>
        <stp>USD</stp>
        <stp>EQY_CONSOLIDATED</stp>
        <stp>Y</stp>
        <stp>Fill=B</stp>
        <tr r="P14" s="8"/>
      </tp>
      <tp>
        <v>182795</v>
        <stp/>
        <stp>##V3_BDPV12</stp>
        <stp>AAPL US EQUITY</stp>
        <stp>SALES_REV_TURN</stp>
        <stp>[XIDA.xlsm]Financials!R14C17</stp>
        <stp>EQY_FUND_RELATIVE_PERIOD</stp>
        <stp>-0FY</stp>
        <stp>EQY_FUND_CRNCY</stp>
        <stp>USD</stp>
        <stp>EQY_CONSOLIDATED</stp>
        <stp>Y</stp>
        <stp>Fill=B</stp>
        <tr r="Q14" s="8"/>
      </tp>
      <tp t="s">
        <v>Change</v>
        <stp/>
        <stp>##V3_BDSV12</stp>
        <stp>AAPL US EQUITY</stp>
        <stp>BEST_EPS_GAAP_BRK_GRID</stp>
        <stp>[XIDA.xlsm]DataH!R84C12</stp>
        <stp>BEST_FPERIOD_OVERRIDE</stp>
        <stp>3FY</stp>
        <stp>EQY_CONSOLIDATED</stp>
        <stp>Y</stp>
        <stp>STARTCOL=5</stp>
        <stp>ENDCOL=5</stp>
        <stp>EQY_FUND_CRNCY</stp>
        <stp>USD</stp>
        <stp>cols=1;rows=21</stp>
        <tr r="L84" s="16"/>
      </tp>
      <tp t="e">
        <v>#N/A</v>
        <stp/>
        <stp>##V3_BDSV12</stp>
        <stp>AAPL US EQUITY</stp>
        <stp>COMPANY_ADDRESS</stp>
        <stp>[XIDA.xlsm]Overview!R17C5</stp>
        <stp>Aggregate=y</stp>
        <tr r="E17" s="3"/>
      </tp>
      <tp>
        <v>760.16187989556136</v>
        <stp/>
        <stp>##V3_BDPV12</stp>
        <stp>AAPL US EQUITY</stp>
        <stp>CF_FREE_CASH_FLOW_FIRM</stp>
        <stp>[XIDA.xlsm]Financials!R111C7</stp>
        <stp>EQY_FUND_RELATIVE_PERIOD</stp>
        <stp>-10FY</stp>
        <stp>EQY_FUND_CRNCY</stp>
        <stp>USD</stp>
        <stp>EQY_CONSOLIDATED</stp>
        <stp>Y</stp>
        <stp>Fill=B</stp>
        <tr r="G111" s="8"/>
      </tp>
      <tp t="s">
        <v>#N/A N/A</v>
        <stp/>
        <stp>##V3_BDPV12</stp>
        <stp>AAPL US EQUITY</stp>
        <stp>RTG_FITCH_LT_ISSUER_DEFAULT</stp>
        <stp>[XIDA.xlsm]Overview!R28C5</stp>
        <tr r="E28" s="3"/>
      </tp>
      <tp>
        <v>-17</v>
        <stp/>
        <stp>##V3_BDPV12</stp>
        <stp>AAPL US EQUITY</stp>
        <stp>CF_INCR_INVEST</stp>
        <stp>[XIDA.xlsm]Financials!R93C10</stp>
        <stp>EQY_FUND_RELATIVE_PERIOD</stp>
        <stp>-7FY</stp>
        <stp>EQY_FUND_CRNCY</stp>
        <stp>USD</stp>
        <stp>EQY_CONSOLIDATED</stp>
        <stp>Y</stp>
        <stp>Fill=B</stp>
        <tr r="J93" s="8"/>
      </tp>
      <tp>
        <v>-38</v>
        <stp/>
        <stp>##V3_BDPV12</stp>
        <stp>AAPL US EQUITY</stp>
        <stp>CF_INCR_INVEST</stp>
        <stp>[XIDA.xlsm]Financials!R93C11</stp>
        <stp>EQY_FUND_RELATIVE_PERIOD</stp>
        <stp>-6FY</stp>
        <stp>EQY_FUND_CRNCY</stp>
        <stp>USD</stp>
        <stp>EQY_CONSOLIDATED</stp>
        <stp>Y</stp>
        <stp>Fill=B</stp>
        <tr r="K93" s="8"/>
      </tp>
      <tp>
        <v>-101</v>
        <stp/>
        <stp>##V3_BDPV12</stp>
        <stp>AAPL US EQUITY</stp>
        <stp>CF_INCR_INVEST</stp>
        <stp>[XIDA.xlsm]Financials!R93C12</stp>
        <stp>EQY_FUND_RELATIVE_PERIOD</stp>
        <stp>-5FY</stp>
        <stp>EQY_FUND_CRNCY</stp>
        <stp>USD</stp>
        <stp>EQY_CONSOLIDATED</stp>
        <stp>Y</stp>
        <stp>Fill=B</stp>
        <tr r="L93" s="8"/>
      </tp>
      <tp>
        <v>-18</v>
        <stp/>
        <stp>##V3_BDPV12</stp>
        <stp>AAPL US EQUITY</stp>
        <stp>CF_INCR_INVEST</stp>
        <stp>[XIDA.xlsm]Financials!R93C13</stp>
        <stp>EQY_FUND_RELATIVE_PERIOD</stp>
        <stp>-4FY</stp>
        <stp>EQY_FUND_CRNCY</stp>
        <stp>USD</stp>
        <stp>EQY_CONSOLIDATED</stp>
        <stp>Y</stp>
        <stp>Fill=B</stp>
        <tr r="M93" s="8"/>
      </tp>
      <tp>
        <v>0</v>
        <stp/>
        <stp>##V3_BDPV12</stp>
        <stp>AAPL US EQUITY</stp>
        <stp>CF_INCR_INVEST</stp>
        <stp>[XIDA.xlsm]Financials!R93C14</stp>
        <stp>EQY_FUND_RELATIVE_PERIOD</stp>
        <stp>-3FY</stp>
        <stp>EQY_FUND_CRNCY</stp>
        <stp>USD</stp>
        <stp>EQY_CONSOLIDATED</stp>
        <stp>Y</stp>
        <stp>Fill=B</stp>
        <tr r="N93" s="8"/>
      </tp>
      <tp>
        <v>0</v>
        <stp/>
        <stp>##V3_BDPV12</stp>
        <stp>AAPL US EQUITY</stp>
        <stp>CF_INCR_INVEST</stp>
        <stp>[XIDA.xlsm]Financials!R93C15</stp>
        <stp>EQY_FUND_RELATIVE_PERIOD</stp>
        <stp>-2FY</stp>
        <stp>EQY_FUND_CRNCY</stp>
        <stp>USD</stp>
        <stp>EQY_CONSOLIDATED</stp>
        <stp>Y</stp>
        <stp>Fill=B</stp>
        <tr r="O93" s="8"/>
      </tp>
      <tp>
        <v>0</v>
        <stp/>
        <stp>##V3_BDPV12</stp>
        <stp>AAPL US EQUITY</stp>
        <stp>CF_INCR_INVEST</stp>
        <stp>[XIDA.xlsm]Financials!R93C16</stp>
        <stp>EQY_FUND_RELATIVE_PERIOD</stp>
        <stp>-1FY</stp>
        <stp>EQY_FUND_CRNCY</stp>
        <stp>USD</stp>
        <stp>EQY_CONSOLIDATED</stp>
        <stp>Y</stp>
        <stp>Fill=B</stp>
        <tr r="P93" s="8"/>
      </tp>
      <tp>
        <v>0</v>
        <stp/>
        <stp>##V3_BDPV12</stp>
        <stp>AAPL US EQUITY</stp>
        <stp>CF_INCR_INVEST</stp>
        <stp>[XIDA.xlsm]Financials!R93C17</stp>
        <stp>EQY_FUND_RELATIVE_PERIOD</stp>
        <stp>-0FY</stp>
        <stp>EQY_FUND_CRNCY</stp>
        <stp>USD</stp>
        <stp>EQY_CONSOLIDATED</stp>
        <stp>Y</stp>
        <stp>Fill=B</stp>
        <tr r="Q93" s="8"/>
      </tp>
      <tp>
        <v>-20.096119999999999</v>
        <stp/>
        <stp>##V3_BDPV12</stp>
        <stp>6758 JP EQUITY</stp>
        <stp>CUST_TRR_RETURN_HOLDING_PER</stp>
        <stp>[XIDA.xlsm]DataH!R25C6</stp>
        <stp>CUST_TRR_START_DT</stp>
        <stp>20150724</stp>
        <stp>CUST_TRR_END_DT</stp>
        <stp>20150824</stp>
        <stp>CUST_TRR_CRNCY</stp>
        <stp>USD</stp>
        <tr r="F25" s="16"/>
      </tp>
      <tp>
        <v>0.11596570921385167</v>
        <stp/>
        <stp>##V3_BDPV12</stp>
        <stp>066570 KS EQUITY</stp>
        <stp>BEST_PX_SALES_RATIO</stp>
        <stp>[XIDA.xlsm]DataH!R26C10</stp>
        <stp>BEST_FPERIOD_OVERRIDE</stp>
        <stp>13BC</stp>
        <stp>EQY_CONSOLIDATED</stp>
        <stp>Y</stp>
        <tr r="J26" s="16"/>
      </tp>
      <tp>
        <v>42979</v>
        <stp/>
        <stp>##V3_BDSV12</stp>
        <stp>AAPL US EQUITY</stp>
        <stp>BEST_EPS_GAAP_BRK_GRID</stp>
        <stp>[XIDA.xlsm]DataH!R84C11</stp>
        <stp>BEST_FPERIOD_OVERRIDE</stp>
        <stp>3FY</stp>
        <stp>EQY_CONSOLIDATED</stp>
        <stp>Y</stp>
        <stp>STARTCOL=4</stp>
        <stp>ENDCOL=4</stp>
        <stp>EQY_FUND_CRNCY</stp>
        <stp>USD</stp>
        <stp>cols=1;rows=21</stp>
        <tr r="K84" s="16"/>
      </tp>
      <tp>
        <v>664</v>
        <stp/>
        <stp>##V3_BDPV12</stp>
        <stp>AAPL US EQUITY</stp>
        <stp>BS_ACCUM_DEPR</stp>
        <stp>[XIDA.xlsm]Financials!R58C8</stp>
        <stp>EQY_FUND_RELATIVE_PERIOD</stp>
        <stp>-9FY</stp>
        <stp>EQY_FUND_CRNCY</stp>
        <stp>USD</stp>
        <stp>EQY_CONSOLIDATED</stp>
        <stp>Y</stp>
        <stp>Fill=B</stp>
        <tr r="H58" s="8"/>
      </tp>
      <tp>
        <v>794</v>
        <stp/>
        <stp>##V3_BDPV12</stp>
        <stp>AAPL US EQUITY</stp>
        <stp>BS_ACCUM_DEPR</stp>
        <stp>[XIDA.xlsm]Financials!R58C9</stp>
        <stp>EQY_FUND_RELATIVE_PERIOD</stp>
        <stp>-8FY</stp>
        <stp>EQY_FUND_CRNCY</stp>
        <stp>USD</stp>
        <stp>EQY_CONSOLIDATED</stp>
        <stp>Y</stp>
        <stp>Fill=B</stp>
        <tr r="I58" s="8"/>
      </tp>
      <tp>
        <v>21.288470738319248</v>
        <stp/>
        <stp>##V3_BDPV12</stp>
        <stp>AAPL US EQUITY</stp>
        <stp>RETURN_COM_EQY</stp>
        <stp>[XIDA.xlsm]Financials!R131C8</stp>
        <stp>EQY_FUND_RELATIVE_PERIOD</stp>
        <stp>-9FY</stp>
        <stp>EQY_FUND_CRNCY</stp>
        <stp>USD</stp>
        <stp>EQY_CONSOLIDATED</stp>
        <stp>Y</stp>
        <stp>Fill=0</stp>
        <tr r="H131" s="8"/>
      </tp>
      <tp>
        <v>22.796561604584529</v>
        <stp/>
        <stp>##V3_BDPV12</stp>
        <stp>AAPL US EQUITY</stp>
        <stp>RETURN_COM_EQY</stp>
        <stp>[XIDA.xlsm]Financials!R131C9</stp>
        <stp>EQY_FUND_RELATIVE_PERIOD</stp>
        <stp>-8FY</stp>
        <stp>EQY_FUND_CRNCY</stp>
        <stp>USD</stp>
        <stp>EQY_CONSOLIDATED</stp>
        <stp>Y</stp>
        <stp>Fill=0</stp>
        <tr r="I131" s="8"/>
      </tp>
      <tp t="s">
        <v>#N/A Requesting Data...</v>
        <stp/>
        <stp>##V3_BDSV12</stp>
        <stp>AAPL US EQUITY</stp>
        <stp>BEST_OP_INC_BRK_GRID</stp>
        <stp>[XIDA.xlsm]DataH!R8C65</stp>
        <stp>BEST_FPERIOD_OVERRIDE</stp>
        <stp>3FQ</stp>
        <stp>STARTCOL=4</stp>
        <stp>ENDCOL=4</stp>
        <stp>EQY_FUND_CRNCY</stp>
        <stp>USD</stp>
        <stp>BEST_CONSOLIDATED_OVERRIDE</stp>
        <stp>C</stp>
        <tr r="BM8" s="16"/>
      </tp>
      <tp>
        <v>0.11415445542452772</v>
        <stp/>
        <stp>##V3_BDPV12</stp>
        <stp>066570 KS EQUITY</stp>
        <stp>BEST_PX_SALES_RATIO</stp>
        <stp>[XIDA.xlsm]DataH!R26C13</stp>
        <stp>BEST_FPERIOD_OVERRIDE</stp>
        <stp>16BC</stp>
        <stp>EQY_CONSOLIDATED</stp>
        <stp>Y</stp>
        <tr r="M26" s="16"/>
      </tp>
      <tp>
        <v>0</v>
        <stp/>
        <stp>##V3_BDPV12</stp>
        <stp>AAPL US EQUITY</stp>
        <stp>IS_FOREIGN_EXCH_LOSS</stp>
        <stp>[XIDA.xlsm]Financials!R23C8</stp>
        <stp>EQY_FUND_RELATIVE_PERIOD</stp>
        <stp>-9FY</stp>
        <stp>EQY_FUND_CRNCY</stp>
        <stp>USD</stp>
        <stp>EQY_CONSOLIDATED</stp>
        <stp>Y</stp>
        <stp>Fill=B</stp>
        <tr r="H23" s="8"/>
      </tp>
      <tp>
        <v>0</v>
        <stp/>
        <stp>##V3_BDPV12</stp>
        <stp>AAPL US EQUITY</stp>
        <stp>IS_FOREIGN_EXCH_LOSS</stp>
        <stp>[XIDA.xlsm]Financials!R23C9</stp>
        <stp>EQY_FUND_RELATIVE_PERIOD</stp>
        <stp>-8FY</stp>
        <stp>EQY_FUND_CRNCY</stp>
        <stp>USD</stp>
        <stp>EQY_CONSOLIDATED</stp>
        <stp>Y</stp>
        <stp>Fill=B</stp>
        <tr r="I23" s="8"/>
      </tp>
      <tp t="s">
        <v>SAMSUNG ELECTRONICS CO LTD</v>
        <stp/>
        <stp>##V3_BDPV12</stp>
        <stp>005930 KS EQUITY</stp>
        <stp>NAME</stp>
        <stp>[XIDA.xlsm]Peers!R18C5</stp>
        <tr r="E18" s="4"/>
      </tp>
      <tp t="s">
        <v>www.apple.com</v>
        <stp/>
        <stp>##V3_BDPV12</stp>
        <stp>AAPL US EQUITY</stp>
        <stp>COMPANY_WEB_ADDRESS</stp>
        <stp>[XIDA.xlsm]Overview!R16C5</stp>
        <tr r="E16" s="3"/>
      </tp>
      <tp>
        <v>1.806451612903226</v>
        <stp/>
        <stp>##V3_BDPV12</stp>
        <stp>AAPL US EQUITY</stp>
        <stp>DIVIDEND_YIELD</stp>
        <stp>[XIDA.xlsm]Overview!R38C8</stp>
        <stp>EQY_FUND_RELATIVE_PERIOD</stp>
        <stp>-0FY</stp>
        <stp>EQY_CONSOLIDATED</stp>
        <stp>Y</stp>
        <tr r="H38" s="3"/>
        <tr r="H38" s="3"/>
      </tp>
      <tp>
        <v>0.39723881547882267</v>
        <stp/>
        <stp>##V3_BDPV12</stp>
        <stp>AAPL US EQUITY</stp>
        <stp>DIVIDEND_YIELD</stp>
        <stp>[XIDA.xlsm]Overview!R38C6</stp>
        <stp>EQY_FUND_RELATIVE_PERIOD</stp>
        <stp>-2FY</stp>
        <stp>EQY_CONSOLIDATED</stp>
        <stp>Y</stp>
        <tr r="F38" s="3"/>
        <tr r="F38" s="3"/>
      </tp>
      <tp>
        <v>0</v>
        <stp/>
        <stp>##V3_BDPV12</stp>
        <stp>AAPL US EQUITY</stp>
        <stp>DIVIDEND_YIELD</stp>
        <stp>[XIDA.xlsm]Overview!R38C5</stp>
        <stp>EQY_FUND_RELATIVE_PERIOD</stp>
        <stp>-3FY</stp>
        <stp>EQY_CONSOLIDATED</stp>
        <stp>Y</stp>
        <tr r="E38" s="3"/>
        <tr r="E38" s="3"/>
      </tp>
      <tp>
        <v>2.3614707405489384</v>
        <stp/>
        <stp>##V3_BDPV12</stp>
        <stp>AAPL US EQUITY</stp>
        <stp>DIVIDEND_YIELD</stp>
        <stp>[XIDA.xlsm]Overview!R38C7</stp>
        <stp>EQY_FUND_RELATIVE_PERIOD</stp>
        <stp>-1FY</stp>
        <stp>EQY_CONSOLIDATED</stp>
        <stp>Y</stp>
        <tr r="G38" s="3"/>
        <tr r="G38" s="3"/>
      </tp>
      <tp t="s">
        <v>#N/A Requesting Data...</v>
        <stp/>
        <stp>##V3_BDSV12</stp>
        <stp>AAPL US EQUITY</stp>
        <stp>BEST_OP_INC_BRK_GRID</stp>
        <stp>[XIDA.xlsm]DataH!R8C64</stp>
        <stp>BEST_FPERIOD_OVERRIDE</stp>
        <stp>3FQ</stp>
        <stp>STARTCOL=1</stp>
        <stp>ENDCOL=1</stp>
        <stp>EQY_FUND_CRNCY</stp>
        <stp>USD</stp>
        <stp>BEST_CONSOLIDATED_OVERRIDE</stp>
        <stp>C</stp>
        <tr r="BL8" s="16"/>
      </tp>
      <tp>
        <v>0.11824899650905833</v>
        <stp/>
        <stp>##V3_BDPV12</stp>
        <stp>066570 KS EQUITY</stp>
        <stp>BEST_PX_SALES_RATIO</stp>
        <stp>[XIDA.xlsm]DataH!R26C12</stp>
        <stp>BEST_FPERIOD_OVERRIDE</stp>
        <stp>15BC</stp>
        <stp>EQY_CONSOLIDATED</stp>
        <stp>Y</stp>
        <tr r="L26" s="16"/>
      </tp>
      <tp>
        <v>1.2608775176346005</v>
        <stp/>
        <stp>##V3_BDPV12</stp>
        <stp>AAPL US EQUITY</stp>
        <stp>TANG_BOOK_VAL_PER_SH</stp>
        <stp>[XIDA.xlsm]Financials!R82C8</stp>
        <stp>EQY_FUND_RELATIVE_PERIOD</stp>
        <stp>-9FY</stp>
        <stp>EQY_FUND_CRNCY</stp>
        <stp>USD</stp>
        <stp>EQY_CONSOLIDATED</stp>
        <stp>Y</stp>
        <stp>Fill=B</stp>
        <tr r="H82" s="8"/>
      </tp>
      <tp>
        <v>1.6380934375231537</v>
        <stp/>
        <stp>##V3_BDPV12</stp>
        <stp>AAPL US EQUITY</stp>
        <stp>TANG_BOOK_VAL_PER_SH</stp>
        <stp>[XIDA.xlsm]Financials!R82C9</stp>
        <stp>EQY_FUND_RELATIVE_PERIOD</stp>
        <stp>-8FY</stp>
        <stp>EQY_FUND_CRNCY</stp>
        <stp>USD</stp>
        <stp>EQY_CONSOLIDATED</stp>
        <stp>Y</stp>
        <stp>Fill=B</stp>
        <tr r="I82" s="8"/>
      </tp>
      <tp>
        <v>179</v>
        <stp/>
        <stp>##V3_BDPV12</stp>
        <stp>AAPL US EQUITY</stp>
        <stp>CF_DEPR_AMORT</stp>
        <stp>[XIDA.xlsm]Financials!R86C8</stp>
        <stp>EQY_FUND_RELATIVE_PERIOD</stp>
        <stp>-9FY</stp>
        <stp>EQY_FUND_CRNCY</stp>
        <stp>USD</stp>
        <stp>EQY_CONSOLIDATED</stp>
        <stp>Y</stp>
        <stp>Fill=B</stp>
        <tr r="H86" s="8"/>
      </tp>
      <tp>
        <v>225</v>
        <stp/>
        <stp>##V3_BDPV12</stp>
        <stp>AAPL US EQUITY</stp>
        <stp>CF_DEPR_AMORT</stp>
        <stp>[XIDA.xlsm]Financials!R86C9</stp>
        <stp>EQY_FUND_RELATIVE_PERIOD</stp>
        <stp>-8FY</stp>
        <stp>EQY_FUND_CRNCY</stp>
        <stp>USD</stp>
        <stp>EQY_CONSOLIDATED</stp>
        <stp>Y</stp>
        <stp>Fill=B</stp>
        <tr r="I86" s="8"/>
      </tp>
      <tp>
        <v>0</v>
        <stp/>
        <stp>##V3_BDPV12</stp>
        <stp>AAPL US EQUITY</stp>
        <stp>DIVIDEND_YIELD</stp>
        <stp>[XIDA.xlsm]Financials!R123C10</stp>
        <stp>EQY_FUND_RELATIVE_PERIOD</stp>
        <stp>-7FY</stp>
        <stp>EQY_FUND_CRNCY</stp>
        <stp>USD</stp>
        <stp>EQY_CONSOLIDATED</stp>
        <stp>Y</stp>
        <tr r="J123" s="8"/>
        <tr r="J123" s="8"/>
      </tp>
      <tp>
        <v>0</v>
        <stp/>
        <stp>##V3_BDPV12</stp>
        <stp>AAPL US EQUITY</stp>
        <stp>DIVIDEND_YIELD</stp>
        <stp>[XIDA.xlsm]Financials!R123C11</stp>
        <stp>EQY_FUND_RELATIVE_PERIOD</stp>
        <stp>-6FY</stp>
        <stp>EQY_FUND_CRNCY</stp>
        <stp>USD</stp>
        <stp>EQY_CONSOLIDATED</stp>
        <stp>Y</stp>
        <tr r="K123" s="8"/>
        <tr r="K123" s="8"/>
      </tp>
      <tp>
        <v>0</v>
        <stp/>
        <stp>##V3_BDPV12</stp>
        <stp>AAPL US EQUITY</stp>
        <stp>DIVIDEND_YIELD</stp>
        <stp>[XIDA.xlsm]Financials!R123C12</stp>
        <stp>EQY_FUND_RELATIVE_PERIOD</stp>
        <stp>-5FY</stp>
        <stp>EQY_FUND_CRNCY</stp>
        <stp>USD</stp>
        <stp>EQY_CONSOLIDATED</stp>
        <stp>Y</stp>
        <tr r="L123" s="8"/>
        <tr r="L123" s="8"/>
      </tp>
      <tp>
        <v>0</v>
        <stp/>
        <stp>##V3_BDPV12</stp>
        <stp>AAPL US EQUITY</stp>
        <stp>DIVIDEND_YIELD</stp>
        <stp>[XIDA.xlsm]Financials!R123C13</stp>
        <stp>EQY_FUND_RELATIVE_PERIOD</stp>
        <stp>-4FY</stp>
        <stp>EQY_FUND_CRNCY</stp>
        <stp>USD</stp>
        <stp>EQY_CONSOLIDATED</stp>
        <stp>Y</stp>
        <tr r="M123" s="8"/>
        <tr r="M123" s="8"/>
      </tp>
      <tp>
        <v>0</v>
        <stp/>
        <stp>##V3_BDPV12</stp>
        <stp>AAPL US EQUITY</stp>
        <stp>DIVIDEND_YIELD</stp>
        <stp>[XIDA.xlsm]Financials!R123C14</stp>
        <stp>EQY_FUND_RELATIVE_PERIOD</stp>
        <stp>-3FY</stp>
        <stp>EQY_FUND_CRNCY</stp>
        <stp>USD</stp>
        <stp>EQY_CONSOLIDATED</stp>
        <stp>Y</stp>
        <tr r="N123" s="8"/>
        <tr r="N123" s="8"/>
      </tp>
      <tp>
        <v>0.39723881547882267</v>
        <stp/>
        <stp>##V3_BDPV12</stp>
        <stp>AAPL US EQUITY</stp>
        <stp>DIVIDEND_YIELD</stp>
        <stp>[XIDA.xlsm]Financials!R123C15</stp>
        <stp>EQY_FUND_RELATIVE_PERIOD</stp>
        <stp>-2FY</stp>
        <stp>EQY_FUND_CRNCY</stp>
        <stp>USD</stp>
        <stp>EQY_CONSOLIDATED</stp>
        <stp>Y</stp>
        <tr r="O123" s="8"/>
        <tr r="O123" s="8"/>
      </tp>
      <tp>
        <v>2.3614707405489384</v>
        <stp/>
        <stp>##V3_BDPV12</stp>
        <stp>AAPL US EQUITY</stp>
        <stp>DIVIDEND_YIELD</stp>
        <stp>[XIDA.xlsm]Financials!R123C16</stp>
        <stp>EQY_FUND_RELATIVE_PERIOD</stp>
        <stp>-1FY</stp>
        <stp>EQY_FUND_CRNCY</stp>
        <stp>USD</stp>
        <stp>EQY_CONSOLIDATED</stp>
        <stp>Y</stp>
        <tr r="P123" s="8"/>
        <tr r="P123" s="8"/>
      </tp>
      <tp>
        <v>1.806451612903226</v>
        <stp/>
        <stp>##V3_BDPV12</stp>
        <stp>AAPL US EQUITY</stp>
        <stp>DIVIDEND_YIELD</stp>
        <stp>[XIDA.xlsm]Financials!R123C17</stp>
        <stp>EQY_FUND_RELATIVE_PERIOD</stp>
        <stp>-0FY</stp>
        <stp>EQY_FUND_CRNCY</stp>
        <stp>USD</stp>
        <stp>EQY_CONSOLIDATED</stp>
        <stp>Y</stp>
        <tr r="Q123" s="8"/>
        <tr r="Q123" s="8"/>
      </tp>
      <tp t="s">
        <v>USD</v>
        <stp/>
        <stp>##V3_BDPV12</stp>
        <stp>AAPL US EQUITY</stp>
        <stp>CRNCY</stp>
        <stp>[XIDA.xlsm]Peers!R17C11</stp>
        <tr r="K17" s="4"/>
      </tp>
      <tp>
        <v>81402.111000000004</v>
        <stp/>
        <stp>##V3_BDPV12</stp>
        <stp>AAPL US EQUITY</stp>
        <stp>BEST_EBITDA</stp>
        <stp>[XIDA.xlsm]Financials!R43C18</stp>
        <stp>BEST_FPERIOD_OVERRIDE</stp>
        <stp>1FY</stp>
        <stp>EQY_FUND_CRNCY</stp>
        <stp>USD</stp>
        <stp>BEST_CONSOLIDATED_OVERRIDE</stp>
        <stp>C</stp>
        <stp>Fill=B</stp>
        <tr r="R43" s="8"/>
      </tp>
      <tp t="s">
        <v>#N/A Invalid Security</v>
        <stp/>
        <stp>##V3_BDPV12</stp>
        <stp xml:space="preserve"> EQUITY</stp>
        <stp>CRNCY_ADJ_MKT_CAP</stp>
        <stp>[XIDA.xlsm]Peers!R92C14</stp>
        <stp>EQY_FUND_CRNCY</stp>
        <stp>USD</stp>
        <tr r="N92" s="4"/>
      </tp>
      <tp t="s">
        <v>#N/A Invalid Security</v>
        <stp/>
        <stp>##V3_BDPV12</stp>
        <stp xml:space="preserve"> EQUITY</stp>
        <stp>CRNCY_ADJ_MKT_CAP</stp>
        <stp>[XIDA.xlsm]Peers!R82C14</stp>
        <stp>EQY_FUND_CRNCY</stp>
        <stp>USD</stp>
        <tr r="N82" s="4"/>
      </tp>
      <tp t="s">
        <v>#N/A Invalid Security</v>
        <stp/>
        <stp>##V3_BDPV12</stp>
        <stp xml:space="preserve"> EQUITY</stp>
        <stp>CRNCY_ADJ_MKT_CAP</stp>
        <stp>[XIDA.xlsm]Peers!R72C14</stp>
        <stp>EQY_FUND_CRNCY</stp>
        <stp>USD</stp>
        <tr r="N72" s="4"/>
      </tp>
      <tp t="s">
        <v>#N/A Invalid Security</v>
        <stp/>
        <stp>##V3_BDPV12</stp>
        <stp xml:space="preserve"> EQUITY</stp>
        <stp>CRNCY_ADJ_MKT_CAP</stp>
        <stp>[XIDA.xlsm]Peers!R62C14</stp>
        <stp>EQY_FUND_CRNCY</stp>
        <stp>USD</stp>
        <tr r="N62" s="4"/>
      </tp>
      <tp t="s">
        <v>#N/A Invalid Security</v>
        <stp/>
        <stp>##V3_BDPV12</stp>
        <stp xml:space="preserve"> EQUITY</stp>
        <stp>CRNCY_ADJ_MKT_CAP</stp>
        <stp>[XIDA.xlsm]Peers!R52C14</stp>
        <stp>EQY_FUND_CRNCY</stp>
        <stp>USD</stp>
        <tr r="N52" s="4"/>
      </tp>
      <tp t="s">
        <v>#N/A Invalid Security</v>
        <stp/>
        <stp>##V3_BDPV12</stp>
        <stp xml:space="preserve"> EQUITY</stp>
        <stp>CRNCY_ADJ_MKT_CAP</stp>
        <stp>[XIDA.xlsm]Peers!R42C14</stp>
        <stp>EQY_FUND_CRNCY</stp>
        <stp>USD</stp>
        <tr r="N42" s="4"/>
      </tp>
      <tp t="s">
        <v>#N/A Invalid Security</v>
        <stp/>
        <stp>##V3_BDPV12</stp>
        <stp xml:space="preserve"> EQUITY</stp>
        <stp>CRNCY_ADJ_MKT_CAP</stp>
        <stp>[XIDA.xlsm]Peers!R32C14</stp>
        <stp>EQY_FUND_CRNCY</stp>
        <stp>USD</stp>
        <tr r="N32" s="4"/>
      </tp>
      <tp>
        <v>85131.111000000004</v>
        <stp/>
        <stp>##V3_BDPV12</stp>
        <stp>AAPL US EQUITY</stp>
        <stp>BEST_EBITDA</stp>
        <stp>[XIDA.xlsm]Financials!R43C19</stp>
        <stp>BEST_FPERIOD_OVERRIDE</stp>
        <stp>2FY</stp>
        <stp>EQY_FUND_CRNCY</stp>
        <stp>USD</stp>
        <stp>BEST_CONSOLIDATED_OVERRIDE</stp>
        <stp>C</stp>
        <stp>Fill=B</stp>
        <tr r="S43" s="8"/>
      </tp>
      <tp>
        <v>24878</v>
        <stp/>
        <stp>##V3_BDPV12</stp>
        <stp>AAPL US EQUITY</stp>
        <stp>TOT_LIAB_AND_EQY</stp>
        <stp>[XIDA.xlsm]Financials!R79C10</stp>
        <stp>EQY_FUND_RELATIVE_PERIOD</stp>
        <stp>-7FY</stp>
        <stp>EQY_FUND_CRNCY</stp>
        <stp>USD</stp>
        <stp>EQY_CONSOLIDATED</stp>
        <stp>Y</stp>
        <stp>Fill=B</stp>
        <tr r="J79" s="8"/>
      </tp>
      <tp>
        <v>36171</v>
        <stp/>
        <stp>##V3_BDPV12</stp>
        <stp>AAPL US EQUITY</stp>
        <stp>TOT_LIAB_AND_EQY</stp>
        <stp>[XIDA.xlsm]Financials!R79C11</stp>
        <stp>EQY_FUND_RELATIVE_PERIOD</stp>
        <stp>-6FY</stp>
        <stp>EQY_FUND_CRNCY</stp>
        <stp>USD</stp>
        <stp>EQY_CONSOLIDATED</stp>
        <stp>Y</stp>
        <stp>Fill=B</stp>
        <tr r="K79" s="8"/>
      </tp>
      <tp>
        <v>47501</v>
        <stp/>
        <stp>##V3_BDPV12</stp>
        <stp>AAPL US EQUITY</stp>
        <stp>TOT_LIAB_AND_EQY</stp>
        <stp>[XIDA.xlsm]Financials!R79C12</stp>
        <stp>EQY_FUND_RELATIVE_PERIOD</stp>
        <stp>-5FY</stp>
        <stp>EQY_FUND_CRNCY</stp>
        <stp>USD</stp>
        <stp>EQY_CONSOLIDATED</stp>
        <stp>Y</stp>
        <stp>Fill=B</stp>
        <tr r="L79" s="8"/>
      </tp>
      <tp>
        <v>75183</v>
        <stp/>
        <stp>##V3_BDPV12</stp>
        <stp>AAPL US EQUITY</stp>
        <stp>TOT_LIAB_AND_EQY</stp>
        <stp>[XIDA.xlsm]Financials!R79C13</stp>
        <stp>EQY_FUND_RELATIVE_PERIOD</stp>
        <stp>-4FY</stp>
        <stp>EQY_FUND_CRNCY</stp>
        <stp>USD</stp>
        <stp>EQY_CONSOLIDATED</stp>
        <stp>Y</stp>
        <stp>Fill=B</stp>
        <tr r="M79" s="8"/>
      </tp>
      <tp>
        <v>116371</v>
        <stp/>
        <stp>##V3_BDPV12</stp>
        <stp>AAPL US EQUITY</stp>
        <stp>TOT_LIAB_AND_EQY</stp>
        <stp>[XIDA.xlsm]Financials!R79C14</stp>
        <stp>EQY_FUND_RELATIVE_PERIOD</stp>
        <stp>-3FY</stp>
        <stp>EQY_FUND_CRNCY</stp>
        <stp>USD</stp>
        <stp>EQY_CONSOLIDATED</stp>
        <stp>Y</stp>
        <stp>Fill=B</stp>
        <tr r="N79" s="8"/>
      </tp>
      <tp>
        <v>176064</v>
        <stp/>
        <stp>##V3_BDPV12</stp>
        <stp>AAPL US EQUITY</stp>
        <stp>TOT_LIAB_AND_EQY</stp>
        <stp>[XIDA.xlsm]Financials!R79C15</stp>
        <stp>EQY_FUND_RELATIVE_PERIOD</stp>
        <stp>-2FY</stp>
        <stp>EQY_FUND_CRNCY</stp>
        <stp>USD</stp>
        <stp>EQY_CONSOLIDATED</stp>
        <stp>Y</stp>
        <stp>Fill=B</stp>
        <tr r="O79" s="8"/>
      </tp>
      <tp>
        <v>207000</v>
        <stp/>
        <stp>##V3_BDPV12</stp>
        <stp>AAPL US EQUITY</stp>
        <stp>TOT_LIAB_AND_EQY</stp>
        <stp>[XIDA.xlsm]Financials!R79C16</stp>
        <stp>EQY_FUND_RELATIVE_PERIOD</stp>
        <stp>-1FY</stp>
        <stp>EQY_FUND_CRNCY</stp>
        <stp>USD</stp>
        <stp>EQY_CONSOLIDATED</stp>
        <stp>Y</stp>
        <stp>Fill=B</stp>
        <tr r="P79" s="8"/>
      </tp>
      <tp>
        <v>231839</v>
        <stp/>
        <stp>##V3_BDPV12</stp>
        <stp>AAPL US EQUITY</stp>
        <stp>TOT_LIAB_AND_EQY</stp>
        <stp>[XIDA.xlsm]Financials!R79C17</stp>
        <stp>EQY_FUND_RELATIVE_PERIOD</stp>
        <stp>-0FY</stp>
        <stp>EQY_FUND_CRNCY</stp>
        <stp>USD</stp>
        <stp>EQY_CONSOLIDATED</stp>
        <stp>Y</stp>
        <stp>Fill=B</stp>
        <tr r="Q79" s="8"/>
      </tp>
      <tp t="e">
        <v>#N/A</v>
        <stp/>
        <stp>##V3_BDSV12</stp>
        <stp>AAPL US EQUITY</stp>
        <stp>INSIDER_HOLDING</stp>
        <stp>[XIDA.xlsm]DataH!R77C3</stp>
        <stp>FILL=B</stp>
        <stp>startcol=5</stp>
        <stp>endcol=5</stp>
        <stp>startrow=1</stp>
        <stp>endrow=5</stp>
        <stp>cols=1;rows=5</stp>
        <tr r="C77" s="16"/>
      </tp>
      <tp t="s">
        <v>#N/A Requesting Data...</v>
        <stp/>
        <stp>##V3_BDSV12</stp>
        <stp>AAPL US EQUITY</stp>
        <stp>BEST_NET_DEBT_BRK_GRID</stp>
        <stp>[XIDA.xlsm]DataH!R8C116</stp>
        <stp>BEST_FPERIOD_OVERRIDE</stp>
        <stp>1FQ</stp>
        <stp>STARTCOL=1</stp>
        <stp>ENDCOL=1</stp>
        <stp>EQY_FUND_CRNCY</stp>
        <stp>USD</stp>
        <stp>BEST_CONSOLIDATED_OVERRIDE</stp>
        <stp>C</stp>
        <tr r="DL8" s="16"/>
      </tp>
      <tp>
        <v>1481</v>
        <stp/>
        <stp>##V3_BDPV12</stp>
        <stp>AAPL US EQUITY</stp>
        <stp>BS_GROSS_FIX_ASSET</stp>
        <stp>[XIDA.xlsm]Financials!R57C8</stp>
        <stp>EQY_FUND_RELATIVE_PERIOD</stp>
        <stp>-9FY</stp>
        <stp>EQY_FUND_CRNCY</stp>
        <stp>USD</stp>
        <stp>EQY_CONSOLIDATED</stp>
        <stp>Y</stp>
        <stp>Fill=B</stp>
        <tr r="H57" s="8"/>
      </tp>
      <tp>
        <v>2075</v>
        <stp/>
        <stp>##V3_BDPV12</stp>
        <stp>AAPL US EQUITY</stp>
        <stp>BS_GROSS_FIX_ASSET</stp>
        <stp>[XIDA.xlsm]Financials!R57C9</stp>
        <stp>EQY_FUND_RELATIVE_PERIOD</stp>
        <stp>-8FY</stp>
        <stp>EQY_FUND_CRNCY</stp>
        <stp>USD</stp>
        <stp>EQY_CONSOLIDATED</stp>
        <stp>Y</stp>
        <stp>Fill=B</stp>
        <tr r="I57" s="8"/>
      </tp>
      <tp>
        <v>0.78236465793645749</v>
        <stp/>
        <stp>##V3_BDPV12</stp>
        <stp>AAPL US EQUITY</stp>
        <stp>FREE_CASH_FLOW_PER_SH</stp>
        <stp>[XIDA.xlsm]Financials!R113C10</stp>
        <stp>EQY_FUND_RELATIVE_PERIOD</stp>
        <stp>-7FY</stp>
        <stp>EQY_FUND_CRNCY</stp>
        <stp>USD</stp>
        <stp>EQY_CONSOLIDATED</stp>
        <stp>Y</stp>
        <stp>Fill=B</stp>
        <tr r="J113" s="8"/>
      </tp>
      <tp>
        <v>1.3781885498053523</v>
        <stp/>
        <stp>##V3_BDPV12</stp>
        <stp>AAPL US EQUITY</stp>
        <stp>FREE_CASH_FLOW_PER_SH</stp>
        <stp>[XIDA.xlsm]Financials!R113C11</stp>
        <stp>EQY_FUND_RELATIVE_PERIOD</stp>
        <stp>-6FY</stp>
        <stp>EQY_FUND_CRNCY</stp>
        <stp>USD</stp>
        <stp>EQY_CONSOLIDATED</stp>
        <stp>Y</stp>
        <stp>Fill=B</stp>
        <tr r="K113" s="8"/>
      </tp>
      <tp>
        <v>1.442143413843809</v>
        <stp/>
        <stp>##V3_BDPV12</stp>
        <stp>AAPL US EQUITY</stp>
        <stp>FREE_CASH_FLOW_PER_SH</stp>
        <stp>[XIDA.xlsm]Financials!R113C12</stp>
        <stp>EQY_FUND_RELATIVE_PERIOD</stp>
        <stp>-5FY</stp>
        <stp>EQY_FUND_CRNCY</stp>
        <stp>USD</stp>
        <stp>EQY_CONSOLIDATED</stp>
        <stp>Y</stp>
        <stp>Fill=B</stp>
        <tr r="L113" s="8"/>
      </tp>
      <tp>
        <v>2.6059391221833588</v>
        <stp/>
        <stp>##V3_BDPV12</stp>
        <stp>AAPL US EQUITY</stp>
        <stp>FREE_CASH_FLOW_PER_SH</stp>
        <stp>[XIDA.xlsm]Financials!R113C13</stp>
        <stp>EQY_FUND_RELATIVE_PERIOD</stp>
        <stp>-4FY</stp>
        <stp>EQY_FUND_CRNCY</stp>
        <stp>USD</stp>
        <stp>EQY_CONSOLIDATED</stp>
        <stp>Y</stp>
        <stp>Fill=B</stp>
        <tr r="M113" s="8"/>
      </tp>
      <tp>
        <v>5.1421943718250587</v>
        <stp/>
        <stp>##V3_BDPV12</stp>
        <stp>AAPL US EQUITY</stp>
        <stp>FREE_CASH_FLOW_PER_SH</stp>
        <stp>[XIDA.xlsm]Financials!R113C14</stp>
        <stp>EQY_FUND_RELATIVE_PERIOD</stp>
        <stp>-3FY</stp>
        <stp>EQY_FUND_CRNCY</stp>
        <stp>USD</stp>
        <stp>EQY_CONSOLIDATED</stp>
        <stp>Y</stp>
        <stp>Fill=B</stp>
        <tr r="N113" s="8"/>
      </tp>
      <tp>
        <v>6.5040926224600479</v>
        <stp/>
        <stp>##V3_BDPV12</stp>
        <stp>AAPL US EQUITY</stp>
        <stp>FREE_CASH_FLOW_PER_SH</stp>
        <stp>[XIDA.xlsm]Financials!R113C15</stp>
        <stp>EQY_FUND_RELATIVE_PERIOD</stp>
        <stp>-2FY</stp>
        <stp>EQY_FUND_CRNCY</stp>
        <stp>USD</stp>
        <stp>EQY_CONSOLIDATED</stp>
        <stp>Y</stp>
        <stp>Fill=B</stp>
        <tr r="O113" s="8"/>
      </tp>
      <tp>
        <v>7.0246677752532412</v>
        <stp/>
        <stp>##V3_BDPV12</stp>
        <stp>AAPL US EQUITY</stp>
        <stp>FREE_CASH_FLOW_PER_SH</stp>
        <stp>[XIDA.xlsm]Financials!R113C16</stp>
        <stp>EQY_FUND_RELATIVE_PERIOD</stp>
        <stp>-1FY</stp>
        <stp>EQY_FUND_CRNCY</stp>
        <stp>USD</stp>
        <stp>EQY_CONSOLIDATED</stp>
        <stp>Y</stp>
        <stp>Fill=B</stp>
        <tr r="P113" s="8"/>
      </tp>
      <tp>
        <v>8.2394884162080402</v>
        <stp/>
        <stp>##V3_BDPV12</stp>
        <stp>AAPL US EQUITY</stp>
        <stp>FREE_CASH_FLOW_PER_SH</stp>
        <stp>[XIDA.xlsm]Financials!R113C17</stp>
        <stp>EQY_FUND_RELATIVE_PERIOD</stp>
        <stp>-0FY</stp>
        <stp>EQY_FUND_CRNCY</stp>
        <stp>USD</stp>
        <stp>EQY_CONSOLIDATED</stp>
        <stp>Y</stp>
        <stp>Fill=B</stp>
        <tr r="Q113" s="8"/>
      </tp>
      <tp t="s">
        <v>#N/A Invalid Security</v>
        <stp/>
        <stp>##V3_BDPV12</stp>
        <stp xml:space="preserve"> EQUITY</stp>
        <stp>CRNCY_ADJ_MKT_CAP</stp>
        <stp>[XIDA.xlsm]Peers!R93C14</stp>
        <stp>EQY_FUND_CRNCY</stp>
        <stp>USD</stp>
        <tr r="N93" s="4"/>
      </tp>
      <tp t="s">
        <v>#N/A Invalid Security</v>
        <stp/>
        <stp>##V3_BDPV12</stp>
        <stp xml:space="preserve"> EQUITY</stp>
        <stp>CRNCY_ADJ_MKT_CAP</stp>
        <stp>[XIDA.xlsm]Peers!R83C14</stp>
        <stp>EQY_FUND_CRNCY</stp>
        <stp>USD</stp>
        <tr r="N83" s="4"/>
      </tp>
      <tp t="s">
        <v>#N/A Invalid Security</v>
        <stp/>
        <stp>##V3_BDPV12</stp>
        <stp xml:space="preserve"> EQUITY</stp>
        <stp>CRNCY_ADJ_MKT_CAP</stp>
        <stp>[XIDA.xlsm]Peers!R73C14</stp>
        <stp>EQY_FUND_CRNCY</stp>
        <stp>USD</stp>
        <tr r="N73" s="4"/>
      </tp>
      <tp t="s">
        <v>#N/A Invalid Security</v>
        <stp/>
        <stp>##V3_BDPV12</stp>
        <stp xml:space="preserve"> EQUITY</stp>
        <stp>CRNCY_ADJ_MKT_CAP</stp>
        <stp>[XIDA.xlsm]Peers!R63C14</stp>
        <stp>EQY_FUND_CRNCY</stp>
        <stp>USD</stp>
        <tr r="N63" s="4"/>
      </tp>
      <tp t="s">
        <v>#N/A Invalid Security</v>
        <stp/>
        <stp>##V3_BDPV12</stp>
        <stp xml:space="preserve"> EQUITY</stp>
        <stp>CRNCY_ADJ_MKT_CAP</stp>
        <stp>[XIDA.xlsm]Peers!R53C14</stp>
        <stp>EQY_FUND_CRNCY</stp>
        <stp>USD</stp>
        <tr r="N53" s="4"/>
      </tp>
      <tp t="s">
        <v>#N/A Invalid Security</v>
        <stp/>
        <stp>##V3_BDPV12</stp>
        <stp xml:space="preserve"> EQUITY</stp>
        <stp>CRNCY_ADJ_MKT_CAP</stp>
        <stp>[XIDA.xlsm]Peers!R43C14</stp>
        <stp>EQY_FUND_CRNCY</stp>
        <stp>USD</stp>
        <tr r="N43" s="4"/>
      </tp>
      <tp t="s">
        <v>#N/A Invalid Security</v>
        <stp/>
        <stp>##V3_BDPV12</stp>
        <stp xml:space="preserve"> EQUITY</stp>
        <stp>CRNCY_ADJ_MKT_CAP</stp>
        <stp>[XIDA.xlsm]Peers!R33C14</stp>
        <stp>EQY_FUND_CRNCY</stp>
        <stp>USD</stp>
        <tr r="N33" s="4"/>
      </tp>
      <tp t="s">
        <v>EUR</v>
        <stp/>
        <stp>##V3_BDPV12</stp>
        <stp>ALU FP EQUITY</stp>
        <stp>CRNCY</stp>
        <stp>[XIDA.xlsm]Peers!R24C11</stp>
        <tr r="K24" s="4"/>
      </tp>
      <tp t="e">
        <v>#N/A</v>
        <stp/>
        <stp>##V3_BDSV12</stp>
        <stp>AAPL US EQUITY</stp>
        <stp>INSIDER_HOLDING</stp>
        <stp>[XIDA.xlsm]DataH!R77C5</stp>
        <stp>FILL=B</stp>
        <stp>startcol=4</stp>
        <stp>endcol=4</stp>
        <stp>startrow=1</stp>
        <stp>endrow=5</stp>
        <stp>cols=1;rows=5</stp>
        <tr r="E77" s="16"/>
      </tp>
      <tp t="e">
        <v>#N/A</v>
        <stp/>
        <stp>##V3_BDHV12</stp>
        <stp>AAPL US EQUITY</stp>
        <stp>TOT_SELL_REC</stp>
        <stp>ED-13AM</stp>
        <stp/>
        <stp>[XIDA.xlsm]DataH!R41C4</stp>
        <stp>BEST FPERIOD OVERRIDE</stp>
        <stp>1FY</stp>
        <stp>PER=CM</stp>
        <stp>SORT=D</stp>
        <stp>DAYS=W</stp>
        <stp>Fill=P</stp>
        <stp>DTS=H</stp>
        <stp>cols=1;rows=13</stp>
        <tr r="D41" s="16"/>
      </tp>
      <tp t="s">
        <v>#N/A Requesting Data...</v>
        <stp/>
        <stp>##V3_BDSV12</stp>
        <stp>AAPL US EQUITY</stp>
        <stp>BEST_NET_DEBT_BRK_GRID</stp>
        <stp>[XIDA.xlsm]DataH!R8C117</stp>
        <stp>BEST_FPERIOD_OVERRIDE</stp>
        <stp>1FQ</stp>
        <stp>STARTCOL=4</stp>
        <stp>ENDCOL=4</stp>
        <stp>EQY_FUND_CRNCY</stp>
        <stp>USD</stp>
        <stp>BEST_CONSOLIDATED_OVERRIDE</stp>
        <stp>C</stp>
        <tr r="DM8" s="16"/>
      </tp>
      <tp>
        <v>0.22773483929603591</v>
        <stp/>
        <stp>##V3_BDPV12</stp>
        <stp>AAPL US EQUITY</stp>
        <stp>BEST_NI_ADJ_TO_SALES</stp>
        <stp>[XIDA.xlsm]Overview!R45C9</stp>
        <stp>BEST_FPERIOD_OVERRIDE</stp>
        <stp>1FY</stp>
        <stp>BEST_CONSOLIDATED_OVERRIDE</stp>
        <stp>C</stp>
        <tr r="I45" s="3"/>
        <tr r="I45" s="3"/>
      </tp>
      <tp>
        <v>1241</v>
        <stp/>
        <stp>##V3_BDPV12</stp>
        <stp>AAPL US EQUITY</stp>
        <stp>BS_OTHER_LT_LIABILITIES</stp>
        <stp>[XIDA.xlsm]Financials!R69C10</stp>
        <stp>EQY_FUND_RELATIVE_PERIOD</stp>
        <stp>-7FY</stp>
        <stp>EQY_FUND_CRNCY</stp>
        <stp>USD</stp>
        <stp>EQY_CONSOLIDATED</stp>
        <stp>Y</stp>
        <stp>Fill=B</stp>
        <tr r="J69" s="8"/>
      </tp>
      <tp>
        <v>2513</v>
        <stp/>
        <stp>##V3_BDPV12</stp>
        <stp>AAPL US EQUITY</stp>
        <stp>BS_OTHER_LT_LIABILITIES</stp>
        <stp>[XIDA.xlsm]Financials!R69C11</stp>
        <stp>EQY_FUND_RELATIVE_PERIOD</stp>
        <stp>-6FY</stp>
        <stp>EQY_FUND_CRNCY</stp>
        <stp>USD</stp>
        <stp>EQY_CONSOLIDATED</stp>
        <stp>Y</stp>
        <stp>Fill=B</stp>
        <tr r="K69" s="8"/>
      </tp>
      <tp>
        <v>4355</v>
        <stp/>
        <stp>##V3_BDPV12</stp>
        <stp>AAPL US EQUITY</stp>
        <stp>BS_OTHER_LT_LIABILITIES</stp>
        <stp>[XIDA.xlsm]Financials!R69C12</stp>
        <stp>EQY_FUND_RELATIVE_PERIOD</stp>
        <stp>-5FY</stp>
        <stp>EQY_FUND_CRNCY</stp>
        <stp>USD</stp>
        <stp>EQY_CONSOLIDATED</stp>
        <stp>Y</stp>
        <stp>Fill=B</stp>
        <tr r="L69" s="8"/>
      </tp>
      <tp>
        <v>6670</v>
        <stp/>
        <stp>##V3_BDPV12</stp>
        <stp>AAPL US EQUITY</stp>
        <stp>BS_OTHER_LT_LIABILITIES</stp>
        <stp>[XIDA.xlsm]Financials!R69C13</stp>
        <stp>EQY_FUND_RELATIVE_PERIOD</stp>
        <stp>-4FY</stp>
        <stp>EQY_FUND_CRNCY</stp>
        <stp>USD</stp>
        <stp>EQY_CONSOLIDATED</stp>
        <stp>Y</stp>
        <stp>Fill=B</stp>
        <tr r="M69" s="8"/>
      </tp>
      <tp>
        <v>11786</v>
        <stp/>
        <stp>##V3_BDPV12</stp>
        <stp>AAPL US EQUITY</stp>
        <stp>BS_OTHER_LT_LIABILITIES</stp>
        <stp>[XIDA.xlsm]Financials!R69C14</stp>
        <stp>EQY_FUND_RELATIVE_PERIOD</stp>
        <stp>-3FY</stp>
        <stp>EQY_FUND_CRNCY</stp>
        <stp>USD</stp>
        <stp>EQY_CONSOLIDATED</stp>
        <stp>Y</stp>
        <stp>Fill=B</stp>
        <tr r="N69" s="8"/>
      </tp>
      <tp>
        <v>19312</v>
        <stp/>
        <stp>##V3_BDPV12</stp>
        <stp>AAPL US EQUITY</stp>
        <stp>BS_OTHER_LT_LIABILITIES</stp>
        <stp>[XIDA.xlsm]Financials!R69C15</stp>
        <stp>EQY_FUND_RELATIVE_PERIOD</stp>
        <stp>-2FY</stp>
        <stp>EQY_FUND_CRNCY</stp>
        <stp>USD</stp>
        <stp>EQY_CONSOLIDATED</stp>
        <stp>Y</stp>
        <stp>Fill=B</stp>
        <tr r="O69" s="8"/>
      </tp>
      <tp>
        <v>22833</v>
        <stp/>
        <stp>##V3_BDPV12</stp>
        <stp>AAPL US EQUITY</stp>
        <stp>BS_OTHER_LT_LIABILITIES</stp>
        <stp>[XIDA.xlsm]Financials!R69C16</stp>
        <stp>EQY_FUND_RELATIVE_PERIOD</stp>
        <stp>-1FY</stp>
        <stp>EQY_FUND_CRNCY</stp>
        <stp>USD</stp>
        <stp>EQY_CONSOLIDATED</stp>
        <stp>Y</stp>
        <stp>Fill=B</stp>
        <tr r="P69" s="8"/>
      </tp>
      <tp>
        <v>27857</v>
        <stp/>
        <stp>##V3_BDPV12</stp>
        <stp>AAPL US EQUITY</stp>
        <stp>BS_OTHER_LT_LIABILITIES</stp>
        <stp>[XIDA.xlsm]Financials!R69C17</stp>
        <stp>EQY_FUND_RELATIVE_PERIOD</stp>
        <stp>-0FY</stp>
        <stp>EQY_FUND_CRNCY</stp>
        <stp>USD</stp>
        <stp>EQY_CONSOLIDATED</stp>
        <stp>Y</stp>
        <stp>Fill=B</stp>
        <tr r="Q69" s="8"/>
      </tp>
      <tp>
        <v>0</v>
        <stp/>
        <stp>##V3_BDPV12</stp>
        <stp>AAPL US EQUITY</stp>
        <stp>CF_OTHER_FNC_ACT</stp>
        <stp>[XIDA.xlsm]Financials!R104C8</stp>
        <stp>EQY_FUND_RELATIVE_PERIOD</stp>
        <stp>-9FY</stp>
        <stp>EQY_FUND_CRNCY</stp>
        <stp>USD</stp>
        <stp>EQY_CONSOLIDATED</stp>
        <stp>Y</stp>
        <stp>Fill=B</stp>
        <tr r="H104" s="8"/>
      </tp>
      <tp>
        <v>0</v>
        <stp/>
        <stp>##V3_BDPV12</stp>
        <stp>AAPL US EQUITY</stp>
        <stp>CF_OTHER_FNC_ACT</stp>
        <stp>[XIDA.xlsm]Financials!R104C9</stp>
        <stp>EQY_FUND_RELATIVE_PERIOD</stp>
        <stp>-8FY</stp>
        <stp>EQY_FUND_CRNCY</stp>
        <stp>USD</stp>
        <stp>EQY_CONSOLIDATED</stp>
        <stp>Y</stp>
        <stp>Fill=B</stp>
        <tr r="I104" s="8"/>
      </tp>
      <tp>
        <v>1.1674329999999999</v>
        <stp/>
        <stp>##V3_BDPV12</stp>
        <stp>AAPL US EQUITY</stp>
        <stp>SHORT_INT_RATIO</stp>
        <stp>[XIDA.xlsm]Owners!R13C5</stp>
        <tr r="E13" s="14"/>
        <tr r="E13" s="14"/>
      </tp>
      <tp t="s">
        <v>#N/A Invalid Security</v>
        <stp/>
        <stp>##V3_BDPV12</stp>
        <stp xml:space="preserve"> EQUITY</stp>
        <stp>CRNCY_ADJ_MKT_CAP</stp>
        <stp>[XIDA.xlsm]Peers!R90C14</stp>
        <stp>EQY_FUND_CRNCY</stp>
        <stp>USD</stp>
        <tr r="N90" s="4"/>
      </tp>
      <tp t="s">
        <v>#N/A Invalid Security</v>
        <stp/>
        <stp>##V3_BDPV12</stp>
        <stp xml:space="preserve"> EQUITY</stp>
        <stp>CRNCY_ADJ_MKT_CAP</stp>
        <stp>[XIDA.xlsm]Peers!R80C14</stp>
        <stp>EQY_FUND_CRNCY</stp>
        <stp>USD</stp>
        <tr r="N80" s="4"/>
      </tp>
      <tp t="s">
        <v>#N/A Invalid Security</v>
        <stp/>
        <stp>##V3_BDPV12</stp>
        <stp xml:space="preserve"> EQUITY</stp>
        <stp>CRNCY_ADJ_MKT_CAP</stp>
        <stp>[XIDA.xlsm]Peers!R70C14</stp>
        <stp>EQY_FUND_CRNCY</stp>
        <stp>USD</stp>
        <tr r="N70" s="4"/>
      </tp>
      <tp t="s">
        <v>#N/A Invalid Security</v>
        <stp/>
        <stp>##V3_BDPV12</stp>
        <stp xml:space="preserve"> EQUITY</stp>
        <stp>CRNCY_ADJ_MKT_CAP</stp>
        <stp>[XIDA.xlsm]Peers!R60C14</stp>
        <stp>EQY_FUND_CRNCY</stp>
        <stp>USD</stp>
        <tr r="N60" s="4"/>
      </tp>
      <tp t="s">
        <v>#N/A Invalid Security</v>
        <stp/>
        <stp>##V3_BDPV12</stp>
        <stp xml:space="preserve"> EQUITY</stp>
        <stp>CRNCY_ADJ_MKT_CAP</stp>
        <stp>[XIDA.xlsm]Peers!R50C14</stp>
        <stp>EQY_FUND_CRNCY</stp>
        <stp>USD</stp>
        <tr r="N50" s="4"/>
      </tp>
      <tp t="s">
        <v>#N/A Invalid Security</v>
        <stp/>
        <stp>##V3_BDPV12</stp>
        <stp xml:space="preserve"> EQUITY</stp>
        <stp>CRNCY_ADJ_MKT_CAP</stp>
        <stp>[XIDA.xlsm]Peers!R40C14</stp>
        <stp>EQY_FUND_CRNCY</stp>
        <stp>USD</stp>
        <tr r="N40" s="4"/>
      </tp>
      <tp t="s">
        <v>#N/A Invalid Security</v>
        <stp/>
        <stp>##V3_BDPV12</stp>
        <stp xml:space="preserve"> EQUITY</stp>
        <stp>CRNCY_ADJ_MKT_CAP</stp>
        <stp>[XIDA.xlsm]Peers!R30C14</stp>
        <stp>EQY_FUND_CRNCY</stp>
        <stp>USD</stp>
        <tr r="N30" s="4"/>
      </tp>
      <tp>
        <v>27.285904094697422</v>
        <stp/>
        <stp>##V3_BDPV12</stp>
        <stp>AAPL US EQUITY</stp>
        <stp>GROSS_MARGIN</stp>
        <stp>[XIDA.xlsm]Financials!R126C7</stp>
        <stp>EQY_FUND_RELATIVE_PERIOD</stp>
        <stp>-10FY</stp>
        <stp>EQY_FUND_CRNCY</stp>
        <stp>USD</stp>
        <stp>EQY_CONSOLIDATED</stp>
        <stp>Y</stp>
        <stp>Fill=0</stp>
        <tr r="G126" s="8"/>
      </tp>
      <tp>
        <v>-24.84947</v>
        <stp/>
        <stp>##V3_BDPV12</stp>
        <stp>ERICB SS EQUITY</stp>
        <stp>CUST_TRR_RETURN_HOLDING_PER</stp>
        <stp>[XIDA.xlsm]DataH!R30C7</stp>
        <stp>CUST_TRR_START_DT</stp>
        <stp>20150224</stp>
        <stp>CUST_TRR_END_DT</stp>
        <stp>20150824</stp>
        <stp>CUST_TRR_CRNCY</stp>
        <stp>USD</stp>
        <tr r="G30" s="16"/>
      </tp>
      <tp>
        <v>0</v>
        <stp/>
        <stp>##V3_BDPV12</stp>
        <stp>AAPL US EQUITY</stp>
        <stp>MINORITY_NONCONTROLLING_INTEREST</stp>
        <stp>[XIDA.xlsm]Overview!R55C20</stp>
        <stp>FUND_PER</stp>
        <stp>Q</stp>
        <stp>EQY_FUND_CRNCY</stp>
        <stp>USD</stp>
        <stp>EQY_CONSOLIDATED</stp>
        <stp>Y</stp>
        <stp>Fill=0</stp>
        <tr r="T55" s="3"/>
      </tp>
      <tp>
        <v>0.29726500113125148</v>
        <stp/>
        <stp>##V3_BDPV12</stp>
        <stp>AAPL US EQUITY</stp>
        <stp>BEST_OPP_TO_SALES</stp>
        <stp>[XIDA.xlsm]Overview!R44C10</stp>
        <stp>BEST_FPERIOD_OVERRIDE</stp>
        <stp>2FY</stp>
        <stp>BEST_CONSOLIDATED_OVERRIDE</stp>
        <stp>C</stp>
        <tr r="J44" s="3"/>
        <tr r="J44" s="3"/>
      </tp>
      <tp>
        <v>0.30652089330965215</v>
        <stp/>
        <stp>##V3_BDPV12</stp>
        <stp>AAPL US EQUITY</stp>
        <stp>BEST_OPP_TO_SALES</stp>
        <stp>[XIDA.xlsm]Overview!R44C11</stp>
        <stp>BEST_FPERIOD_OVERRIDE</stp>
        <stp>3FY</stp>
        <stp>BEST_CONSOLIDATED_OVERRIDE</stp>
        <stp>C</stp>
        <tr r="K44" s="3"/>
        <tr r="K44" s="3"/>
      </tp>
      <tp>
        <v>87718.167000000001</v>
        <stp/>
        <stp>##V3_BDPV12</stp>
        <stp>AAPL US EQUITY</stp>
        <stp>BEST_EBITDA</stp>
        <stp>[XIDA.xlsm]Financials!R43C20</stp>
        <stp>BEST_FPERIOD_OVERRIDE</stp>
        <stp>3FY</stp>
        <stp>EQY_FUND_CRNCY</stp>
        <stp>USD</stp>
        <stp>BEST_CONSOLIDATED_OVERRIDE</stp>
        <stp>C</stp>
        <stp>Fill=B</stp>
        <tr r="T43" s="8"/>
      </tp>
      <tp>
        <v>27.93733681462141</v>
        <stp/>
        <stp>##V3_BDPV12</stp>
        <stp>AAPL US EQUITY</stp>
        <stp>EFF_TAX_RATE</stp>
        <stp>[XIDA.xlsm]Financials!R146C7</stp>
        <stp>EQY_FUND_RELATIVE_PERIOD</stp>
        <stp>-10FY</stp>
        <stp>EQY_FUND_CRNCY</stp>
        <stp>USD</stp>
        <stp>EQY_CONSOLIDATED</stp>
        <stp>Y</stp>
        <stp>Fill=0</stp>
        <tr r="G146" s="8"/>
      </tp>
      <tp t="s">
        <v>S&amp;P 500 INDEX</v>
        <stp/>
        <stp>##V3_BDPV12</stp>
        <stp>SPX INDEX</stp>
        <stp>NAME</stp>
        <stp>[XIDA.xlsm]Overview!R9C5</stp>
        <tr r="E9" s="3"/>
      </tp>
      <tp t="s">
        <v>#N/A Invalid Security</v>
        <stp/>
        <stp>##V3_BDPV12</stp>
        <stp xml:space="preserve"> EQUITY</stp>
        <stp>CRNCY_ADJ_MKT_CAP</stp>
        <stp>[XIDA.xlsm]Peers!R91C14</stp>
        <stp>EQY_FUND_CRNCY</stp>
        <stp>USD</stp>
        <tr r="N91" s="4"/>
      </tp>
      <tp t="s">
        <v>#N/A Invalid Security</v>
        <stp/>
        <stp>##V3_BDPV12</stp>
        <stp xml:space="preserve"> EQUITY</stp>
        <stp>CRNCY_ADJ_MKT_CAP</stp>
        <stp>[XIDA.xlsm]Peers!R81C14</stp>
        <stp>EQY_FUND_CRNCY</stp>
        <stp>USD</stp>
        <tr r="N81" s="4"/>
      </tp>
      <tp t="s">
        <v>#N/A Invalid Security</v>
        <stp/>
        <stp>##V3_BDPV12</stp>
        <stp xml:space="preserve"> EQUITY</stp>
        <stp>CRNCY_ADJ_MKT_CAP</stp>
        <stp>[XIDA.xlsm]Peers!R71C14</stp>
        <stp>EQY_FUND_CRNCY</stp>
        <stp>USD</stp>
        <tr r="N71" s="4"/>
      </tp>
      <tp t="s">
        <v>#N/A Invalid Security</v>
        <stp/>
        <stp>##V3_BDPV12</stp>
        <stp xml:space="preserve"> EQUITY</stp>
        <stp>CRNCY_ADJ_MKT_CAP</stp>
        <stp>[XIDA.xlsm]Peers!R61C14</stp>
        <stp>EQY_FUND_CRNCY</stp>
        <stp>USD</stp>
        <tr r="N61" s="4"/>
      </tp>
      <tp t="s">
        <v>#N/A Invalid Security</v>
        <stp/>
        <stp>##V3_BDPV12</stp>
        <stp xml:space="preserve"> EQUITY</stp>
        <stp>CRNCY_ADJ_MKT_CAP</stp>
        <stp>[XIDA.xlsm]Peers!R51C14</stp>
        <stp>EQY_FUND_CRNCY</stp>
        <stp>USD</stp>
        <tr r="N51" s="4"/>
      </tp>
      <tp t="s">
        <v>#N/A Invalid Security</v>
        <stp/>
        <stp>##V3_BDPV12</stp>
        <stp xml:space="preserve"> EQUITY</stp>
        <stp>CRNCY_ADJ_MKT_CAP</stp>
        <stp>[XIDA.xlsm]Peers!R41C14</stp>
        <stp>EQY_FUND_CRNCY</stp>
        <stp>USD</stp>
        <tr r="N41" s="4"/>
      </tp>
      <tp t="s">
        <v>#N/A Invalid Security</v>
        <stp/>
        <stp>##V3_BDPV12</stp>
        <stp xml:space="preserve"> EQUITY</stp>
        <stp>CRNCY_ADJ_MKT_CAP</stp>
        <stp>[XIDA.xlsm]Peers!R31C14</stp>
        <stp>EQY_FUND_CRNCY</stp>
        <stp>USD</stp>
        <tr r="N31" s="4"/>
      </tp>
      <tp t="e">
        <v>#N/A</v>
        <stp/>
        <stp>##V3_BDSV12</stp>
        <stp>AAPL US Equity</stp>
        <stp>PCT_OWNERSHIP_TYP</stp>
        <stp>[XIDA.xlsm]DataH!R74C13</stp>
        <stp>StartCol=1</stp>
        <stp>EndCol=2</stp>
        <stp>StartRow=1</stp>
        <stp>EndRow=8</stp>
        <stp>cols=2;rows=8</stp>
        <tr r="M74" s="16"/>
      </tp>
      <tp>
        <v>-735</v>
        <stp/>
        <stp>##V3_BDPV12</stp>
        <stp>AAPL US EQUITY</stp>
        <stp>CF_CAP_EXPEND_PRPTY_ADD</stp>
        <stp>[XIDA.xlsm]Financials!R92C10</stp>
        <stp>EQY_FUND_RELATIVE_PERIOD</stp>
        <stp>-7FY</stp>
        <stp>EQY_FUND_CRNCY</stp>
        <stp>USD</stp>
        <stp>EQY_CONSOLIDATED</stp>
        <stp>Y</stp>
        <stp>Fill=B</stp>
        <tr r="J92" s="8"/>
      </tp>
      <tp>
        <v>-1091</v>
        <stp/>
        <stp>##V3_BDPV12</stp>
        <stp>AAPL US EQUITY</stp>
        <stp>CF_CAP_EXPEND_PRPTY_ADD</stp>
        <stp>[XIDA.xlsm]Financials!R92C11</stp>
        <stp>EQY_FUND_RELATIVE_PERIOD</stp>
        <stp>-6FY</stp>
        <stp>EQY_FUND_CRNCY</stp>
        <stp>USD</stp>
        <stp>EQY_CONSOLIDATED</stp>
        <stp>Y</stp>
        <stp>Fill=B</stp>
        <tr r="K92" s="8"/>
      </tp>
      <tp>
        <v>-1144</v>
        <stp/>
        <stp>##V3_BDPV12</stp>
        <stp>AAPL US EQUITY</stp>
        <stp>CF_CAP_EXPEND_PRPTY_ADD</stp>
        <stp>[XIDA.xlsm]Financials!R92C12</stp>
        <stp>EQY_FUND_RELATIVE_PERIOD</stp>
        <stp>-5FY</stp>
        <stp>EQY_FUND_CRNCY</stp>
        <stp>USD</stp>
        <stp>EQY_CONSOLIDATED</stp>
        <stp>Y</stp>
        <stp>Fill=B</stp>
        <tr r="L92" s="8"/>
      </tp>
      <tp>
        <v>-2005</v>
        <stp/>
        <stp>##V3_BDPV12</stp>
        <stp>AAPL US EQUITY</stp>
        <stp>CF_CAP_EXPEND_PRPTY_ADD</stp>
        <stp>[XIDA.xlsm]Financials!R92C13</stp>
        <stp>EQY_FUND_RELATIVE_PERIOD</stp>
        <stp>-4FY</stp>
        <stp>EQY_FUND_CRNCY</stp>
        <stp>USD</stp>
        <stp>EQY_CONSOLIDATED</stp>
        <stp>Y</stp>
        <stp>Fill=B</stp>
        <tr r="M92" s="8"/>
      </tp>
      <tp>
        <v>-4260</v>
        <stp/>
        <stp>##V3_BDPV12</stp>
        <stp>AAPL US EQUITY</stp>
        <stp>CF_CAP_EXPEND_PRPTY_ADD</stp>
        <stp>[XIDA.xlsm]Financials!R92C14</stp>
        <stp>EQY_FUND_RELATIVE_PERIOD</stp>
        <stp>-3FY</stp>
        <stp>EQY_FUND_CRNCY</stp>
        <stp>USD</stp>
        <stp>EQY_CONSOLIDATED</stp>
        <stp>Y</stp>
        <stp>Fill=B</stp>
        <tr r="N92" s="8"/>
      </tp>
      <tp>
        <v>-8295</v>
        <stp/>
        <stp>##V3_BDPV12</stp>
        <stp>AAPL US EQUITY</stp>
        <stp>CF_CAP_EXPEND_PRPTY_ADD</stp>
        <stp>[XIDA.xlsm]Financials!R92C15</stp>
        <stp>EQY_FUND_RELATIVE_PERIOD</stp>
        <stp>-2FY</stp>
        <stp>EQY_FUND_CRNCY</stp>
        <stp>USD</stp>
        <stp>EQY_CONSOLIDATED</stp>
        <stp>Y</stp>
        <stp>Fill=B</stp>
        <tr r="O92" s="8"/>
      </tp>
      <tp>
        <v>-8165</v>
        <stp/>
        <stp>##V3_BDPV12</stp>
        <stp>AAPL US EQUITY</stp>
        <stp>CF_CAP_EXPEND_PRPTY_ADD</stp>
        <stp>[XIDA.xlsm]Financials!R92C16</stp>
        <stp>EQY_FUND_RELATIVE_PERIOD</stp>
        <stp>-1FY</stp>
        <stp>EQY_FUND_CRNCY</stp>
        <stp>USD</stp>
        <stp>EQY_CONSOLIDATED</stp>
        <stp>Y</stp>
        <stp>Fill=B</stp>
        <tr r="P92" s="8"/>
      </tp>
      <tp>
        <v>-9571</v>
        <stp/>
        <stp>##V3_BDPV12</stp>
        <stp>AAPL US EQUITY</stp>
        <stp>CF_CAP_EXPEND_PRPTY_ADD</stp>
        <stp>[XIDA.xlsm]Financials!R92C17</stp>
        <stp>EQY_FUND_RELATIVE_PERIOD</stp>
        <stp>-0FY</stp>
        <stp>EQY_FUND_CRNCY</stp>
        <stp>USD</stp>
        <stp>EQY_CONSOLIDATED</stp>
        <stp>Y</stp>
        <stp>Fill=B</stp>
        <tr r="Q92" s="8"/>
      </tp>
      <tp t="e">
        <v>#N/A</v>
        <stp/>
        <stp>##V3_BDSV12</stp>
        <stp>AAPL US EQUITY</stp>
        <stp>INSIDER_HOLDING</stp>
        <stp>[XIDA.xlsm]DataH!R77C6</stp>
        <stp>FILL=B</stp>
        <stp>startcol=6</stp>
        <stp>endcol=6</stp>
        <stp>startrow=1</stp>
        <stp>endrow=5</stp>
        <stp>cols=1;rows=5</stp>
        <tr r="F77" s="16"/>
      </tp>
      <tp>
        <v>0</v>
        <stp/>
        <stp>##V3_BDPV12</stp>
        <stp>AAPL US EQUITY</stp>
        <stp>MINORITY_NONCONTROLLING_INTEREST</stp>
        <stp>[XIDA.xlsm]Financials!R73C10</stp>
        <stp>EQY_FUND_RELATIVE_PERIOD</stp>
        <stp>-7FY</stp>
        <stp>EQY_FUND_CRNCY</stp>
        <stp>USD</stp>
        <stp>EQY_CONSOLIDATED</stp>
        <stp>Y</stp>
        <stp>Fill=B</stp>
        <tr r="J73" s="8"/>
      </tp>
      <tp>
        <v>0</v>
        <stp/>
        <stp>##V3_BDPV12</stp>
        <stp>AAPL US EQUITY</stp>
        <stp>MINORITY_NONCONTROLLING_INTEREST</stp>
        <stp>[XIDA.xlsm]Financials!R73C11</stp>
        <stp>EQY_FUND_RELATIVE_PERIOD</stp>
        <stp>-6FY</stp>
        <stp>EQY_FUND_CRNCY</stp>
        <stp>USD</stp>
        <stp>EQY_CONSOLIDATED</stp>
        <stp>Y</stp>
        <stp>Fill=B</stp>
        <tr r="K73" s="8"/>
      </tp>
      <tp>
        <v>0</v>
        <stp/>
        <stp>##V3_BDPV12</stp>
        <stp>AAPL US EQUITY</stp>
        <stp>MINORITY_NONCONTROLLING_INTEREST</stp>
        <stp>[XIDA.xlsm]Financials!R73C12</stp>
        <stp>EQY_FUND_RELATIVE_PERIOD</stp>
        <stp>-5FY</stp>
        <stp>EQY_FUND_CRNCY</stp>
        <stp>USD</stp>
        <stp>EQY_CONSOLIDATED</stp>
        <stp>Y</stp>
        <stp>Fill=B</stp>
        <tr r="L73" s="8"/>
      </tp>
      <tp>
        <v>0</v>
        <stp/>
        <stp>##V3_BDPV12</stp>
        <stp>AAPL US EQUITY</stp>
        <stp>MINORITY_NONCONTROLLING_INTEREST</stp>
        <stp>[XIDA.xlsm]Financials!R73C13</stp>
        <stp>EQY_FUND_RELATIVE_PERIOD</stp>
        <stp>-4FY</stp>
        <stp>EQY_FUND_CRNCY</stp>
        <stp>USD</stp>
        <stp>EQY_CONSOLIDATED</stp>
        <stp>Y</stp>
        <stp>Fill=B</stp>
        <tr r="M73" s="8"/>
      </tp>
      <tp>
        <v>0</v>
        <stp/>
        <stp>##V3_BDPV12</stp>
        <stp>AAPL US EQUITY</stp>
        <stp>MINORITY_NONCONTROLLING_INTEREST</stp>
        <stp>[XIDA.xlsm]Financials!R73C14</stp>
        <stp>EQY_FUND_RELATIVE_PERIOD</stp>
        <stp>-3FY</stp>
        <stp>EQY_FUND_CRNCY</stp>
        <stp>USD</stp>
        <stp>EQY_CONSOLIDATED</stp>
        <stp>Y</stp>
        <stp>Fill=B</stp>
        <tr r="N73" s="8"/>
      </tp>
      <tp>
        <v>0</v>
        <stp/>
        <stp>##V3_BDPV12</stp>
        <stp>AAPL US EQUITY</stp>
        <stp>MINORITY_NONCONTROLLING_INTEREST</stp>
        <stp>[XIDA.xlsm]Financials!R73C15</stp>
        <stp>EQY_FUND_RELATIVE_PERIOD</stp>
        <stp>-2FY</stp>
        <stp>EQY_FUND_CRNCY</stp>
        <stp>USD</stp>
        <stp>EQY_CONSOLIDATED</stp>
        <stp>Y</stp>
        <stp>Fill=B</stp>
        <tr r="O73" s="8"/>
      </tp>
      <tp>
        <v>0</v>
        <stp/>
        <stp>##V3_BDPV12</stp>
        <stp>AAPL US EQUITY</stp>
        <stp>MINORITY_NONCONTROLLING_INTEREST</stp>
        <stp>[XIDA.xlsm]Financials!R73C16</stp>
        <stp>EQY_FUND_RELATIVE_PERIOD</stp>
        <stp>-1FY</stp>
        <stp>EQY_FUND_CRNCY</stp>
        <stp>USD</stp>
        <stp>EQY_CONSOLIDATED</stp>
        <stp>Y</stp>
        <stp>Fill=B</stp>
        <tr r="P73" s="8"/>
      </tp>
      <tp>
        <v>0</v>
        <stp/>
        <stp>##V3_BDPV12</stp>
        <stp>AAPL US EQUITY</stp>
        <stp>MINORITY_NONCONTROLLING_INTEREST</stp>
        <stp>[XIDA.xlsm]Financials!R73C17</stp>
        <stp>EQY_FUND_RELATIVE_PERIOD</stp>
        <stp>-0FY</stp>
        <stp>EQY_FUND_CRNCY</stp>
        <stp>USD</stp>
        <stp>EQY_CONSOLIDATED</stp>
        <stp>Y</stp>
        <stp>Fill=B</stp>
        <tr r="Q73" s="8"/>
      </tp>
      <tp>
        <v>0</v>
        <stp/>
        <stp>##V3_BDPV12</stp>
        <stp>AAPL US EQUITY</stp>
        <stp>DVD_PAYOUT_RATIO</stp>
        <stp>[XIDA.xlsm]Financials!R38C7</stp>
        <stp>EQY_FUND_RELATIVE_PERIOD</stp>
        <stp>-10FY</stp>
        <stp>EQY_FUND_CRNCY</stp>
        <stp>USD</stp>
        <stp>EQY_CONSOLIDATED</stp>
        <stp>Y</stp>
        <stp>Fill=B</stp>
        <tr r="G38" s="8"/>
      </tp>
      <tp>
        <v>10.567739290838286</v>
        <stp/>
        <stp>##V3_BDPV12</stp>
        <stp>AAPL US EQUITY</stp>
        <stp>BEST_PE_RATIO</stp>
        <stp>[XIDA.xlsm]Financials!R118C19</stp>
        <stp>BEST_FPERIOD_OVERRIDE</stp>
        <stp>2FY</stp>
        <stp>EQY_FUND_CRNCY</stp>
        <stp>USD</stp>
        <stp>BEST_CONSOLIDATED_OVERRIDE</stp>
        <stp>C</stp>
        <stp>Fill=B</stp>
        <tr r="S118" s="8"/>
      </tp>
      <tp>
        <v>11.293396123097143</v>
        <stp/>
        <stp>##V3_BDPV12</stp>
        <stp>AAPL US EQUITY</stp>
        <stp>BEST_PE_RATIO</stp>
        <stp>[XIDA.xlsm]Financials!R118C18</stp>
        <stp>BEST_FPERIOD_OVERRIDE</stp>
        <stp>1FY</stp>
        <stp>EQY_FUND_CRNCY</stp>
        <stp>USD</stp>
        <stp>BEST_CONSOLIDATED_OVERRIDE</stp>
        <stp>C</stp>
        <stp>Fill=B</stp>
        <tr r="R118" s="8"/>
      </tp>
      <tp>
        <v>20.697299999999998</v>
        <stp/>
        <stp>##V3_BDHV12</stp>
        <stp>6758 JP EQUITY</stp>
        <stp>PX_LAST</stp>
        <stp>1/1/2015</stp>
        <stp>4/13/2015</stp>
        <stp>[XIDA.xlsm]Indices!R10C34</stp>
        <stp>Dts=H</stp>
        <stp>FX=USD</stp>
        <stp>CDR=US</stp>
        <stp/>
        <stp>PER=CD</stp>
        <stp>cols=1;rows=69</stp>
        <tr r="AH10" s="5"/>
      </tp>
      <tp t="s">
        <v>#N/A Invalid Security</v>
        <stp/>
        <stp>##V3_BDPV12</stp>
        <stp xml:space="preserve"> EQUITY</stp>
        <stp>CRNCY_ADJ_MKT_CAP</stp>
        <stp>[XIDA.xlsm]Peers!R96C14</stp>
        <stp>EQY_FUND_CRNCY</stp>
        <stp>USD</stp>
        <tr r="N96" s="4"/>
      </tp>
      <tp t="s">
        <v>#N/A Invalid Security</v>
        <stp/>
        <stp>##V3_BDPV12</stp>
        <stp xml:space="preserve"> EQUITY</stp>
        <stp>CRNCY_ADJ_MKT_CAP</stp>
        <stp>[XIDA.xlsm]Peers!R86C14</stp>
        <stp>EQY_FUND_CRNCY</stp>
        <stp>USD</stp>
        <tr r="N86" s="4"/>
      </tp>
      <tp t="s">
        <v>#N/A Invalid Security</v>
        <stp/>
        <stp>##V3_BDPV12</stp>
        <stp xml:space="preserve"> EQUITY</stp>
        <stp>CRNCY_ADJ_MKT_CAP</stp>
        <stp>[XIDA.xlsm]Peers!R76C14</stp>
        <stp>EQY_FUND_CRNCY</stp>
        <stp>USD</stp>
        <tr r="N76" s="4"/>
      </tp>
      <tp t="s">
        <v>#N/A Invalid Security</v>
        <stp/>
        <stp>##V3_BDPV12</stp>
        <stp xml:space="preserve"> EQUITY</stp>
        <stp>CRNCY_ADJ_MKT_CAP</stp>
        <stp>[XIDA.xlsm]Peers!R66C14</stp>
        <stp>EQY_FUND_CRNCY</stp>
        <stp>USD</stp>
        <tr r="N66" s="4"/>
      </tp>
      <tp t="s">
        <v>#N/A Invalid Security</v>
        <stp/>
        <stp>##V3_BDPV12</stp>
        <stp xml:space="preserve"> EQUITY</stp>
        <stp>CRNCY_ADJ_MKT_CAP</stp>
        <stp>[XIDA.xlsm]Peers!R56C14</stp>
        <stp>EQY_FUND_CRNCY</stp>
        <stp>USD</stp>
        <tr r="N56" s="4"/>
      </tp>
      <tp t="s">
        <v>#N/A Invalid Security</v>
        <stp/>
        <stp>##V3_BDPV12</stp>
        <stp xml:space="preserve"> EQUITY</stp>
        <stp>CRNCY_ADJ_MKT_CAP</stp>
        <stp>[XIDA.xlsm]Peers!R46C14</stp>
        <stp>EQY_FUND_CRNCY</stp>
        <stp>USD</stp>
        <tr r="N46" s="4"/>
      </tp>
      <tp t="s">
        <v>#N/A Invalid Security</v>
        <stp/>
        <stp>##V3_BDPV12</stp>
        <stp xml:space="preserve"> EQUITY</stp>
        <stp>CRNCY_ADJ_MKT_CAP</stp>
        <stp>[XIDA.xlsm]Peers!R36C14</stp>
        <stp>EQY_FUND_CRNCY</stp>
        <stp>USD</stp>
        <tr r="N36" s="4"/>
      </tp>
      <tp t="s">
        <v>#N/A Invalid Security</v>
        <stp/>
        <stp>##V3_BDPV12</stp>
        <stp xml:space="preserve"> EQUITY</stp>
        <stp>CRNCY_ADJ_MKT_CAP</stp>
        <stp>[XIDA.xlsm]Peers!R26C14</stp>
        <stp>EQY_FUND_CRNCY</stp>
        <stp>USD</stp>
        <tr r="N26" s="4"/>
      </tp>
      <tp t="e">
        <v>#N/A</v>
        <stp/>
        <stp>##V3_BDSV12</stp>
        <stp>AAPL US EQUITY</stp>
        <stp>INSIDER_HOLDING</stp>
        <stp>[XIDA.xlsm]DataH!R77C1</stp>
        <stp>FILL=B</stp>
        <stp>startcol=1</stp>
        <stp>endcol=1</stp>
        <stp>startrow=1</stp>
        <stp>endrow=5</stp>
        <stp>cols=1;rows=5</stp>
        <tr r="A77" s="16"/>
      </tp>
      <tp>
        <v>37.38978199197485</v>
        <stp/>
        <stp>##V3_BDPV12</stp>
        <stp>AAPL US EQUITY</stp>
        <stp>EBITDA_TO_NET_SALES</stp>
        <stp>[XIDA.xlsm]Overview!R43C6</stp>
        <stp>EQY_FUND_RELATIVE_PERIOD</stp>
        <stp>-2FY</stp>
        <stp>EQY_CONSOLIDATED</stp>
        <stp>Y</stp>
        <stp>Fill=-</stp>
        <tr r="F43" s="3"/>
      </tp>
      <tp>
        <v>32.890835019261146</v>
        <stp/>
        <stp>##V3_BDPV12</stp>
        <stp>AAPL US EQUITY</stp>
        <stp>EBITDA_TO_NET_SALES</stp>
        <stp>[XIDA.xlsm]Overview!R43C5</stp>
        <stp>EQY_FUND_RELATIVE_PERIOD</stp>
        <stp>-3FY</stp>
        <stp>EQY_CONSOLIDATED</stp>
        <stp>Y</stp>
        <stp>Fill=-</stp>
        <tr r="E43" s="3"/>
      </tp>
      <tp>
        <v>32.62301796267041</v>
        <stp/>
        <stp>##V3_BDPV12</stp>
        <stp>AAPL US EQUITY</stp>
        <stp>EBITDA_TO_NET_SALES</stp>
        <stp>[XIDA.xlsm]Overview!R43C7</stp>
        <stp>EQY_FUND_RELATIVE_PERIOD</stp>
        <stp>-1FY</stp>
        <stp>EQY_CONSOLIDATED</stp>
        <stp>Y</stp>
        <stp>Fill=-</stp>
        <tr r="G43" s="3"/>
      </tp>
      <tp>
        <v>33.069285264914249</v>
        <stp/>
        <stp>##V3_BDPV12</stp>
        <stp>AAPL US EQUITY</stp>
        <stp>EBITDA_TO_NET_SALES</stp>
        <stp>[XIDA.xlsm]Overview!R43C8</stp>
        <stp>EQY_FUND_RELATIVE_PERIOD</stp>
        <stp>-0FY</stp>
        <stp>EQY_CONSOLIDATED</stp>
        <stp>Y</stp>
        <stp>Fill=-</stp>
        <tr r="H43" s="3"/>
      </tp>
      <tp t="s">
        <v>#N/A Requesting Data...</v>
        <stp/>
        <stp>##V3_BDSV12</stp>
        <stp>AAPL US EQUITY</stp>
        <stp>BEST_NET_DEBT_BRK_GRID</stp>
        <stp>[XIDA.xlsm]DataH!R8C120</stp>
        <stp>BEST_FPERIOD_OVERRIDE</stp>
        <stp>3FQ</stp>
        <stp>STARTCOL=4</stp>
        <stp>ENDCOL=4</stp>
        <stp>EQY_FUND_CRNCY</stp>
        <stp>USD</stp>
        <stp>BEST_CONSOLIDATED_OVERRIDE</stp>
        <stp>C</stp>
        <tr r="DP8" s="16"/>
      </tp>
      <tp>
        <v>458</v>
        <stp/>
        <stp>##V3_BDPV12</stp>
        <stp>AAPL US EQUITY</stp>
        <stp>FREE_CASH_FLOW_EQUITY</stp>
        <stp>[XIDA.xlsm]Financials!R112C7</stp>
        <stp>EQY_FUND_RELATIVE_PERIOD</stp>
        <stp>-10FY</stp>
        <stp>EQY_FUND_CRNCY</stp>
        <stp>USD</stp>
        <stp>EQY_CONSOLIDATED</stp>
        <stp>Y</stp>
        <stp>Fill=B</stp>
        <tr r="G112" s="8"/>
      </tp>
      <tp>
        <v>0.92624176976023731</v>
        <stp/>
        <stp>##V3_BDPV12</stp>
        <stp>AAPL US EQUITY</stp>
        <stp>BOOK_VAL_PER_SH</stp>
        <stp>[XIDA.xlsm]Financials!R81C7</stp>
        <stp>EQY_FUND_RELATIVE_PERIOD</stp>
        <stp>-10FY</stp>
        <stp>EQY_FUND_CRNCY</stp>
        <stp>USD</stp>
        <stp>EQY_CONSOLIDATED</stp>
        <stp>Y</stp>
        <stp>Fill=B</stp>
        <tr r="G81" s="8"/>
      </tp>
      <tp t="s">
        <v>#N/A Invalid Security</v>
        <stp/>
        <stp>##V3_BDPV12</stp>
        <stp xml:space="preserve"> EQUITY</stp>
        <stp>CRNCY_ADJ_MKT_CAP</stp>
        <stp>[XIDA.xlsm]Peers!R97C14</stp>
        <stp>EQY_FUND_CRNCY</stp>
        <stp>USD</stp>
        <tr r="N97" s="4"/>
      </tp>
      <tp t="s">
        <v>#N/A Invalid Security</v>
        <stp/>
        <stp>##V3_BDPV12</stp>
        <stp xml:space="preserve"> EQUITY</stp>
        <stp>CRNCY_ADJ_MKT_CAP</stp>
        <stp>[XIDA.xlsm]Peers!R87C14</stp>
        <stp>EQY_FUND_CRNCY</stp>
        <stp>USD</stp>
        <tr r="N87" s="4"/>
      </tp>
      <tp t="s">
        <v>#N/A Invalid Security</v>
        <stp/>
        <stp>##V3_BDPV12</stp>
        <stp xml:space="preserve"> EQUITY</stp>
        <stp>CRNCY_ADJ_MKT_CAP</stp>
        <stp>[XIDA.xlsm]Peers!R77C14</stp>
        <stp>EQY_FUND_CRNCY</stp>
        <stp>USD</stp>
        <tr r="N77" s="4"/>
      </tp>
      <tp t="s">
        <v>#N/A Invalid Security</v>
        <stp/>
        <stp>##V3_BDPV12</stp>
        <stp xml:space="preserve"> EQUITY</stp>
        <stp>CRNCY_ADJ_MKT_CAP</stp>
        <stp>[XIDA.xlsm]Peers!R67C14</stp>
        <stp>EQY_FUND_CRNCY</stp>
        <stp>USD</stp>
        <tr r="N67" s="4"/>
      </tp>
      <tp t="s">
        <v>#N/A Invalid Security</v>
        <stp/>
        <stp>##V3_BDPV12</stp>
        <stp xml:space="preserve"> EQUITY</stp>
        <stp>CRNCY_ADJ_MKT_CAP</stp>
        <stp>[XIDA.xlsm]Peers!R57C14</stp>
        <stp>EQY_FUND_CRNCY</stp>
        <stp>USD</stp>
        <tr r="N57" s="4"/>
      </tp>
      <tp t="s">
        <v>#N/A Invalid Security</v>
        <stp/>
        <stp>##V3_BDPV12</stp>
        <stp xml:space="preserve"> EQUITY</stp>
        <stp>CRNCY_ADJ_MKT_CAP</stp>
        <stp>[XIDA.xlsm]Peers!R47C14</stp>
        <stp>EQY_FUND_CRNCY</stp>
        <stp>USD</stp>
        <tr r="N47" s="4"/>
      </tp>
      <tp t="s">
        <v>#N/A Invalid Security</v>
        <stp/>
        <stp>##V3_BDPV12</stp>
        <stp xml:space="preserve"> EQUITY</stp>
        <stp>CRNCY_ADJ_MKT_CAP</stp>
        <stp>[XIDA.xlsm]Peers!R37C14</stp>
        <stp>EQY_FUND_CRNCY</stp>
        <stp>USD</stp>
        <tr r="N37" s="4"/>
      </tp>
      <tp t="s">
        <v>#N/A Invalid Security</v>
        <stp/>
        <stp>##V3_BDPV12</stp>
        <stp xml:space="preserve"> EQUITY</stp>
        <stp>CRNCY_ADJ_MKT_CAP</stp>
        <stp>[XIDA.xlsm]Peers!R27C14</stp>
        <stp>EQY_FUND_CRNCY</stp>
        <stp>USD</stp>
        <tr r="N27" s="4"/>
      </tp>
      <tp>
        <v>0.2171722702880298</v>
        <stp/>
        <stp>##V3_BDPV12</stp>
        <stp>AAPL US EQUITY</stp>
        <stp>BEST_DPS_TO_EPS_ADJ</stp>
        <stp>[XIDA.xlsm]Financials!R38C18</stp>
        <stp>BEST_FPERIOD_OVERRIDE</stp>
        <stp>1FY</stp>
        <stp>EQY_FUND_CRNCY</stp>
        <stp>USD</stp>
        <stp>BEST_CONSOLIDATED_OVERRIDE</stp>
        <stp>C</stp>
        <stp>Fill=B</stp>
        <tr r="R38" s="8"/>
      </tp>
      <tp>
        <v>0.22145931543349046</v>
        <stp/>
        <stp>##V3_BDPV12</stp>
        <stp>AAPL US EQUITY</stp>
        <stp>BEST_DPS_TO_EPS_ADJ</stp>
        <stp>[XIDA.xlsm]Financials!R38C19</stp>
        <stp>BEST_FPERIOD_OVERRIDE</stp>
        <stp>2FY</stp>
        <stp>EQY_FUND_CRNCY</stp>
        <stp>USD</stp>
        <stp>BEST_CONSOLIDATED_OVERRIDE</stp>
        <stp>C</stp>
        <stp>Fill=B</stp>
        <tr r="S38" s="8"/>
      </tp>
      <tp>
        <v>1328</v>
        <stp/>
        <stp>##V3_BDPV12</stp>
        <stp>AAPL US EQUITY</stp>
        <stp>CF_OTHER_NON_CASH_ADJUST</stp>
        <stp>[XIDA.xlsm]Financials!R87C10</stp>
        <stp>EQY_FUND_RELATIVE_PERIOD</stp>
        <stp>-7FY</stp>
        <stp>EQY_FUND_CRNCY</stp>
        <stp>USD</stp>
        <stp>EQY_CONSOLIDATED</stp>
        <stp>Y</stp>
        <stp>Fill=B</stp>
        <tr r="J87" s="8"/>
      </tp>
      <tp>
        <v>2889</v>
        <stp/>
        <stp>##V3_BDPV12</stp>
        <stp>AAPL US EQUITY</stp>
        <stp>CF_OTHER_NON_CASH_ADJUST</stp>
        <stp>[XIDA.xlsm]Financials!R87C11</stp>
        <stp>EQY_FUND_RELATIVE_PERIOD</stp>
        <stp>-6FY</stp>
        <stp>EQY_FUND_CRNCY</stp>
        <stp>USD</stp>
        <stp>EQY_CONSOLIDATED</stp>
        <stp>Y</stp>
        <stp>Fill=B</stp>
        <tr r="K87" s="8"/>
      </tp>
      <tp>
        <v>713</v>
        <stp/>
        <stp>##V3_BDPV12</stp>
        <stp>AAPL US EQUITY</stp>
        <stp>CF_OTHER_NON_CASH_ADJUST</stp>
        <stp>[XIDA.xlsm]Financials!R87C12</stp>
        <stp>EQY_FUND_RELATIVE_PERIOD</stp>
        <stp>-5FY</stp>
        <stp>EQY_FUND_CRNCY</stp>
        <stp>USD</stp>
        <stp>EQY_CONSOLIDATED</stp>
        <stp>Y</stp>
        <stp>Fill=B</stp>
        <tr r="L87" s="8"/>
      </tp>
      <tp>
        <v>3001</v>
        <stp/>
        <stp>##V3_BDPV12</stp>
        <stp>AAPL US EQUITY</stp>
        <stp>CF_OTHER_NON_CASH_ADJUST</stp>
        <stp>[XIDA.xlsm]Financials!R87C13</stp>
        <stp>EQY_FUND_RELATIVE_PERIOD</stp>
        <stp>-4FY</stp>
        <stp>EQY_FUND_CRNCY</stp>
        <stp>USD</stp>
        <stp>EQY_CONSOLIDATED</stp>
        <stp>Y</stp>
        <stp>Fill=B</stp>
        <tr r="M87" s="8"/>
      </tp>
      <tp>
        <v>8531</v>
        <stp/>
        <stp>##V3_BDPV12</stp>
        <stp>AAPL US EQUITY</stp>
        <stp>CF_OTHER_NON_CASH_ADJUST</stp>
        <stp>[XIDA.xlsm]Financials!R87C14</stp>
        <stp>EQY_FUND_RELATIVE_PERIOD</stp>
        <stp>-3FY</stp>
        <stp>EQY_FUND_CRNCY</stp>
        <stp>USD</stp>
        <stp>EQY_CONSOLIDATED</stp>
        <stp>Y</stp>
        <stp>Fill=B</stp>
        <tr r="N87" s="8"/>
      </tp>
      <tp>
        <v>5535</v>
        <stp/>
        <stp>##V3_BDPV12</stp>
        <stp>AAPL US EQUITY</stp>
        <stp>CF_OTHER_NON_CASH_ADJUST</stp>
        <stp>[XIDA.xlsm]Financials!R87C15</stp>
        <stp>EQY_FUND_RELATIVE_PERIOD</stp>
        <stp>-2FY</stp>
        <stp>EQY_FUND_CRNCY</stp>
        <stp>USD</stp>
        <stp>EQY_CONSOLIDATED</stp>
        <stp>Y</stp>
        <stp>Fill=B</stp>
        <tr r="O87" s="8"/>
      </tp>
      <tp>
        <v>8995</v>
        <stp/>
        <stp>##V3_BDPV12</stp>
        <stp>AAPL US EQUITY</stp>
        <stp>CF_OTHER_NON_CASH_ADJUST</stp>
        <stp>[XIDA.xlsm]Financials!R87C16</stp>
        <stp>EQY_FUND_RELATIVE_PERIOD</stp>
        <stp>-1FY</stp>
        <stp>EQY_FUND_CRNCY</stp>
        <stp>USD</stp>
        <stp>EQY_CONSOLIDATED</stp>
        <stp>Y</stp>
        <stp>Fill=B</stp>
        <tr r="P87" s="8"/>
      </tp>
      <tp>
        <v>11387</v>
        <stp/>
        <stp>##V3_BDPV12</stp>
        <stp>AAPL US EQUITY</stp>
        <stp>CF_OTHER_NON_CASH_ADJUST</stp>
        <stp>[XIDA.xlsm]Financials!R87C17</stp>
        <stp>EQY_FUND_RELATIVE_PERIOD</stp>
        <stp>-0FY</stp>
        <stp>EQY_FUND_CRNCY</stp>
        <stp>USD</stp>
        <stp>EQY_CONSOLIDATED</stp>
        <stp>Y</stp>
        <stp>Fill=B</stp>
        <tr r="Q87" s="8"/>
      </tp>
      <tp>
        <v>10.751948051948052</v>
        <stp/>
        <stp>##V3_BDPV12</stp>
        <stp>AAPL US EQUITY</stp>
        <stp>ACCT_RCV_TURN</stp>
        <stp>[XIDA.xlsm]Financials!R142C7</stp>
        <stp>EQY_FUND_RELATIVE_PERIOD</stp>
        <stp>-10FY</stp>
        <stp>EQY_FUND_CRNCY</stp>
        <stp>USD</stp>
        <stp>EQY_CONSOLIDATED</stp>
        <stp>Y</stp>
        <stp>Fill=B</stp>
        <tr r="G142" s="8"/>
      </tp>
      <tp>
        <v>31768.493182651251</v>
        <stp/>
        <stp>##V3_BDPV12</stp>
        <stp>6758 JP EQUITY</stp>
        <stp>CRNCY_ADJ_MKT_CAP</stp>
        <stp>[XIDA.xlsm]Peers!R20C14</stp>
        <stp>EQY_FUND_CRNCY</stp>
        <stp>USD</stp>
        <tr r="N20" s="4"/>
        <tr r="N20" s="4"/>
      </tp>
      <tp>
        <v>1335</v>
        <stp/>
        <stp>##V3_BDPV12</stp>
        <stp>AAPL US EQUITY</stp>
        <stp>IS_INC_BEF_XO_ITEM</stp>
        <stp>[XIDA.xlsm]Financials!R29C8</stp>
        <stp>EQY_FUND_RELATIVE_PERIOD</stp>
        <stp>-9FY</stp>
        <stp>EQY_FUND_CRNCY</stp>
        <stp>USD</stp>
        <stp>EQY_CONSOLIDATED</stp>
        <stp>Y</stp>
        <stp>Fill=B</stp>
        <tr r="H29" s="8"/>
      </tp>
      <tp>
        <v>1989</v>
        <stp/>
        <stp>##V3_BDPV12</stp>
        <stp>AAPL US EQUITY</stp>
        <stp>IS_INC_BEF_XO_ITEM</stp>
        <stp>[XIDA.xlsm]Financials!R29C9</stp>
        <stp>EQY_FUND_RELATIVE_PERIOD</stp>
        <stp>-8FY</stp>
        <stp>EQY_FUND_CRNCY</stp>
        <stp>USD</stp>
        <stp>EQY_CONSOLIDATED</stp>
        <stp>Y</stp>
        <stp>Fill=B</stp>
        <tr r="I29" s="8"/>
      </tp>
      <tp>
        <v>0.22024585583907622</v>
        <stp/>
        <stp>##V3_BDPV12</stp>
        <stp>AAPL US EQUITY</stp>
        <stp>BEST_DPS_TO_EPS_ADJ</stp>
        <stp>[XIDA.xlsm]Financials!R38C20</stp>
        <stp>BEST_FPERIOD_OVERRIDE</stp>
        <stp>3FY</stp>
        <stp>EQY_FUND_CRNCY</stp>
        <stp>USD</stp>
        <stp>BEST_CONSOLIDATED_OVERRIDE</stp>
        <stp>C</stp>
        <stp>Fill=B</stp>
        <tr r="T38" s="8"/>
      </tp>
      <tp t="s">
        <v>#N/A Invalid Security</v>
        <stp/>
        <stp>##V3_BDPV12</stp>
        <stp xml:space="preserve"> EQUITY</stp>
        <stp>CRNCY_ADJ_MKT_CAP</stp>
        <stp>[XIDA.xlsm]Peers!R94C14</stp>
        <stp>EQY_FUND_CRNCY</stp>
        <stp>USD</stp>
        <tr r="N94" s="4"/>
      </tp>
      <tp t="s">
        <v>#N/A Invalid Security</v>
        <stp/>
        <stp>##V3_BDPV12</stp>
        <stp xml:space="preserve"> EQUITY</stp>
        <stp>CRNCY_ADJ_MKT_CAP</stp>
        <stp>[XIDA.xlsm]Peers!R84C14</stp>
        <stp>EQY_FUND_CRNCY</stp>
        <stp>USD</stp>
        <tr r="N84" s="4"/>
      </tp>
      <tp t="s">
        <v>#N/A Invalid Security</v>
        <stp/>
        <stp>##V3_BDPV12</stp>
        <stp xml:space="preserve"> EQUITY</stp>
        <stp>CRNCY_ADJ_MKT_CAP</stp>
        <stp>[XIDA.xlsm]Peers!R74C14</stp>
        <stp>EQY_FUND_CRNCY</stp>
        <stp>USD</stp>
        <tr r="N74" s="4"/>
      </tp>
      <tp t="s">
        <v>#N/A Invalid Security</v>
        <stp/>
        <stp>##V3_BDPV12</stp>
        <stp xml:space="preserve"> EQUITY</stp>
        <stp>CRNCY_ADJ_MKT_CAP</stp>
        <stp>[XIDA.xlsm]Peers!R64C14</stp>
        <stp>EQY_FUND_CRNCY</stp>
        <stp>USD</stp>
        <tr r="N64" s="4"/>
      </tp>
      <tp t="s">
        <v>#N/A Invalid Security</v>
        <stp/>
        <stp>##V3_BDPV12</stp>
        <stp xml:space="preserve"> EQUITY</stp>
        <stp>CRNCY_ADJ_MKT_CAP</stp>
        <stp>[XIDA.xlsm]Peers!R54C14</stp>
        <stp>EQY_FUND_CRNCY</stp>
        <stp>USD</stp>
        <tr r="N54" s="4"/>
      </tp>
      <tp t="s">
        <v>#N/A Invalid Security</v>
        <stp/>
        <stp>##V3_BDPV12</stp>
        <stp xml:space="preserve"> EQUITY</stp>
        <stp>CRNCY_ADJ_MKT_CAP</stp>
        <stp>[XIDA.xlsm]Peers!R44C14</stp>
        <stp>EQY_FUND_CRNCY</stp>
        <stp>USD</stp>
        <tr r="N44" s="4"/>
      </tp>
      <tp t="s">
        <v>#N/A Invalid Security</v>
        <stp/>
        <stp>##V3_BDPV12</stp>
        <stp xml:space="preserve"> EQUITY</stp>
        <stp>CRNCY_ADJ_MKT_CAP</stp>
        <stp>[XIDA.xlsm]Peers!R34C14</stp>
        <stp>EQY_FUND_CRNCY</stp>
        <stp>USD</stp>
        <tr r="N34" s="4"/>
      </tp>
      <tp>
        <v>3484</v>
        <stp/>
        <stp>##V3_BDPV12</stp>
        <stp>AAPL US EQUITY</stp>
        <stp>BS_CUR_LIAB</stp>
        <stp>[XIDA.xlsm]Financials!R62C8</stp>
        <stp>EQY_FUND_RELATIVE_PERIOD</stp>
        <stp>-9FY</stp>
        <stp>EQY_FUND_CRNCY</stp>
        <stp>USD</stp>
        <stp>EQY_CONSOLIDATED</stp>
        <stp>Y</stp>
        <stp>Fill=B</stp>
        <tr r="H62" s="8"/>
      </tp>
      <tp>
        <v>6471</v>
        <stp/>
        <stp>##V3_BDPV12</stp>
        <stp>AAPL US EQUITY</stp>
        <stp>BS_CUR_LIAB</stp>
        <stp>[XIDA.xlsm]Financials!R62C9</stp>
        <stp>EQY_FUND_RELATIVE_PERIOD</stp>
        <stp>-8FY</stp>
        <stp>EQY_FUND_CRNCY</stp>
        <stp>USD</stp>
        <stp>EQY_CONSOLIDATED</stp>
        <stp>Y</stp>
        <stp>Fill=B</stp>
        <tr r="I62" s="8"/>
      </tp>
      <tp>
        <v>25.160052364471063</v>
        <stp/>
        <stp>##V3_BDPV12</stp>
        <stp>AAPL US EQUITY</stp>
        <stp>EFF_TAX_RATE</stp>
        <stp>[XIDA.xlsm]Overview!R56C6</stp>
        <stp>EQY_FUND_RELATIVE_PERIOD</stp>
        <stp>-2FY</stp>
        <stp>EQY_CONSOLIDATED</stp>
        <stp>Y</stp>
        <stp>Fill=-</stp>
        <tr r="F56" s="3"/>
      </tp>
      <tp>
        <v>24.215757930127175</v>
        <stp/>
        <stp>##V3_BDPV12</stp>
        <stp>AAPL US EQUITY</stp>
        <stp>EFF_TAX_RATE</stp>
        <stp>[XIDA.xlsm]Overview!R56C5</stp>
        <stp>EQY_FUND_RELATIVE_PERIOD</stp>
        <stp>-3FY</stp>
        <stp>EQY_CONSOLIDATED</stp>
        <stp>Y</stp>
        <stp>Fill=-</stp>
        <tr r="E56" s="3"/>
      </tp>
      <tp>
        <v>26.154919748778788</v>
        <stp/>
        <stp>##V3_BDPV12</stp>
        <stp>AAPL US EQUITY</stp>
        <stp>EFF_TAX_RATE</stp>
        <stp>[XIDA.xlsm]Overview!R56C7</stp>
        <stp>EQY_FUND_RELATIVE_PERIOD</stp>
        <stp>-1FY</stp>
        <stp>EQY_CONSOLIDATED</stp>
        <stp>Y</stp>
        <stp>Fill=-</stp>
        <tr r="G56" s="3"/>
      </tp>
      <tp>
        <v>26.126058747639437</v>
        <stp/>
        <stp>##V3_BDPV12</stp>
        <stp>AAPL US EQUITY</stp>
        <stp>EFF_TAX_RATE</stp>
        <stp>[XIDA.xlsm]Overview!R56C8</stp>
        <stp>EQY_FUND_RELATIVE_PERIOD</stp>
        <stp>-0FY</stp>
        <stp>EQY_CONSOLIDATED</stp>
        <stp>Y</stp>
        <stp>Fill=-</stp>
        <tr r="H56" s="3"/>
      </tp>
      <tp t="e">
        <v>#N/A</v>
        <stp/>
        <stp>##V3_BDSV12</stp>
        <stp>AAPL US EQUITY</stp>
        <stp>INSIDER_HOLDING</stp>
        <stp>[XIDA.xlsm]DataH!R77C2</stp>
        <stp>FILL=B</stp>
        <stp>startcol=3</stp>
        <stp>endcol=3</stp>
        <stp>startrow=1</stp>
        <stp>endrow=5</stp>
        <stp>cols=1;rows=5</stp>
        <tr r="B77" s="16"/>
      </tp>
      <tp>
        <v>245657.14</v>
        <stp/>
        <stp>##V3_BDPV12</stp>
        <stp>AAPL US EQUITY</stp>
        <stp>BEST_SALES</stp>
        <stp>[XIDA.xlsm]Overview!R43C10</stp>
        <stp>BEST_FPERIOD_OVERRIDE</stp>
        <stp>2FY</stp>
        <stp>BEST_CONSOLIDATED_OVERRIDE</stp>
        <stp>C</stp>
        <tr r="J43" s="3"/>
        <tr r="J43" s="3"/>
      </tp>
      <tp>
        <v>257532.2</v>
        <stp/>
        <stp>##V3_BDPV12</stp>
        <stp>AAPL US EQUITY</stp>
        <stp>BEST_SALES</stp>
        <stp>[XIDA.xlsm]Overview!R43C11</stp>
        <stp>BEST_FPERIOD_OVERRIDE</stp>
        <stp>3FY</stp>
        <stp>BEST_CONSOLIDATED_OVERRIDE</stp>
        <stp>C</stp>
        <tr r="K43" s="3"/>
        <tr r="K43" s="3"/>
      </tp>
      <tp>
        <v>9.6032780778543501</v>
        <stp/>
        <stp>##V3_BDPV12</stp>
        <stp>AAPL US EQUITY</stp>
        <stp>BEST_PE_RATIO</stp>
        <stp>[XIDA.xlsm]Financials!R118C20</stp>
        <stp>BEST_FPERIOD_OVERRIDE</stp>
        <stp>3FY</stp>
        <stp>EQY_FUND_CRNCY</stp>
        <stp>USD</stp>
        <stp>BEST_CONSOLIDATED_OVERRIDE</stp>
        <stp>C</stp>
        <stp>Fill=B</stp>
        <tr r="T118" s="8"/>
      </tp>
      <tp t="s">
        <v>12/12/1980</v>
        <stp/>
        <stp>##V3_BDPV12</stp>
        <stp>AAPL US EQUITY</stp>
        <stp>EQY_INIT_PO_DT</stp>
        <stp>[XIDA.xlsm]ControlsH!R33C7</stp>
        <tr r="G33" s="2"/>
      </tp>
      <tp t="s">
        <v>Broker</v>
        <stp/>
        <stp>##V3_BDSV12</stp>
        <stp>AAPL US EQUITY</stp>
        <stp>BEST_EPS_BRK_GRID</stp>
        <stp>[XIDA.xlsm]DataH!R5C40</stp>
        <stp>BEST_FPERIOD_OVERRIDE</stp>
        <stp>1FQ</stp>
        <stp>EQY_FUND_CRNCY</stp>
        <stp>USD</stp>
        <stp>BEST_CONSOLIDATED_OVERRIDE</stp>
        <stp>C</stp>
        <stp>STARTCOL=1</stp>
        <stp>ENDCOL=1</stp>
        <stp>cols=1;rows=43</stp>
        <tr r="AN5" s="16"/>
      </tp>
      <tp t="s">
        <v>Broker</v>
        <stp/>
        <stp>##V3_BDSV12</stp>
        <stp>AAPL US EQUITY</stp>
        <stp>BEST_EPS_BRK_GRID</stp>
        <stp>[XIDA.xlsm]DataH!R5C43</stp>
        <stp>BEST_FPERIOD_OVERRIDE</stp>
        <stp>1FQ</stp>
        <stp>EQY_FUND_CRNCY</stp>
        <stp>USD</stp>
        <stp>BEST_CONSOLIDATED_OVERRIDE</stp>
        <stp>C</stp>
        <stp>STARTCOL=1</stp>
        <stp>ENDCOL=1</stp>
        <stp>cols=1;rows=43</stp>
        <tr r="AQ5" s="16"/>
      </tp>
      <tp>
        <v>14531</v>
        <stp/>
        <stp>##V3_BDPV12</stp>
        <stp>AAPL US EQUITY</stp>
        <stp>TOT_SHRHLDR_EQY</stp>
        <stp>[XIDA.xlsm]Financials!R77C10</stp>
        <stp>EQY_FUND_RELATIVE_PERIOD</stp>
        <stp>-7FY</stp>
        <stp>EQY_FUND_CRNCY</stp>
        <stp>USD</stp>
        <stp>EQY_CONSOLIDATED</stp>
        <stp>Y</stp>
        <stp>Fill=B</stp>
        <tr r="J77" s="8"/>
      </tp>
      <tp>
        <v>22297</v>
        <stp/>
        <stp>##V3_BDPV12</stp>
        <stp>AAPL US EQUITY</stp>
        <stp>TOT_SHRHLDR_EQY</stp>
        <stp>[XIDA.xlsm]Financials!R77C11</stp>
        <stp>EQY_FUND_RELATIVE_PERIOD</stp>
        <stp>-6FY</stp>
        <stp>EQY_FUND_CRNCY</stp>
        <stp>USD</stp>
        <stp>EQY_CONSOLIDATED</stp>
        <stp>Y</stp>
        <stp>Fill=B</stp>
        <tr r="K77" s="8"/>
      </tp>
      <tp>
        <v>31640</v>
        <stp/>
        <stp>##V3_BDPV12</stp>
        <stp>AAPL US EQUITY</stp>
        <stp>TOT_SHRHLDR_EQY</stp>
        <stp>[XIDA.xlsm]Financials!R77C12</stp>
        <stp>EQY_FUND_RELATIVE_PERIOD</stp>
        <stp>-5FY</stp>
        <stp>EQY_FUND_CRNCY</stp>
        <stp>USD</stp>
        <stp>EQY_CONSOLIDATED</stp>
        <stp>Y</stp>
        <stp>Fill=B</stp>
        <tr r="L77" s="8"/>
      </tp>
      <tp>
        <v>47791</v>
        <stp/>
        <stp>##V3_BDPV12</stp>
        <stp>AAPL US EQUITY</stp>
        <stp>TOT_SHRHLDR_EQY</stp>
        <stp>[XIDA.xlsm]Financials!R77C13</stp>
        <stp>EQY_FUND_RELATIVE_PERIOD</stp>
        <stp>-4FY</stp>
        <stp>EQY_FUND_CRNCY</stp>
        <stp>USD</stp>
        <stp>EQY_CONSOLIDATED</stp>
        <stp>Y</stp>
        <stp>Fill=B</stp>
        <tr r="M77" s="8"/>
      </tp>
      <tp>
        <v>76615</v>
        <stp/>
        <stp>##V3_BDPV12</stp>
        <stp>AAPL US EQUITY</stp>
        <stp>TOT_SHRHLDR_EQY</stp>
        <stp>[XIDA.xlsm]Financials!R77C14</stp>
        <stp>EQY_FUND_RELATIVE_PERIOD</stp>
        <stp>-3FY</stp>
        <stp>EQY_FUND_CRNCY</stp>
        <stp>USD</stp>
        <stp>EQY_CONSOLIDATED</stp>
        <stp>Y</stp>
        <stp>Fill=B</stp>
        <tr r="N77" s="8"/>
      </tp>
      <tp>
        <v>118210</v>
        <stp/>
        <stp>##V3_BDPV12</stp>
        <stp>AAPL US EQUITY</stp>
        <stp>TOT_SHRHLDR_EQY</stp>
        <stp>[XIDA.xlsm]Financials!R77C15</stp>
        <stp>EQY_FUND_RELATIVE_PERIOD</stp>
        <stp>-2FY</stp>
        <stp>EQY_FUND_CRNCY</stp>
        <stp>USD</stp>
        <stp>EQY_CONSOLIDATED</stp>
        <stp>Y</stp>
        <stp>Fill=B</stp>
        <tr r="O77" s="8"/>
      </tp>
      <tp>
        <v>123549</v>
        <stp/>
        <stp>##V3_BDPV12</stp>
        <stp>AAPL US EQUITY</stp>
        <stp>TOT_SHRHLDR_EQY</stp>
        <stp>[XIDA.xlsm]Financials!R77C16</stp>
        <stp>EQY_FUND_RELATIVE_PERIOD</stp>
        <stp>-1FY</stp>
        <stp>EQY_FUND_CRNCY</stp>
        <stp>USD</stp>
        <stp>EQY_CONSOLIDATED</stp>
        <stp>Y</stp>
        <stp>Fill=B</stp>
        <tr r="P77" s="8"/>
      </tp>
      <tp>
        <v>111547</v>
        <stp/>
        <stp>##V3_BDPV12</stp>
        <stp>AAPL US EQUITY</stp>
        <stp>TOT_SHRHLDR_EQY</stp>
        <stp>[XIDA.xlsm]Financials!R77C17</stp>
        <stp>EQY_FUND_RELATIVE_PERIOD</stp>
        <stp>-0FY</stp>
        <stp>EQY_FUND_CRNCY</stp>
        <stp>USD</stp>
        <stp>EQY_CONSOLIDATED</stp>
        <stp>Y</stp>
        <stp>Fill=B</stp>
        <tr r="Q77" s="8"/>
      </tp>
      <tp t="s">
        <v>#N/A Invalid Security</v>
        <stp/>
        <stp>##V3_BDPV12</stp>
        <stp xml:space="preserve"> EQUITY</stp>
        <stp>CRNCY_ADJ_MKT_CAP</stp>
        <stp>[XIDA.xlsm]Peers!R95C14</stp>
        <stp>EQY_FUND_CRNCY</stp>
        <stp>USD</stp>
        <tr r="N95" s="4"/>
      </tp>
      <tp t="s">
        <v>#N/A Invalid Security</v>
        <stp/>
        <stp>##V3_BDPV12</stp>
        <stp xml:space="preserve"> EQUITY</stp>
        <stp>CRNCY_ADJ_MKT_CAP</stp>
        <stp>[XIDA.xlsm]Peers!R85C14</stp>
        <stp>EQY_FUND_CRNCY</stp>
        <stp>USD</stp>
        <tr r="N85" s="4"/>
      </tp>
      <tp t="s">
        <v>#N/A Invalid Security</v>
        <stp/>
        <stp>##V3_BDPV12</stp>
        <stp xml:space="preserve"> EQUITY</stp>
        <stp>CRNCY_ADJ_MKT_CAP</stp>
        <stp>[XIDA.xlsm]Peers!R75C14</stp>
        <stp>EQY_FUND_CRNCY</stp>
        <stp>USD</stp>
        <tr r="N75" s="4"/>
      </tp>
      <tp t="s">
        <v>#N/A Invalid Security</v>
        <stp/>
        <stp>##V3_BDPV12</stp>
        <stp xml:space="preserve"> EQUITY</stp>
        <stp>CRNCY_ADJ_MKT_CAP</stp>
        <stp>[XIDA.xlsm]Peers!R65C14</stp>
        <stp>EQY_FUND_CRNCY</stp>
        <stp>USD</stp>
        <tr r="N65" s="4"/>
      </tp>
      <tp t="s">
        <v>#N/A Invalid Security</v>
        <stp/>
        <stp>##V3_BDPV12</stp>
        <stp xml:space="preserve"> EQUITY</stp>
        <stp>CRNCY_ADJ_MKT_CAP</stp>
        <stp>[XIDA.xlsm]Peers!R55C14</stp>
        <stp>EQY_FUND_CRNCY</stp>
        <stp>USD</stp>
        <tr r="N55" s="4"/>
      </tp>
      <tp t="s">
        <v>#N/A Invalid Security</v>
        <stp/>
        <stp>##V3_BDPV12</stp>
        <stp xml:space="preserve"> EQUITY</stp>
        <stp>CRNCY_ADJ_MKT_CAP</stp>
        <stp>[XIDA.xlsm]Peers!R45C14</stp>
        <stp>EQY_FUND_CRNCY</stp>
        <stp>USD</stp>
        <tr r="N45" s="4"/>
      </tp>
      <tp t="s">
        <v>#N/A Invalid Security</v>
        <stp/>
        <stp>##V3_BDPV12</stp>
        <stp xml:space="preserve"> EQUITY</stp>
        <stp>CRNCY_ADJ_MKT_CAP</stp>
        <stp>[XIDA.xlsm]Peers!R35C14</stp>
        <stp>EQY_FUND_CRNCY</stp>
        <stp>USD</stp>
        <tr r="N35" s="4"/>
      </tp>
      <tp t="e">
        <v>#N/A</v>
        <stp/>
        <stp>##V3_BDPV12</stp>
        <stp xml:space="preserve"> EQUITY</stp>
        <stp>CRNCY_ADJ_MKT_CAP</stp>
        <stp>[XIDA.xlsm]Peers!R88C13</stp>
        <tr r="M88" s="4"/>
      </tp>
      <tp t="e">
        <v>#N/A</v>
        <stp/>
        <stp>##V3_BDPV12</stp>
        <stp xml:space="preserve"> EQUITY</stp>
        <stp>CRNCY_ADJ_MKT_CAP</stp>
        <stp>[XIDA.xlsm]Peers!R89C13</stp>
        <tr r="M89" s="4"/>
      </tp>
      <tp t="e">
        <v>#N/A</v>
        <stp/>
        <stp>##V3_BDPV12</stp>
        <stp xml:space="preserve"> EQUITY</stp>
        <stp>CRNCY_ADJ_MKT_CAP</stp>
        <stp>[XIDA.xlsm]Peers!R84C13</stp>
        <tr r="M84" s="4"/>
      </tp>
      <tp t="e">
        <v>#N/A</v>
        <stp/>
        <stp>##V3_BDPV12</stp>
        <stp xml:space="preserve"> EQUITY</stp>
        <stp>CRNCY_ADJ_MKT_CAP</stp>
        <stp>[XIDA.xlsm]Peers!R85C13</stp>
        <tr r="M85" s="4"/>
      </tp>
      <tp t="e">
        <v>#N/A</v>
        <stp/>
        <stp>##V3_BDPV12</stp>
        <stp xml:space="preserve"> EQUITY</stp>
        <stp>CRNCY_ADJ_MKT_CAP</stp>
        <stp>[XIDA.xlsm]Peers!R86C13</stp>
        <tr r="M86" s="4"/>
      </tp>
      <tp t="e">
        <v>#N/A</v>
        <stp/>
        <stp>##V3_BDPV12</stp>
        <stp xml:space="preserve"> EQUITY</stp>
        <stp>CRNCY_ADJ_MKT_CAP</stp>
        <stp>[XIDA.xlsm]Peers!R87C13</stp>
        <tr r="M87" s="4"/>
      </tp>
      <tp t="e">
        <v>#N/A</v>
        <stp/>
        <stp>##V3_BDPV12</stp>
        <stp xml:space="preserve"> EQUITY</stp>
        <stp>CRNCY_ADJ_MKT_CAP</stp>
        <stp>[XIDA.xlsm]Peers!R80C13</stp>
        <tr r="M80" s="4"/>
      </tp>
      <tp t="e">
        <v>#N/A</v>
        <stp/>
        <stp>##V3_BDPV12</stp>
        <stp xml:space="preserve"> EQUITY</stp>
        <stp>CRNCY_ADJ_MKT_CAP</stp>
        <stp>[XIDA.xlsm]Peers!R81C13</stp>
        <tr r="M81" s="4"/>
      </tp>
      <tp t="e">
        <v>#N/A</v>
        <stp/>
        <stp>##V3_BDPV12</stp>
        <stp xml:space="preserve"> EQUITY</stp>
        <stp>CRNCY_ADJ_MKT_CAP</stp>
        <stp>[XIDA.xlsm]Peers!R82C13</stp>
        <tr r="M82" s="4"/>
      </tp>
      <tp t="e">
        <v>#N/A</v>
        <stp/>
        <stp>##V3_BDPV12</stp>
        <stp xml:space="preserve"> EQUITY</stp>
        <stp>CRNCY_ADJ_MKT_CAP</stp>
        <stp>[XIDA.xlsm]Peers!R83C13</stp>
        <tr r="M83" s="4"/>
      </tp>
      <tp t="e">
        <v>#N/A</v>
        <stp/>
        <stp>##V3_BDPV12</stp>
        <stp xml:space="preserve"> EQUITY</stp>
        <stp>CRNCY_ADJ_MKT_CAP</stp>
        <stp>[XIDA.xlsm]Peers!R98C13</stp>
        <tr r="M98" s="4"/>
      </tp>
      <tp t="e">
        <v>#N/A</v>
        <stp/>
        <stp>##V3_BDPV12</stp>
        <stp xml:space="preserve"> EQUITY</stp>
        <stp>CRNCY_ADJ_MKT_CAP</stp>
        <stp>[XIDA.xlsm]Peers!R99C13</stp>
        <tr r="M99" s="4"/>
      </tp>
      <tp t="e">
        <v>#N/A</v>
        <stp/>
        <stp>##V3_BDPV12</stp>
        <stp xml:space="preserve"> EQUITY</stp>
        <stp>CRNCY_ADJ_MKT_CAP</stp>
        <stp>[XIDA.xlsm]Peers!R94C13</stp>
        <tr r="M94" s="4"/>
      </tp>
      <tp t="e">
        <v>#N/A</v>
        <stp/>
        <stp>##V3_BDPV12</stp>
        <stp xml:space="preserve"> EQUITY</stp>
        <stp>CRNCY_ADJ_MKT_CAP</stp>
        <stp>[XIDA.xlsm]Peers!R95C13</stp>
        <tr r="M95" s="4"/>
      </tp>
      <tp t="e">
        <v>#N/A</v>
        <stp/>
        <stp>##V3_BDPV12</stp>
        <stp xml:space="preserve"> EQUITY</stp>
        <stp>CRNCY_ADJ_MKT_CAP</stp>
        <stp>[XIDA.xlsm]Peers!R96C13</stp>
        <tr r="M96" s="4"/>
      </tp>
      <tp t="e">
        <v>#N/A</v>
        <stp/>
        <stp>##V3_BDPV12</stp>
        <stp xml:space="preserve"> EQUITY</stp>
        <stp>CRNCY_ADJ_MKT_CAP</stp>
        <stp>[XIDA.xlsm]Peers!R97C13</stp>
        <tr r="M97" s="4"/>
      </tp>
      <tp t="e">
        <v>#N/A</v>
        <stp/>
        <stp>##V3_BDPV12</stp>
        <stp xml:space="preserve"> EQUITY</stp>
        <stp>CRNCY_ADJ_MKT_CAP</stp>
        <stp>[XIDA.xlsm]Peers!R90C13</stp>
        <tr r="M90" s="4"/>
      </tp>
      <tp t="e">
        <v>#N/A</v>
        <stp/>
        <stp>##V3_BDPV12</stp>
        <stp xml:space="preserve"> EQUITY</stp>
        <stp>CRNCY_ADJ_MKT_CAP</stp>
        <stp>[XIDA.xlsm]Peers!R91C13</stp>
        <tr r="M91" s="4"/>
      </tp>
      <tp t="e">
        <v>#N/A</v>
        <stp/>
        <stp>##V3_BDPV12</stp>
        <stp xml:space="preserve"> EQUITY</stp>
        <stp>CRNCY_ADJ_MKT_CAP</stp>
        <stp>[XIDA.xlsm]Peers!R92C13</stp>
        <tr r="M92" s="4"/>
      </tp>
      <tp t="e">
        <v>#N/A</v>
        <stp/>
        <stp>##V3_BDPV12</stp>
        <stp xml:space="preserve"> EQUITY</stp>
        <stp>CRNCY_ADJ_MKT_CAP</stp>
        <stp>[XIDA.xlsm]Peers!R93C13</stp>
        <tr r="M93" s="4"/>
      </tp>
      <tp t="e">
        <v>#N/A</v>
        <stp/>
        <stp>##V3_BDPV12</stp>
        <stp xml:space="preserve"> EQUITY</stp>
        <stp>CRNCY_ADJ_MKT_CAP</stp>
        <stp>[XIDA.xlsm]Peers!R68C13</stp>
        <tr r="M68" s="4"/>
      </tp>
      <tp t="e">
        <v>#N/A</v>
        <stp/>
        <stp>##V3_BDPV12</stp>
        <stp xml:space="preserve"> EQUITY</stp>
        <stp>CRNCY_ADJ_MKT_CAP</stp>
        <stp>[XIDA.xlsm]Peers!R69C13</stp>
        <tr r="M69" s="4"/>
      </tp>
      <tp t="e">
        <v>#N/A</v>
        <stp/>
        <stp>##V3_BDPV12</stp>
        <stp xml:space="preserve"> EQUITY</stp>
        <stp>CRNCY_ADJ_MKT_CAP</stp>
        <stp>[XIDA.xlsm]Peers!R64C13</stp>
        <tr r="M64" s="4"/>
      </tp>
      <tp t="e">
        <v>#N/A</v>
        <stp/>
        <stp>##V3_BDPV12</stp>
        <stp xml:space="preserve"> EQUITY</stp>
        <stp>CRNCY_ADJ_MKT_CAP</stp>
        <stp>[XIDA.xlsm]Peers!R65C13</stp>
        <tr r="M65" s="4"/>
      </tp>
      <tp t="e">
        <v>#N/A</v>
        <stp/>
        <stp>##V3_BDPV12</stp>
        <stp xml:space="preserve"> EQUITY</stp>
        <stp>CRNCY_ADJ_MKT_CAP</stp>
        <stp>[XIDA.xlsm]Peers!R66C13</stp>
        <tr r="M66" s="4"/>
      </tp>
      <tp t="e">
        <v>#N/A</v>
        <stp/>
        <stp>##V3_BDPV12</stp>
        <stp xml:space="preserve"> EQUITY</stp>
        <stp>CRNCY_ADJ_MKT_CAP</stp>
        <stp>[XIDA.xlsm]Peers!R67C13</stp>
        <tr r="M67" s="4"/>
      </tp>
      <tp t="e">
        <v>#N/A</v>
        <stp/>
        <stp>##V3_BDPV12</stp>
        <stp xml:space="preserve"> EQUITY</stp>
        <stp>CRNCY_ADJ_MKT_CAP</stp>
        <stp>[XIDA.xlsm]Peers!R60C13</stp>
        <tr r="M60" s="4"/>
      </tp>
      <tp t="e">
        <v>#N/A</v>
        <stp/>
        <stp>##V3_BDPV12</stp>
        <stp xml:space="preserve"> EQUITY</stp>
        <stp>CRNCY_ADJ_MKT_CAP</stp>
        <stp>[XIDA.xlsm]Peers!R61C13</stp>
        <tr r="M61" s="4"/>
      </tp>
      <tp t="e">
        <v>#N/A</v>
        <stp/>
        <stp>##V3_BDPV12</stp>
        <stp xml:space="preserve"> EQUITY</stp>
        <stp>CRNCY_ADJ_MKT_CAP</stp>
        <stp>[XIDA.xlsm]Peers!R62C13</stp>
        <tr r="M62" s="4"/>
      </tp>
      <tp t="e">
        <v>#N/A</v>
        <stp/>
        <stp>##V3_BDPV12</stp>
        <stp xml:space="preserve"> EQUITY</stp>
        <stp>CRNCY_ADJ_MKT_CAP</stp>
        <stp>[XIDA.xlsm]Peers!R63C13</stp>
        <tr r="M63" s="4"/>
      </tp>
      <tp t="e">
        <v>#N/A</v>
        <stp/>
        <stp>##V3_BDPV12</stp>
        <stp xml:space="preserve"> EQUITY</stp>
        <stp>CRNCY_ADJ_MKT_CAP</stp>
        <stp>[XIDA.xlsm]Peers!R78C13</stp>
        <tr r="M78" s="4"/>
      </tp>
      <tp t="e">
        <v>#N/A</v>
        <stp/>
        <stp>##V3_BDPV12</stp>
        <stp xml:space="preserve"> EQUITY</stp>
        <stp>CRNCY_ADJ_MKT_CAP</stp>
        <stp>[XIDA.xlsm]Peers!R79C13</stp>
        <tr r="M79" s="4"/>
      </tp>
      <tp t="e">
        <v>#N/A</v>
        <stp/>
        <stp>##V3_BDPV12</stp>
        <stp xml:space="preserve"> EQUITY</stp>
        <stp>CRNCY_ADJ_MKT_CAP</stp>
        <stp>[XIDA.xlsm]Peers!R74C13</stp>
        <tr r="M74" s="4"/>
      </tp>
      <tp t="e">
        <v>#N/A</v>
        <stp/>
        <stp>##V3_BDPV12</stp>
        <stp xml:space="preserve"> EQUITY</stp>
        <stp>CRNCY_ADJ_MKT_CAP</stp>
        <stp>[XIDA.xlsm]Peers!R75C13</stp>
        <tr r="M75" s="4"/>
      </tp>
      <tp t="e">
        <v>#N/A</v>
        <stp/>
        <stp>##V3_BDPV12</stp>
        <stp xml:space="preserve"> EQUITY</stp>
        <stp>CRNCY_ADJ_MKT_CAP</stp>
        <stp>[XIDA.xlsm]Peers!R76C13</stp>
        <tr r="M76" s="4"/>
      </tp>
      <tp t="e">
        <v>#N/A</v>
        <stp/>
        <stp>##V3_BDPV12</stp>
        <stp xml:space="preserve"> EQUITY</stp>
        <stp>CRNCY_ADJ_MKT_CAP</stp>
        <stp>[XIDA.xlsm]Peers!R77C13</stp>
        <tr r="M77" s="4"/>
      </tp>
      <tp t="e">
        <v>#N/A</v>
        <stp/>
        <stp>##V3_BDPV12</stp>
        <stp xml:space="preserve"> EQUITY</stp>
        <stp>CRNCY_ADJ_MKT_CAP</stp>
        <stp>[XIDA.xlsm]Peers!R70C13</stp>
        <tr r="M70" s="4"/>
      </tp>
      <tp t="e">
        <v>#N/A</v>
        <stp/>
        <stp>##V3_BDPV12</stp>
        <stp xml:space="preserve"> EQUITY</stp>
        <stp>CRNCY_ADJ_MKT_CAP</stp>
        <stp>[XIDA.xlsm]Peers!R71C13</stp>
        <tr r="M71" s="4"/>
      </tp>
      <tp t="e">
        <v>#N/A</v>
        <stp/>
        <stp>##V3_BDPV12</stp>
        <stp xml:space="preserve"> EQUITY</stp>
        <stp>CRNCY_ADJ_MKT_CAP</stp>
        <stp>[XIDA.xlsm]Peers!R72C13</stp>
        <tr r="M72" s="4"/>
      </tp>
      <tp t="e">
        <v>#N/A</v>
        <stp/>
        <stp>##V3_BDPV12</stp>
        <stp xml:space="preserve"> EQUITY</stp>
        <stp>CRNCY_ADJ_MKT_CAP</stp>
        <stp>[XIDA.xlsm]Peers!R73C13</stp>
        <tr r="M73" s="4"/>
      </tp>
      <tp t="e">
        <v>#N/A</v>
        <stp/>
        <stp>##V3_BDPV12</stp>
        <stp xml:space="preserve"> EQUITY</stp>
        <stp>CRNCY_ADJ_MKT_CAP</stp>
        <stp>[XIDA.xlsm]Peers!R48C13</stp>
        <tr r="M48" s="4"/>
      </tp>
      <tp t="e">
        <v>#N/A</v>
        <stp/>
        <stp>##V3_BDPV12</stp>
        <stp xml:space="preserve"> EQUITY</stp>
        <stp>CRNCY_ADJ_MKT_CAP</stp>
        <stp>[XIDA.xlsm]Peers!R49C13</stp>
        <tr r="M49" s="4"/>
      </tp>
      <tp t="e">
        <v>#N/A</v>
        <stp/>
        <stp>##V3_BDPV12</stp>
        <stp xml:space="preserve"> EQUITY</stp>
        <stp>CRNCY_ADJ_MKT_CAP</stp>
        <stp>[XIDA.xlsm]Peers!R44C13</stp>
        <tr r="M44" s="4"/>
      </tp>
      <tp t="e">
        <v>#N/A</v>
        <stp/>
        <stp>##V3_BDPV12</stp>
        <stp xml:space="preserve"> EQUITY</stp>
        <stp>CRNCY_ADJ_MKT_CAP</stp>
        <stp>[XIDA.xlsm]Peers!R45C13</stp>
        <tr r="M45" s="4"/>
      </tp>
      <tp t="e">
        <v>#N/A</v>
        <stp/>
        <stp>##V3_BDPV12</stp>
        <stp xml:space="preserve"> EQUITY</stp>
        <stp>CRNCY_ADJ_MKT_CAP</stp>
        <stp>[XIDA.xlsm]Peers!R46C13</stp>
        <tr r="M46" s="4"/>
      </tp>
      <tp t="e">
        <v>#N/A</v>
        <stp/>
        <stp>##V3_BDPV12</stp>
        <stp xml:space="preserve"> EQUITY</stp>
        <stp>CRNCY_ADJ_MKT_CAP</stp>
        <stp>[XIDA.xlsm]Peers!R47C13</stp>
        <tr r="M47" s="4"/>
      </tp>
      <tp t="e">
        <v>#N/A</v>
        <stp/>
        <stp>##V3_BDPV12</stp>
        <stp xml:space="preserve"> EQUITY</stp>
        <stp>CRNCY_ADJ_MKT_CAP</stp>
        <stp>[XIDA.xlsm]Peers!R40C13</stp>
        <tr r="M40" s="4"/>
      </tp>
      <tp t="e">
        <v>#N/A</v>
        <stp/>
        <stp>##V3_BDPV12</stp>
        <stp xml:space="preserve"> EQUITY</stp>
        <stp>CRNCY_ADJ_MKT_CAP</stp>
        <stp>[XIDA.xlsm]Peers!R41C13</stp>
        <tr r="M41" s="4"/>
      </tp>
      <tp t="e">
        <v>#N/A</v>
        <stp/>
        <stp>##V3_BDPV12</stp>
        <stp xml:space="preserve"> EQUITY</stp>
        <stp>CRNCY_ADJ_MKT_CAP</stp>
        <stp>[XIDA.xlsm]Peers!R42C13</stp>
        <tr r="M42" s="4"/>
      </tp>
      <tp t="e">
        <v>#N/A</v>
        <stp/>
        <stp>##V3_BDPV12</stp>
        <stp xml:space="preserve"> EQUITY</stp>
        <stp>CRNCY_ADJ_MKT_CAP</stp>
        <stp>[XIDA.xlsm]Peers!R43C13</stp>
        <tr r="M43" s="4"/>
      </tp>
      <tp t="e">
        <v>#N/A</v>
        <stp/>
        <stp>##V3_BDPV12</stp>
        <stp xml:space="preserve"> EQUITY</stp>
        <stp>CRNCY_ADJ_MKT_CAP</stp>
        <stp>[XIDA.xlsm]Peers!R58C13</stp>
        <tr r="M58" s="4"/>
      </tp>
      <tp t="e">
        <v>#N/A</v>
        <stp/>
        <stp>##V3_BDPV12</stp>
        <stp xml:space="preserve"> EQUITY</stp>
        <stp>CRNCY_ADJ_MKT_CAP</stp>
        <stp>[XIDA.xlsm]Peers!R59C13</stp>
        <tr r="M59" s="4"/>
      </tp>
      <tp t="e">
        <v>#N/A</v>
        <stp/>
        <stp>##V3_BDPV12</stp>
        <stp xml:space="preserve"> EQUITY</stp>
        <stp>CRNCY_ADJ_MKT_CAP</stp>
        <stp>[XIDA.xlsm]Peers!R54C13</stp>
        <tr r="M54" s="4"/>
      </tp>
      <tp t="e">
        <v>#N/A</v>
        <stp/>
        <stp>##V3_BDPV12</stp>
        <stp xml:space="preserve"> EQUITY</stp>
        <stp>CRNCY_ADJ_MKT_CAP</stp>
        <stp>[XIDA.xlsm]Peers!R55C13</stp>
        <tr r="M55" s="4"/>
      </tp>
      <tp t="e">
        <v>#N/A</v>
        <stp/>
        <stp>##V3_BDPV12</stp>
        <stp xml:space="preserve"> EQUITY</stp>
        <stp>CRNCY_ADJ_MKT_CAP</stp>
        <stp>[XIDA.xlsm]Peers!R56C13</stp>
        <tr r="M56" s="4"/>
      </tp>
      <tp t="e">
        <v>#N/A</v>
        <stp/>
        <stp>##V3_BDPV12</stp>
        <stp xml:space="preserve"> EQUITY</stp>
        <stp>CRNCY_ADJ_MKT_CAP</stp>
        <stp>[XIDA.xlsm]Peers!R57C13</stp>
        <tr r="M57" s="4"/>
      </tp>
      <tp t="e">
        <v>#N/A</v>
        <stp/>
        <stp>##V3_BDPV12</stp>
        <stp xml:space="preserve"> EQUITY</stp>
        <stp>CRNCY_ADJ_MKT_CAP</stp>
        <stp>[XIDA.xlsm]Peers!R50C13</stp>
        <tr r="M50" s="4"/>
      </tp>
      <tp t="e">
        <v>#N/A</v>
        <stp/>
        <stp>##V3_BDPV12</stp>
        <stp xml:space="preserve"> EQUITY</stp>
        <stp>CRNCY_ADJ_MKT_CAP</stp>
        <stp>[XIDA.xlsm]Peers!R51C13</stp>
        <tr r="M51" s="4"/>
      </tp>
      <tp t="e">
        <v>#N/A</v>
        <stp/>
        <stp>##V3_BDPV12</stp>
        <stp xml:space="preserve"> EQUITY</stp>
        <stp>CRNCY_ADJ_MKT_CAP</stp>
        <stp>[XIDA.xlsm]Peers!R52C13</stp>
        <tr r="M52" s="4"/>
      </tp>
      <tp t="e">
        <v>#N/A</v>
        <stp/>
        <stp>##V3_BDPV12</stp>
        <stp xml:space="preserve"> EQUITY</stp>
        <stp>CRNCY_ADJ_MKT_CAP</stp>
        <stp>[XIDA.xlsm]Peers!R53C13</stp>
        <tr r="M53" s="4"/>
      </tp>
      <tp t="e">
        <v>#N/A</v>
        <stp/>
        <stp>##V3_BDPV12</stp>
        <stp xml:space="preserve"> EQUITY</stp>
        <stp>CRNCY_ADJ_MKT_CAP</stp>
        <stp>[XIDA.xlsm]Peers!R28C13</stp>
        <tr r="M28" s="4"/>
      </tp>
      <tp t="e">
        <v>#N/A</v>
        <stp/>
        <stp>##V3_BDPV12</stp>
        <stp xml:space="preserve"> EQUITY</stp>
        <stp>CRNCY_ADJ_MKT_CAP</stp>
        <stp>[XIDA.xlsm]Peers!R29C13</stp>
        <tr r="M29" s="4"/>
      </tp>
      <tp t="e">
        <v>#N/A</v>
        <stp/>
        <stp>##V3_BDPV12</stp>
        <stp xml:space="preserve"> EQUITY</stp>
        <stp>CRNCY_ADJ_MKT_CAP</stp>
        <stp>[XIDA.xlsm]Peers!R26C13</stp>
        <tr r="M26" s="4"/>
      </tp>
      <tp t="e">
        <v>#N/A</v>
        <stp/>
        <stp>##V3_BDPV12</stp>
        <stp xml:space="preserve"> EQUITY</stp>
        <stp>CRNCY_ADJ_MKT_CAP</stp>
        <stp>[XIDA.xlsm]Peers!R27C13</stp>
        <tr r="M27" s="4"/>
      </tp>
      <tp t="e">
        <v>#N/A</v>
        <stp/>
        <stp>##V3_BDPV12</stp>
        <stp xml:space="preserve"> EQUITY</stp>
        <stp>CRNCY_ADJ_MKT_CAP</stp>
        <stp>[XIDA.xlsm]Peers!R38C13</stp>
        <tr r="M38" s="4"/>
      </tp>
      <tp t="e">
        <v>#N/A</v>
        <stp/>
        <stp>##V3_BDPV12</stp>
        <stp xml:space="preserve"> EQUITY</stp>
        <stp>CRNCY_ADJ_MKT_CAP</stp>
        <stp>[XIDA.xlsm]Peers!R39C13</stp>
        <tr r="M39" s="4"/>
      </tp>
      <tp t="e">
        <v>#N/A</v>
        <stp/>
        <stp>##V3_BDPV12</stp>
        <stp xml:space="preserve"> EQUITY</stp>
        <stp>CRNCY_ADJ_MKT_CAP</stp>
        <stp>[XIDA.xlsm]Peers!R34C13</stp>
        <tr r="M34" s="4"/>
      </tp>
      <tp t="e">
        <v>#N/A</v>
        <stp/>
        <stp>##V3_BDPV12</stp>
        <stp xml:space="preserve"> EQUITY</stp>
        <stp>CRNCY_ADJ_MKT_CAP</stp>
        <stp>[XIDA.xlsm]Peers!R35C13</stp>
        <tr r="M35" s="4"/>
      </tp>
      <tp t="e">
        <v>#N/A</v>
        <stp/>
        <stp>##V3_BDPV12</stp>
        <stp xml:space="preserve"> EQUITY</stp>
        <stp>CRNCY_ADJ_MKT_CAP</stp>
        <stp>[XIDA.xlsm]Peers!R36C13</stp>
        <tr r="M36" s="4"/>
      </tp>
      <tp t="e">
        <v>#N/A</v>
        <stp/>
        <stp>##V3_BDPV12</stp>
        <stp xml:space="preserve"> EQUITY</stp>
        <stp>CRNCY_ADJ_MKT_CAP</stp>
        <stp>[XIDA.xlsm]Peers!R37C13</stp>
        <tr r="M37" s="4"/>
      </tp>
      <tp t="e">
        <v>#N/A</v>
        <stp/>
        <stp>##V3_BDPV12</stp>
        <stp xml:space="preserve"> EQUITY</stp>
        <stp>CRNCY_ADJ_MKT_CAP</stp>
        <stp>[XIDA.xlsm]Peers!R30C13</stp>
        <tr r="M30" s="4"/>
      </tp>
      <tp t="e">
        <v>#N/A</v>
        <stp/>
        <stp>##V3_BDPV12</stp>
        <stp xml:space="preserve"> EQUITY</stp>
        <stp>CRNCY_ADJ_MKT_CAP</stp>
        <stp>[XIDA.xlsm]Peers!R31C13</stp>
        <tr r="M31" s="4"/>
      </tp>
      <tp t="e">
        <v>#N/A</v>
        <stp/>
        <stp>##V3_BDPV12</stp>
        <stp xml:space="preserve"> EQUITY</stp>
        <stp>CRNCY_ADJ_MKT_CAP</stp>
        <stp>[XIDA.xlsm]Peers!R32C13</stp>
        <tr r="M32" s="4"/>
      </tp>
      <tp t="e">
        <v>#N/A</v>
        <stp/>
        <stp>##V3_BDPV12</stp>
        <stp xml:space="preserve"> EQUITY</stp>
        <stp>CRNCY_ADJ_MKT_CAP</stp>
        <stp>[XIDA.xlsm]Peers!R33C13</stp>
        <tr r="M33" s="4"/>
      </tp>
      <tp>
        <v>-12.342790000000001</v>
        <stp/>
        <stp>##V3_BDPV12</stp>
        <stp>ERICB SS EQUITY</stp>
        <stp>CUST_TRR_RETURN_HOLDING_PER</stp>
        <stp>[XIDA.xlsm]DataH!R30C6</stp>
        <stp>CUST_TRR_START_DT</stp>
        <stp>20150724</stp>
        <stp>CUST_TRR_END_DT</stp>
        <stp>20150824</stp>
        <stp>CUST_TRR_CRNCY</stp>
        <stp>USD</stp>
        <tr r="F30" s="16"/>
      </tp>
      <tp>
        <v>1637</v>
        <stp/>
        <stp>##V3_BDPV12</stp>
        <stp>AAPL US EQUITY</stp>
        <stp>BS_ACCT_NOTE_RCV</stp>
        <stp>[XIDA.xlsm]Financials!R51C10</stp>
        <stp>EQY_FUND_RELATIVE_PERIOD</stp>
        <stp>-7FY</stp>
        <stp>EQY_FUND_CRNCY</stp>
        <stp>USD</stp>
        <stp>EQY_CONSOLIDATED</stp>
        <stp>Y</stp>
        <stp>Fill=B</stp>
        <tr r="J51" s="8"/>
      </tp>
      <tp>
        <v>2422</v>
        <stp/>
        <stp>##V3_BDPV12</stp>
        <stp>AAPL US EQUITY</stp>
        <stp>BS_ACCT_NOTE_RCV</stp>
        <stp>[XIDA.xlsm]Financials!R51C11</stp>
        <stp>EQY_FUND_RELATIVE_PERIOD</stp>
        <stp>-6FY</stp>
        <stp>EQY_FUND_CRNCY</stp>
        <stp>USD</stp>
        <stp>EQY_CONSOLIDATED</stp>
        <stp>Y</stp>
        <stp>Fill=B</stp>
        <tr r="K51" s="8"/>
      </tp>
      <tp>
        <v>3361</v>
        <stp/>
        <stp>##V3_BDPV12</stp>
        <stp>AAPL US EQUITY</stp>
        <stp>BS_ACCT_NOTE_RCV</stp>
        <stp>[XIDA.xlsm]Financials!R51C12</stp>
        <stp>EQY_FUND_RELATIVE_PERIOD</stp>
        <stp>-5FY</stp>
        <stp>EQY_FUND_CRNCY</stp>
        <stp>USD</stp>
        <stp>EQY_CONSOLIDATED</stp>
        <stp>Y</stp>
        <stp>Fill=B</stp>
        <tr r="L51" s="8"/>
      </tp>
      <tp>
        <v>5510</v>
        <stp/>
        <stp>##V3_BDPV12</stp>
        <stp>AAPL US EQUITY</stp>
        <stp>BS_ACCT_NOTE_RCV</stp>
        <stp>[XIDA.xlsm]Financials!R51C13</stp>
        <stp>EQY_FUND_RELATIVE_PERIOD</stp>
        <stp>-4FY</stp>
        <stp>EQY_FUND_CRNCY</stp>
        <stp>USD</stp>
        <stp>EQY_CONSOLIDATED</stp>
        <stp>Y</stp>
        <stp>Fill=B</stp>
        <tr r="M51" s="8"/>
      </tp>
      <tp>
        <v>5369</v>
        <stp/>
        <stp>##V3_BDPV12</stp>
        <stp>AAPL US EQUITY</stp>
        <stp>BS_ACCT_NOTE_RCV</stp>
        <stp>[XIDA.xlsm]Financials!R51C14</stp>
        <stp>EQY_FUND_RELATIVE_PERIOD</stp>
        <stp>-3FY</stp>
        <stp>EQY_FUND_CRNCY</stp>
        <stp>USD</stp>
        <stp>EQY_CONSOLIDATED</stp>
        <stp>Y</stp>
        <stp>Fill=B</stp>
        <tr r="N51" s="8"/>
      </tp>
      <tp>
        <v>10930</v>
        <stp/>
        <stp>##V3_BDPV12</stp>
        <stp>AAPL US EQUITY</stp>
        <stp>BS_ACCT_NOTE_RCV</stp>
        <stp>[XIDA.xlsm]Financials!R51C15</stp>
        <stp>EQY_FUND_RELATIVE_PERIOD</stp>
        <stp>-2FY</stp>
        <stp>EQY_FUND_CRNCY</stp>
        <stp>USD</stp>
        <stp>EQY_CONSOLIDATED</stp>
        <stp>Y</stp>
        <stp>Fill=B</stp>
        <tr r="O51" s="8"/>
      </tp>
      <tp>
        <v>13102</v>
        <stp/>
        <stp>##V3_BDPV12</stp>
        <stp>AAPL US EQUITY</stp>
        <stp>BS_ACCT_NOTE_RCV</stp>
        <stp>[XIDA.xlsm]Financials!R51C16</stp>
        <stp>EQY_FUND_RELATIVE_PERIOD</stp>
        <stp>-1FY</stp>
        <stp>EQY_FUND_CRNCY</stp>
        <stp>USD</stp>
        <stp>EQY_CONSOLIDATED</stp>
        <stp>Y</stp>
        <stp>Fill=B</stp>
        <tr r="P51" s="8"/>
      </tp>
      <tp>
        <v>17460</v>
        <stp/>
        <stp>##V3_BDPV12</stp>
        <stp>AAPL US EQUITY</stp>
        <stp>BS_ACCT_NOTE_RCV</stp>
        <stp>[XIDA.xlsm]Financials!R51C17</stp>
        <stp>EQY_FUND_RELATIVE_PERIOD</stp>
        <stp>-0FY</stp>
        <stp>EQY_FUND_CRNCY</stp>
        <stp>USD</stp>
        <stp>EQY_CONSOLIDATED</stp>
        <stp>Y</stp>
        <stp>Fill=B</stp>
        <tr r="Q51" s="8"/>
      </tp>
      <tp t="e">
        <v>#N/A</v>
        <stp/>
        <stp>##V3_BDSV12</stp>
        <stp>AAPL US EQUITY</stp>
        <stp>INSIDER_HOLDING</stp>
        <stp>[XIDA.xlsm]DataH!R77C7</stp>
        <stp>FILL=B</stp>
        <stp>startcol=2</stp>
        <stp>endcol=2</stp>
        <stp>startrow=1</stp>
        <stp>endrow=5</stp>
        <stp>cols=1;rows=5</stp>
        <tr r="G77" s="16"/>
      </tp>
      <tp>
        <v>0</v>
        <stp/>
        <stp>##V3_BDPV12</stp>
        <stp>AAPL US EQUITY</stp>
        <stp>XO_GL_NET_OF_TAX</stp>
        <stp>[XIDA.xlsm]Financials!R30C7</stp>
        <stp>EQY_FUND_RELATIVE_PERIOD</stp>
        <stp>-10FY</stp>
        <stp>EQY_FUND_CRNCY</stp>
        <stp>USD</stp>
        <stp>EQY_CONSOLIDATED</stp>
        <stp>Y</stp>
        <stp>Fill=B</stp>
        <tr r="G30" s="8"/>
      </tp>
      <tp t="s">
        <v>NASDAQ GS</v>
        <stp/>
        <stp>##V3_BDPV12</stp>
        <stp>AAPL US EQUITY</stp>
        <stp xml:space="preserve"> EQY_PRIM_EXCH</stp>
        <stp>[XIDA.xlsm]Overview!R12C2</stp>
        <tr r="B12" s="3"/>
      </tp>
      <tp>
        <v>739</v>
        <stp/>
        <stp>##V3_BDPV12</stp>
        <stp>AAPL US EQUITY</stp>
        <stp>CF_CASH_FROM_FNC_ACT</stp>
        <stp>[XIDA.xlsm]Financials!R105C10</stp>
        <stp>EQY_FUND_RELATIVE_PERIOD</stp>
        <stp>-7FY</stp>
        <stp>EQY_FUND_CRNCY</stp>
        <stp>USD</stp>
        <stp>EQY_CONSOLIDATED</stp>
        <stp>Y</stp>
        <stp>Fill=B</stp>
        <tr r="J105" s="8"/>
      </tp>
      <tp>
        <v>1116</v>
        <stp/>
        <stp>##V3_BDPV12</stp>
        <stp>AAPL US EQUITY</stp>
        <stp>CF_CASH_FROM_FNC_ACT</stp>
        <stp>[XIDA.xlsm]Financials!R105C11</stp>
        <stp>EQY_FUND_RELATIVE_PERIOD</stp>
        <stp>-6FY</stp>
        <stp>EQY_FUND_CRNCY</stp>
        <stp>USD</stp>
        <stp>EQY_CONSOLIDATED</stp>
        <stp>Y</stp>
        <stp>Fill=B</stp>
        <tr r="K105" s="8"/>
      </tp>
      <tp>
        <v>663</v>
        <stp/>
        <stp>##V3_BDPV12</stp>
        <stp>AAPL US EQUITY</stp>
        <stp>CF_CASH_FROM_FNC_ACT</stp>
        <stp>[XIDA.xlsm]Financials!R105C12</stp>
        <stp>EQY_FUND_RELATIVE_PERIOD</stp>
        <stp>-5FY</stp>
        <stp>EQY_FUND_CRNCY</stp>
        <stp>USD</stp>
        <stp>EQY_CONSOLIDATED</stp>
        <stp>Y</stp>
        <stp>Fill=B</stp>
        <tr r="L105" s="8"/>
      </tp>
      <tp>
        <v>1257</v>
        <stp/>
        <stp>##V3_BDPV12</stp>
        <stp>AAPL US EQUITY</stp>
        <stp>CF_CASH_FROM_FNC_ACT</stp>
        <stp>[XIDA.xlsm]Financials!R105C13</stp>
        <stp>EQY_FUND_RELATIVE_PERIOD</stp>
        <stp>-4FY</stp>
        <stp>EQY_FUND_CRNCY</stp>
        <stp>USD</stp>
        <stp>EQY_CONSOLIDATED</stp>
        <stp>Y</stp>
        <stp>Fill=B</stp>
        <tr r="M105" s="8"/>
      </tp>
      <tp>
        <v>1444</v>
        <stp/>
        <stp>##V3_BDPV12</stp>
        <stp>AAPL US EQUITY</stp>
        <stp>CF_CASH_FROM_FNC_ACT</stp>
        <stp>[XIDA.xlsm]Financials!R105C14</stp>
        <stp>EQY_FUND_RELATIVE_PERIOD</stp>
        <stp>-3FY</stp>
        <stp>EQY_FUND_CRNCY</stp>
        <stp>USD</stp>
        <stp>EQY_CONSOLIDATED</stp>
        <stp>Y</stp>
        <stp>Fill=B</stp>
        <tr r="N105" s="8"/>
      </tp>
      <tp>
        <v>-1698</v>
        <stp/>
        <stp>##V3_BDPV12</stp>
        <stp>AAPL US EQUITY</stp>
        <stp>CF_CASH_FROM_FNC_ACT</stp>
        <stp>[XIDA.xlsm]Financials!R105C15</stp>
        <stp>EQY_FUND_RELATIVE_PERIOD</stp>
        <stp>-2FY</stp>
        <stp>EQY_FUND_CRNCY</stp>
        <stp>USD</stp>
        <stp>EQY_CONSOLIDATED</stp>
        <stp>Y</stp>
        <stp>Fill=B</stp>
        <tr r="O105" s="8"/>
      </tp>
      <tp>
        <v>-16379</v>
        <stp/>
        <stp>##V3_BDPV12</stp>
        <stp>AAPL US EQUITY</stp>
        <stp>CF_CASH_FROM_FNC_ACT</stp>
        <stp>[XIDA.xlsm]Financials!R105C16</stp>
        <stp>EQY_FUND_RELATIVE_PERIOD</stp>
        <stp>-1FY</stp>
        <stp>EQY_FUND_CRNCY</stp>
        <stp>USD</stp>
        <stp>EQY_CONSOLIDATED</stp>
        <stp>Y</stp>
        <stp>Fill=B</stp>
        <tr r="P105" s="8"/>
      </tp>
      <tp>
        <v>-37549</v>
        <stp/>
        <stp>##V3_BDPV12</stp>
        <stp>AAPL US EQUITY</stp>
        <stp>CF_CASH_FROM_FNC_ACT</stp>
        <stp>[XIDA.xlsm]Financials!R105C17</stp>
        <stp>EQY_FUND_RELATIVE_PERIOD</stp>
        <stp>-0FY</stp>
        <stp>EQY_FUND_CRNCY</stp>
        <stp>USD</stp>
        <stp>EQY_CONSOLIDATED</stp>
        <stp>Y</stp>
        <stp>Fill=B</stp>
        <tr r="Q105" s="8"/>
      </tp>
      <tp>
        <v>-16.798590000000001</v>
        <stp/>
        <stp>##V3_BDPV12</stp>
        <stp>AAPL US EQUITY</stp>
        <stp>CUST_TRR_RETURN_HOLDING_PER</stp>
        <stp>[XIDA.xlsm]Peers!R17C16</stp>
        <stp>CUST_TRR_START_DT</stp>
        <stp>20150724</stp>
        <stp>CUST_TRR_END_DT</stp>
        <stp>20150824</stp>
        <stp>CUST_TRR_CRNCY</stp>
        <stp>USD</stp>
        <tr r="P17" s="4"/>
      </tp>
      <tp t="e">
        <v>#N/A</v>
        <stp/>
        <stp>##V3_BDSV12</stp>
        <stp>AAPL US EQUITY</stp>
        <stp>BEST_EPS_GAAP_BRK_GRID</stp>
        <stp>[XIDA.xlsm]DataH!R84C2</stp>
        <stp>BEST_FPERIOD_OVERRIDE</stp>
        <stp>1FY</stp>
        <stp>EQY_CONSOLIDATED</stp>
        <stp>Y</stp>
        <stp>STARTCOL=3</stp>
        <stp>ENDCOL=3</stp>
        <stp>cols=1;rows=50</stp>
        <tr r="B84" s="16"/>
      </tp>
      <tp t="e">
        <v>#N/A</v>
        <stp/>
        <stp>##V3_BDSV12</stp>
        <stp>AAPL US EQUITY</stp>
        <stp>BEST_EPS_GAAP_BRK_GRID</stp>
        <stp>[XIDA.xlsm]DataH!R84C1</stp>
        <stp>BEST_FPERIOD_OVERRIDE</stp>
        <stp>1FY</stp>
        <stp>EQY_CONSOLIDATED</stp>
        <stp>Y</stp>
        <stp>STARTCOL=1</stp>
        <stp>ENDCOL=1</stp>
        <stp>cols=1;rows=50</stp>
        <tr r="A84" s="16"/>
      </tp>
      <tp t="e">
        <v>#N/A</v>
        <stp/>
        <stp>##V3_BDSV12</stp>
        <stp>AAPL US EQUITY</stp>
        <stp>BEST_EPS_GAAP_BRK_GRID</stp>
        <stp>[XIDA.xlsm]DataH!R84C6</stp>
        <stp>BEST_FPERIOD_OVERRIDE</stp>
        <stp>2FY</stp>
        <stp>EQY_CONSOLIDATED</stp>
        <stp>Y</stp>
        <stp>STARTCOL=3</stp>
        <stp>ENDCOL=3</stp>
        <stp>cols=1;rows=49</stp>
        <tr r="F84" s="16"/>
      </tp>
      <tp t="e">
        <v>#N/A</v>
        <stp/>
        <stp>##V3_BDSV12</stp>
        <stp>AAPL US EQUITY</stp>
        <stp>BEST_EPS_GAAP_BRK_GRID</stp>
        <stp>[XIDA.xlsm]DataH!R84C5</stp>
        <stp>BEST_FPERIOD_OVERRIDE</stp>
        <stp>2FY</stp>
        <stp>EQY_CONSOLIDATED</stp>
        <stp>Y</stp>
        <stp>STARTCOL=1</stp>
        <stp>ENDCOL=1</stp>
        <stp>cols=1;rows=49</stp>
        <tr r="E84" s="16"/>
      </tp>
      <tp t="e">
        <v>#N/A</v>
        <stp/>
        <stp>##V3_BDSV12</stp>
        <stp>AAPL US EQUITY</stp>
        <stp>BEST_EPS_GAAP_BRK_GRID</stp>
        <stp>[XIDA.xlsm]DataH!R84C9</stp>
        <stp>BEST_FPERIOD_OVERRIDE</stp>
        <stp>3FY</stp>
        <stp>EQY_CONSOLIDATED</stp>
        <stp>Y</stp>
        <stp>STARTCOL=1</stp>
        <stp>ENDCOL=1</stp>
        <stp>cols=1;rows=21</stp>
        <tr r="I84" s="16"/>
      </tp>
      <tp>
        <v>0</v>
        <stp/>
        <stp>##V3_BDPV12</stp>
        <stp>AAPL US EQUITY</stp>
        <stp>DIVIDEND_YIELD</stp>
        <stp>[XIDA.xlsm]Financials!R123C7</stp>
        <stp>EQY_FUND_RELATIVE_PERIOD</stp>
        <stp>-10FY</stp>
        <stp>EQY_FUND_CRNCY</stp>
        <stp>USD</stp>
        <stp>EQY_CONSOLIDATED</stp>
        <stp>Y</stp>
        <tr r="G123" s="8"/>
        <tr r="G123" s="8"/>
      </tp>
      <tp>
        <v>-2497</v>
        <stp/>
        <stp>##V3_BDPV12</stp>
        <stp>AAPL US EQUITY</stp>
        <stp>CF_OTHER_INV_ACT</stp>
        <stp>[XIDA.xlsm]Financials!R95C10</stp>
        <stp>EQY_FUND_RELATIVE_PERIOD</stp>
        <stp>-7FY</stp>
        <stp>EQY_FUND_CRNCY</stp>
        <stp>USD</stp>
        <stp>EQY_CONSOLIDATED</stp>
        <stp>Y</stp>
        <stp>Fill=B</stp>
        <tr r="J95" s="8"/>
      </tp>
      <tp>
        <v>-7060</v>
        <stp/>
        <stp>##V3_BDPV12</stp>
        <stp>AAPL US EQUITY</stp>
        <stp>CF_OTHER_INV_ACT</stp>
        <stp>[XIDA.xlsm]Financials!R95C11</stp>
        <stp>EQY_FUND_RELATIVE_PERIOD</stp>
        <stp>-6FY</stp>
        <stp>EQY_FUND_CRNCY</stp>
        <stp>USD</stp>
        <stp>EQY_CONSOLIDATED</stp>
        <stp>Y</stp>
        <stp>Fill=B</stp>
        <tr r="K95" s="8"/>
      </tp>
      <tp>
        <v>-16189</v>
        <stp/>
        <stp>##V3_BDPV12</stp>
        <stp>AAPL US EQUITY</stp>
        <stp>CF_OTHER_INV_ACT</stp>
        <stp>[XIDA.xlsm]Financials!R95C12</stp>
        <stp>EQY_FUND_RELATIVE_PERIOD</stp>
        <stp>-5FY</stp>
        <stp>EQY_FUND_CRNCY</stp>
        <stp>USD</stp>
        <stp>EQY_CONSOLIDATED</stp>
        <stp>Y</stp>
        <stp>Fill=B</stp>
        <tr r="L95" s="8"/>
      </tp>
      <tp>
        <v>-11831</v>
        <stp/>
        <stp>##V3_BDPV12</stp>
        <stp>AAPL US EQUITY</stp>
        <stp>CF_OTHER_INV_ACT</stp>
        <stp>[XIDA.xlsm]Financials!R95C13</stp>
        <stp>EQY_FUND_RELATIVE_PERIOD</stp>
        <stp>-4FY</stp>
        <stp>EQY_FUND_CRNCY</stp>
        <stp>USD</stp>
        <stp>EQY_CONSOLIDATED</stp>
        <stp>Y</stp>
        <stp>Fill=B</stp>
        <tr r="M95" s="8"/>
      </tp>
      <tp>
        <v>-36159</v>
        <stp/>
        <stp>##V3_BDPV12</stp>
        <stp>AAPL US EQUITY</stp>
        <stp>CF_OTHER_INV_ACT</stp>
        <stp>[XIDA.xlsm]Financials!R95C14</stp>
        <stp>EQY_FUND_RELATIVE_PERIOD</stp>
        <stp>-3FY</stp>
        <stp>EQY_FUND_CRNCY</stp>
        <stp>USD</stp>
        <stp>EQY_CONSOLIDATED</stp>
        <stp>Y</stp>
        <stp>Fill=B</stp>
        <tr r="N95" s="8"/>
      </tp>
      <tp>
        <v>-39932</v>
        <stp/>
        <stp>##V3_BDPV12</stp>
        <stp>AAPL US EQUITY</stp>
        <stp>CF_OTHER_INV_ACT</stp>
        <stp>[XIDA.xlsm]Financials!R95C15</stp>
        <stp>EQY_FUND_RELATIVE_PERIOD</stp>
        <stp>-2FY</stp>
        <stp>EQY_FUND_CRNCY</stp>
        <stp>USD</stp>
        <stp>EQY_CONSOLIDATED</stp>
        <stp>Y</stp>
        <stp>Fill=B</stp>
        <tr r="O95" s="8"/>
      </tp>
      <tp>
        <v>-25609</v>
        <stp/>
        <stp>##V3_BDPV12</stp>
        <stp>AAPL US EQUITY</stp>
        <stp>CF_OTHER_INV_ACT</stp>
        <stp>[XIDA.xlsm]Financials!R95C16</stp>
        <stp>EQY_FUND_RELATIVE_PERIOD</stp>
        <stp>-1FY</stp>
        <stp>EQY_FUND_CRNCY</stp>
        <stp>USD</stp>
        <stp>EQY_CONSOLIDATED</stp>
        <stp>Y</stp>
        <stp>Fill=B</stp>
        <tr r="P95" s="8"/>
      </tp>
      <tp>
        <v>-13008</v>
        <stp/>
        <stp>##V3_BDPV12</stp>
        <stp>AAPL US EQUITY</stp>
        <stp>CF_OTHER_INV_ACT</stp>
        <stp>[XIDA.xlsm]Financials!R95C17</stp>
        <stp>EQY_FUND_RELATIVE_PERIOD</stp>
        <stp>-0FY</stp>
        <stp>EQY_FUND_CRNCY</stp>
        <stp>USD</stp>
        <stp>EQY_CONSOLIDATED</stp>
        <stp>Y</stp>
        <stp>Fill=B</stp>
        <tr r="Q95" s="8"/>
      </tp>
      <tp>
        <v>0.55394940249281943</v>
        <stp/>
        <stp>##V3_BDPV12</stp>
        <stp>ALU FP EQUITY</stp>
        <stp>BEST_PX_SALES_RATIO</stp>
        <stp>[XIDA.xlsm]DataH!R29C12</stp>
        <stp>BEST_FPERIOD_OVERRIDE</stp>
        <stp>15BC</stp>
        <stp>EQY_CONSOLIDATED</stp>
        <stp>Y</stp>
        <tr r="L29" s="16"/>
      </tp>
      <tp>
        <v>3521</v>
        <stp/>
        <stp>##V3_BDPV12</stp>
        <stp>AAPL US EQUITY</stp>
        <stp>BS_SH_CAP_AND_APIC</stp>
        <stp>[XIDA.xlsm]Financials!R74C8</stp>
        <stp>EQY_FUND_RELATIVE_PERIOD</stp>
        <stp>-9FY</stp>
        <stp>EQY_FUND_CRNCY</stp>
        <stp>USD</stp>
        <stp>EQY_CONSOLIDATED</stp>
        <stp>Y</stp>
        <stp>Fill=B</stp>
        <tr r="H74" s="8"/>
      </tp>
      <tp>
        <v>4355</v>
        <stp/>
        <stp>##V3_BDPV12</stp>
        <stp>AAPL US EQUITY</stp>
        <stp>BS_SH_CAP_AND_APIC</stp>
        <stp>[XIDA.xlsm]Financials!R74C9</stp>
        <stp>EQY_FUND_RELATIVE_PERIOD</stp>
        <stp>-8FY</stp>
        <stp>EQY_FUND_CRNCY</stp>
        <stp>USD</stp>
        <stp>EQY_CONSOLIDATED</stp>
        <stp>Y</stp>
        <stp>Fill=B</stp>
        <tr r="I74" s="8"/>
      </tp>
      <tp>
        <v>1451</v>
        <stp/>
        <stp>##V3_BDPV12</stp>
        <stp>AAPL US EQUITY</stp>
        <stp>BS_ACCT_PAYABLE</stp>
        <stp>[XIDA.xlsm]Financials!R63C7</stp>
        <stp>EQY_FUND_RELATIVE_PERIOD</stp>
        <stp>-10FY</stp>
        <stp>EQY_FUND_CRNCY</stp>
        <stp>USD</stp>
        <stp>EQY_CONSOLIDATED</stp>
        <stp>Y</stp>
        <stp>Fill=B</stp>
        <tr r="G63" s="8"/>
      </tp>
      <tp>
        <v>0.67042302357836336</v>
        <stp/>
        <stp>##V3_BDPV12</stp>
        <stp>AAPL US EQUITY</stp>
        <stp>QUICK_RATIO</stp>
        <stp>[XIDA.xlsm]Overview!R52C8</stp>
        <stp>EQY_FUND_RELATIVE_PERIOD</stp>
        <stp>-0FY</stp>
        <stp>EQY_CONSOLIDATED</stp>
        <stp>Y</stp>
        <stp>Fill=-</stp>
        <tr r="H52" s="3"/>
      </tp>
      <tp>
        <v>1.0393596595921333</v>
        <stp/>
        <stp>##V3_BDPV12</stp>
        <stp>AAPL US EQUITY</stp>
        <stp>QUICK_RATIO</stp>
        <stp>[XIDA.xlsm]Overview!R52C6</stp>
        <stp>EQY_FUND_RELATIVE_PERIOD</stp>
        <stp>-2FY</stp>
        <stp>EQY_CONSOLIDATED</stp>
        <stp>Y</stp>
        <stp>Fill=-</stp>
        <tr r="F52" s="3"/>
      </tp>
      <tp>
        <v>1.1198069360028602</v>
        <stp/>
        <stp>##V3_BDPV12</stp>
        <stp>AAPL US EQUITY</stp>
        <stp>QUICK_RATIO</stp>
        <stp>[XIDA.xlsm]Overview!R52C5</stp>
        <stp>EQY_FUND_RELATIVE_PERIOD</stp>
        <stp>-3FY</stp>
        <stp>EQY_CONSOLIDATED</stp>
        <stp>Y</stp>
        <stp>Fill=-</stp>
        <tr r="E52" s="3"/>
      </tp>
      <tp>
        <v>1.2288240414127996</v>
        <stp/>
        <stp>##V3_BDPV12</stp>
        <stp>AAPL US EQUITY</stp>
        <stp>QUICK_RATIO</stp>
        <stp>[XIDA.xlsm]Overview!R52C7</stp>
        <stp>EQY_FUND_RELATIVE_PERIOD</stp>
        <stp>-1FY</stp>
        <stp>EQY_CONSOLIDATED</stp>
        <stp>Y</stp>
        <stp>Fill=-</stp>
        <tr r="G52" s="3"/>
      </tp>
      <tp>
        <v>0.53619942921786179</v>
        <stp/>
        <stp>##V3_BDPV12</stp>
        <stp>ALU FP EQUITY</stp>
        <stp>BEST_PX_SALES_RATIO</stp>
        <stp>[XIDA.xlsm]DataH!R29C13</stp>
        <stp>BEST_FPERIOD_OVERRIDE</stp>
        <stp>16BC</stp>
        <stp>EQY_CONSOLIDATED</stp>
        <stp>Y</stp>
        <tr r="M29" s="16"/>
      </tp>
      <tp>
        <v>1815</v>
        <stp/>
        <stp>##V3_BDPV12</stp>
        <stp>AAPL US EQUITY</stp>
        <stp>PRETAX_INC</stp>
        <stp>[XIDA.xlsm]Financials!R26C8</stp>
        <stp>EQY_FUND_RELATIVE_PERIOD</stp>
        <stp>-9FY</stp>
        <stp>EQY_FUND_CRNCY</stp>
        <stp>USD</stp>
        <stp>EQY_CONSOLIDATED</stp>
        <stp>Y</stp>
        <stp>Fill=B</stp>
        <tr r="H26" s="8"/>
      </tp>
      <tp>
        <v>2818</v>
        <stp/>
        <stp>##V3_BDPV12</stp>
        <stp>AAPL US EQUITY</stp>
        <stp>PRETAX_INC</stp>
        <stp>[XIDA.xlsm]Financials!R26C9</stp>
        <stp>EQY_FUND_RELATIVE_PERIOD</stp>
        <stp>-8FY</stp>
        <stp>EQY_FUND_CRNCY</stp>
        <stp>USD</stp>
        <stp>EQY_CONSOLIDATED</stp>
        <stp>Y</stp>
        <stp>Fill=B</stp>
        <tr r="I26" s="8"/>
      </tp>
      <tp t="s">
        <v>#N/A Invalid Security</v>
        <stp/>
        <stp>##V3_BDPV12</stp>
        <stp xml:space="preserve"> EQUITY</stp>
        <stp>CRNCY_ADJ_MKT_CAP</stp>
        <stp>[XIDA.xlsm]Peers!R98C14</stp>
        <stp>EQY_FUND_CRNCY</stp>
        <stp>USD</stp>
        <tr r="N98" s="4"/>
      </tp>
      <tp t="s">
        <v>#N/A Invalid Security</v>
        <stp/>
        <stp>##V3_BDPV12</stp>
        <stp xml:space="preserve"> EQUITY</stp>
        <stp>CRNCY_ADJ_MKT_CAP</stp>
        <stp>[XIDA.xlsm]Peers!R88C14</stp>
        <stp>EQY_FUND_CRNCY</stp>
        <stp>USD</stp>
        <tr r="N88" s="4"/>
      </tp>
      <tp t="s">
        <v>#N/A Invalid Security</v>
        <stp/>
        <stp>##V3_BDPV12</stp>
        <stp xml:space="preserve"> EQUITY</stp>
        <stp>CRNCY_ADJ_MKT_CAP</stp>
        <stp>[XIDA.xlsm]Peers!R78C14</stp>
        <stp>EQY_FUND_CRNCY</stp>
        <stp>USD</stp>
        <tr r="N78" s="4"/>
      </tp>
      <tp t="s">
        <v>#N/A Invalid Security</v>
        <stp/>
        <stp>##V3_BDPV12</stp>
        <stp xml:space="preserve"> EQUITY</stp>
        <stp>CRNCY_ADJ_MKT_CAP</stp>
        <stp>[XIDA.xlsm]Peers!R68C14</stp>
        <stp>EQY_FUND_CRNCY</stp>
        <stp>USD</stp>
        <tr r="N68" s="4"/>
      </tp>
      <tp t="s">
        <v>#N/A Invalid Security</v>
        <stp/>
        <stp>##V3_BDPV12</stp>
        <stp xml:space="preserve"> EQUITY</stp>
        <stp>CRNCY_ADJ_MKT_CAP</stp>
        <stp>[XIDA.xlsm]Peers!R58C14</stp>
        <stp>EQY_FUND_CRNCY</stp>
        <stp>USD</stp>
        <tr r="N58" s="4"/>
      </tp>
      <tp t="s">
        <v>#N/A Invalid Security</v>
        <stp/>
        <stp>##V3_BDPV12</stp>
        <stp xml:space="preserve"> EQUITY</stp>
        <stp>CRNCY_ADJ_MKT_CAP</stp>
        <stp>[XIDA.xlsm]Peers!R48C14</stp>
        <stp>EQY_FUND_CRNCY</stp>
        <stp>USD</stp>
        <tr r="N48" s="4"/>
      </tp>
      <tp t="s">
        <v>#N/A Invalid Security</v>
        <stp/>
        <stp>##V3_BDPV12</stp>
        <stp xml:space="preserve"> EQUITY</stp>
        <stp>CRNCY_ADJ_MKT_CAP</stp>
        <stp>[XIDA.xlsm]Peers!R38C14</stp>
        <stp>EQY_FUND_CRNCY</stp>
        <stp>USD</stp>
        <tr r="N38" s="4"/>
      </tp>
      <tp t="s">
        <v>#N/A Invalid Security</v>
        <stp/>
        <stp>##V3_BDPV12</stp>
        <stp xml:space="preserve"> EQUITY</stp>
        <stp>CRNCY_ADJ_MKT_CAP</stp>
        <stp>[XIDA.xlsm]Peers!R28C14</stp>
        <stp>EQY_FUND_CRNCY</stp>
        <stp>USD</stp>
        <tr r="N28" s="4"/>
      </tp>
      <tp>
        <v>0.54102299548801613</v>
        <stp/>
        <stp>##V3_BDPV12</stp>
        <stp>ALU FP EQUITY</stp>
        <stp>BEST_PX_SALES_RATIO</stp>
        <stp>[XIDA.xlsm]DataH!R29C10</stp>
        <stp>BEST_FPERIOD_OVERRIDE</stp>
        <stp>13BC</stp>
        <stp>EQY_CONSOLIDATED</stp>
        <stp>Y</stp>
        <tr r="J29" s="16"/>
      </tp>
      <tp>
        <v>979</v>
        <stp/>
        <stp>##V3_BDPV12</stp>
        <stp>AAPL US EQUITY</stp>
        <stp>BS_OTHER_CUR_ASSET</stp>
        <stp>[XIDA.xlsm]Financials!R53C8</stp>
        <stp>EQY_FUND_RELATIVE_PERIOD</stp>
        <stp>-9FY</stp>
        <stp>EQY_FUND_CRNCY</stp>
        <stp>USD</stp>
        <stp>EQY_CONSOLIDATED</stp>
        <stp>Y</stp>
        <stp>Fill=B</stp>
        <tr r="H53" s="8"/>
      </tp>
      <tp>
        <v>2877</v>
        <stp/>
        <stp>##V3_BDPV12</stp>
        <stp>AAPL US EQUITY</stp>
        <stp>BS_OTHER_CUR_ASSET</stp>
        <stp>[XIDA.xlsm]Financials!R53C9</stp>
        <stp>EQY_FUND_RELATIVE_PERIOD</stp>
        <stp>-8FY</stp>
        <stp>EQY_FUND_CRNCY</stp>
        <stp>USD</stp>
        <stp>EQY_CONSOLIDATED</stp>
        <stp>Y</stp>
        <stp>Fill=B</stp>
        <tr r="I53" s="8"/>
      </tp>
      <tp t="s">
        <v>#N/A N/A</v>
        <stp/>
        <stp>##V3_BDSV12</stp>
        <stp>AAPL US EQUITY</stp>
        <stp>PG_NET_REVENUE</stp>
        <stp>[XIDA.xlsm]DataH!R3C13</stp>
        <stp>EQY_FUND_YEAR</stp>
        <stp>2014</stp>
        <stp>EQY_FUND_CRNCY</stp>
        <stp>USD</stp>
        <stp>PRODUCT_GEO_OVERRIDE</stp>
        <stp>G</stp>
        <stp>PG_HIERARCHY_LEVEL=1</stp>
        <stp>FUND_PER</stp>
        <stp>Y</stp>
        <stp>EQY_CONSOLIDATED</stp>
        <stp>Y</stp>
        <stp>StartCol=1</stp>
        <stp>EndCol=1</stp>
        <stp>StartRow=1</stp>
        <stp>EndRow=8</stp>
        <tr r="M3" s="16"/>
      </tp>
      <tp t="s">
        <v>#N/A N/A</v>
        <stp/>
        <stp>##V3_BDSV12</stp>
        <stp>AAPL US EQUITY</stp>
        <stp>PG_NET_REVENUE</stp>
        <stp>[XIDA.xlsm]DataH!R3C11</stp>
        <stp>EQY_FUND_YEAR</stp>
        <stp>2014</stp>
        <stp>EQY_FUND_CRNCY</stp>
        <stp>USD</stp>
        <stp>PRODUCT_GEO_OVERRIDE</stp>
        <stp>P</stp>
        <stp>PG_HIERARCHY_LEVEL=1</stp>
        <stp>FUND_PER</stp>
        <stp>Y</stp>
        <stp>EQY_CONSOLIDATED</stp>
        <stp>Y</stp>
        <stp>StartCol=1</stp>
        <stp>EndCol=1</stp>
        <stp>StartRow=1</stp>
        <stp>EndRow=8</stp>
        <tr r="K3" s="16"/>
      </tp>
      <tp t="s">
        <v>#N/A N/A</v>
        <stp/>
        <stp>##V3_BDSV12</stp>
        <stp>AAPL US EQUITY</stp>
        <stp>PG_NET_REVENUE</stp>
        <stp>[XIDA.xlsm]DataH!R3C14</stp>
        <stp>EQY_FUND_YEAR</stp>
        <stp>2014</stp>
        <stp>EQY_FUND_CRNCY</stp>
        <stp>USD</stp>
        <stp>PRODUCT_GEO_OVERRIDE</stp>
        <stp>G</stp>
        <stp>PG_HIERARCHY_LEVEL=1</stp>
        <stp>FUND_PER</stp>
        <stp>Y</stp>
        <stp>EQY_CONSOLIDATED</stp>
        <stp>Y</stp>
        <stp>StartCol=3</stp>
        <stp>EndCol=3</stp>
        <stp>StartRow=1</stp>
        <stp>EndRow=8</stp>
        <tr r="N3" s="16"/>
      </tp>
      <tp t="s">
        <v>#N/A Invalid Security</v>
        <stp/>
        <stp>##V3_BDPV12</stp>
        <stp xml:space="preserve"> EQUITY</stp>
        <stp>CRNCY_ADJ_MKT_CAP</stp>
        <stp>[XIDA.xlsm]Peers!R99C14</stp>
        <stp>EQY_FUND_CRNCY</stp>
        <stp>USD</stp>
        <tr r="N99" s="4"/>
      </tp>
      <tp t="s">
        <v>#N/A Invalid Security</v>
        <stp/>
        <stp>##V3_BDPV12</stp>
        <stp xml:space="preserve"> EQUITY</stp>
        <stp>CRNCY_ADJ_MKT_CAP</stp>
        <stp>[XIDA.xlsm]Peers!R89C14</stp>
        <stp>EQY_FUND_CRNCY</stp>
        <stp>USD</stp>
        <tr r="N89" s="4"/>
      </tp>
      <tp t="s">
        <v>#N/A Invalid Security</v>
        <stp/>
        <stp>##V3_BDPV12</stp>
        <stp xml:space="preserve"> EQUITY</stp>
        <stp>CRNCY_ADJ_MKT_CAP</stp>
        <stp>[XIDA.xlsm]Peers!R79C14</stp>
        <stp>EQY_FUND_CRNCY</stp>
        <stp>USD</stp>
        <tr r="N79" s="4"/>
      </tp>
      <tp t="s">
        <v>#N/A Invalid Security</v>
        <stp/>
        <stp>##V3_BDPV12</stp>
        <stp xml:space="preserve"> EQUITY</stp>
        <stp>CRNCY_ADJ_MKT_CAP</stp>
        <stp>[XIDA.xlsm]Peers!R69C14</stp>
        <stp>EQY_FUND_CRNCY</stp>
        <stp>USD</stp>
        <tr r="N69" s="4"/>
      </tp>
      <tp t="s">
        <v>#N/A Invalid Security</v>
        <stp/>
        <stp>##V3_BDPV12</stp>
        <stp xml:space="preserve"> EQUITY</stp>
        <stp>CRNCY_ADJ_MKT_CAP</stp>
        <stp>[XIDA.xlsm]Peers!R59C14</stp>
        <stp>EQY_FUND_CRNCY</stp>
        <stp>USD</stp>
        <tr r="N59" s="4"/>
      </tp>
      <tp t="s">
        <v>#N/A Invalid Security</v>
        <stp/>
        <stp>##V3_BDPV12</stp>
        <stp xml:space="preserve"> EQUITY</stp>
        <stp>CRNCY_ADJ_MKT_CAP</stp>
        <stp>[XIDA.xlsm]Peers!R49C14</stp>
        <stp>EQY_FUND_CRNCY</stp>
        <stp>USD</stp>
        <tr r="N49" s="4"/>
      </tp>
      <tp t="s">
        <v>#N/A Invalid Security</v>
        <stp/>
        <stp>##V3_BDPV12</stp>
        <stp xml:space="preserve"> EQUITY</stp>
        <stp>CRNCY_ADJ_MKT_CAP</stp>
        <stp>[XIDA.xlsm]Peers!R39C14</stp>
        <stp>EQY_FUND_CRNCY</stp>
        <stp>USD</stp>
        <tr r="N39" s="4"/>
      </tp>
      <tp t="s">
        <v>#N/A Invalid Security</v>
        <stp/>
        <stp>##V3_BDPV12</stp>
        <stp xml:space="preserve"> EQUITY</stp>
        <stp>CRNCY_ADJ_MKT_CAP</stp>
        <stp>[XIDA.xlsm]Peers!R29C14</stp>
        <stp>EQY_FUND_CRNCY</stp>
        <stp>USD</stp>
        <tr r="N29" s="4"/>
      </tp>
      <tp t="s">
        <v>#N/A N/A</v>
        <stp/>
        <stp>##V3_BDSV12</stp>
        <stp>AAPL US EQUITY</stp>
        <stp>PG_NET_REVENUE</stp>
        <stp>[XIDA.xlsm]DataH!R3C12</stp>
        <stp>EQY_FUND_YEAR</stp>
        <stp>2014</stp>
        <stp>EQY_FUND_CRNCY</stp>
        <stp>USD</stp>
        <stp>PRODUCT_GEO_OVERRIDE</stp>
        <stp>P</stp>
        <stp>PG_HIERARCHY_LEVEL=1</stp>
        <stp>FUND_PER</stp>
        <stp>Y</stp>
        <stp>EQY_CONSOLIDATED</stp>
        <stp>Y</stp>
        <stp>StartCol=3</stp>
        <stp>EndCol=3</stp>
        <stp>StartRow=1</stp>
        <stp>EndRow=8</stp>
        <tr r="L3" s="16"/>
      </tp>
      <tp>
        <v>0.59267020510434065</v>
        <stp/>
        <stp>##V3_BDPV12</stp>
        <stp>ALU FP EQUITY</stp>
        <stp>BEST_PX_SALES_RATIO</stp>
        <stp>[XIDA.xlsm]DataH!R29C11</stp>
        <stp>BEST_FPERIOD_OVERRIDE</stp>
        <stp>14BC</stp>
        <stp>EQY_CONSOLIDATED</stp>
        <stp>Y</stp>
        <tr r="K29" s="16"/>
      </tp>
      <tp t="s">
        <v>12/2014</v>
        <stp/>
        <stp>##V3_BDPV12</stp>
        <stp>ERICB SS EQUITY</stp>
        <stp>EQY_FISCAL_YR_END</stp>
        <stp>[XIDA.xlsm]Peers!R25C29</stp>
        <tr r="AC25" s="4"/>
      </tp>
      <tp>
        <v>-21.30152</v>
        <stp/>
        <stp>##V3_BDPV12</stp>
        <stp>AAPL US EQUITY</stp>
        <stp>CUST_TRR_RETURN_HOLDING_PER</stp>
        <stp>[XIDA.xlsm]Peers!R17C17</stp>
        <stp>CUST_TRR_START_DT</stp>
        <stp>20150224</stp>
        <stp>CUST_TRR_END_DT</stp>
        <stp>20150824</stp>
        <stp>CUST_TRR_CRNCY</stp>
        <stp>USD</stp>
        <tr r="Q17" s="4"/>
      </tp>
      <tp>
        <v>0</v>
        <stp/>
        <stp>##V3_BDPV12</stp>
        <stp>AAPL US EQUITY</stp>
        <stp>MIN_NONCONTROL_INTEREST_CREDITS</stp>
        <stp>[XIDA.xlsm]Financials!R31C10</stp>
        <stp>EQY_FUND_RELATIVE_PERIOD</stp>
        <stp>-7FY</stp>
        <stp>EQY_FUND_CRNCY</stp>
        <stp>USD</stp>
        <stp>EQY_CONSOLIDATED</stp>
        <stp>Y</stp>
        <stp>Fill=B</stp>
        <tr r="J31" s="8"/>
      </tp>
      <tp>
        <v>0</v>
        <stp/>
        <stp>##V3_BDPV12</stp>
        <stp>AAPL US EQUITY</stp>
        <stp>MIN_NONCONTROL_INTEREST_CREDITS</stp>
        <stp>[XIDA.xlsm]Financials!R31C11</stp>
        <stp>EQY_FUND_RELATIVE_PERIOD</stp>
        <stp>-6FY</stp>
        <stp>EQY_FUND_CRNCY</stp>
        <stp>USD</stp>
        <stp>EQY_CONSOLIDATED</stp>
        <stp>Y</stp>
        <stp>Fill=B</stp>
        <tr r="K31" s="8"/>
      </tp>
      <tp>
        <v>0</v>
        <stp/>
        <stp>##V3_BDPV12</stp>
        <stp>AAPL US EQUITY</stp>
        <stp>MIN_NONCONTROL_INTEREST_CREDITS</stp>
        <stp>[XIDA.xlsm]Financials!R31C12</stp>
        <stp>EQY_FUND_RELATIVE_PERIOD</stp>
        <stp>-5FY</stp>
        <stp>EQY_FUND_CRNCY</stp>
        <stp>USD</stp>
        <stp>EQY_CONSOLIDATED</stp>
        <stp>Y</stp>
        <stp>Fill=B</stp>
        <tr r="L31" s="8"/>
      </tp>
      <tp>
        <v>0</v>
        <stp/>
        <stp>##V3_BDPV12</stp>
        <stp>AAPL US EQUITY</stp>
        <stp>MIN_NONCONTROL_INTEREST_CREDITS</stp>
        <stp>[XIDA.xlsm]Financials!R31C13</stp>
        <stp>EQY_FUND_RELATIVE_PERIOD</stp>
        <stp>-4FY</stp>
        <stp>EQY_FUND_CRNCY</stp>
        <stp>USD</stp>
        <stp>EQY_CONSOLIDATED</stp>
        <stp>Y</stp>
        <stp>Fill=B</stp>
        <tr r="M31" s="8"/>
      </tp>
      <tp>
        <v>0</v>
        <stp/>
        <stp>##V3_BDPV12</stp>
        <stp>AAPL US EQUITY</stp>
        <stp>MIN_NONCONTROL_INTEREST_CREDITS</stp>
        <stp>[XIDA.xlsm]Financials!R31C14</stp>
        <stp>EQY_FUND_RELATIVE_PERIOD</stp>
        <stp>-3FY</stp>
        <stp>EQY_FUND_CRNCY</stp>
        <stp>USD</stp>
        <stp>EQY_CONSOLIDATED</stp>
        <stp>Y</stp>
        <stp>Fill=B</stp>
        <tr r="N31" s="8"/>
      </tp>
      <tp>
        <v>0</v>
        <stp/>
        <stp>##V3_BDPV12</stp>
        <stp>AAPL US EQUITY</stp>
        <stp>MIN_NONCONTROL_INTEREST_CREDITS</stp>
        <stp>[XIDA.xlsm]Financials!R31C15</stp>
        <stp>EQY_FUND_RELATIVE_PERIOD</stp>
        <stp>-2FY</stp>
        <stp>EQY_FUND_CRNCY</stp>
        <stp>USD</stp>
        <stp>EQY_CONSOLIDATED</stp>
        <stp>Y</stp>
        <stp>Fill=B</stp>
        <tr r="O31" s="8"/>
      </tp>
      <tp>
        <v>0</v>
        <stp/>
        <stp>##V3_BDPV12</stp>
        <stp>AAPL US EQUITY</stp>
        <stp>MIN_NONCONTROL_INTEREST_CREDITS</stp>
        <stp>[XIDA.xlsm]Financials!R31C16</stp>
        <stp>EQY_FUND_RELATIVE_PERIOD</stp>
        <stp>-1FY</stp>
        <stp>EQY_FUND_CRNCY</stp>
        <stp>USD</stp>
        <stp>EQY_CONSOLIDATED</stp>
        <stp>Y</stp>
        <stp>Fill=B</stp>
        <tr r="P31" s="8"/>
      </tp>
      <tp>
        <v>0</v>
        <stp/>
        <stp>##V3_BDPV12</stp>
        <stp>AAPL US EQUITY</stp>
        <stp>MIN_NONCONTROL_INTEREST_CREDITS</stp>
        <stp>[XIDA.xlsm]Financials!R31C17</stp>
        <stp>EQY_FUND_RELATIVE_PERIOD</stp>
        <stp>-0FY</stp>
        <stp>EQY_FUND_CRNCY</stp>
        <stp>USD</stp>
        <stp>EQY_CONSOLIDATED</stp>
        <stp>Y</stp>
        <stp>Fill=B</stp>
        <tr r="Q31" s="8"/>
      </tp>
      <tp>
        <v>54418</v>
        <stp/>
        <stp>##V3_BDPV12</stp>
        <stp>AAPL US EQUITY</stp>
        <stp>SHORT_AND_LONG_TERM_DEBT</stp>
        <stp>[XIDA.xlsm]Overview!R53C20</stp>
        <stp>FUND_PER</stp>
        <stp>Q</stp>
        <stp>EQY_FUND_CRNCY</stp>
        <stp>USD</stp>
        <stp>EQY_CONSOLIDATED</stp>
        <stp>Y</stp>
        <stp>Fill=0</stp>
        <tr r="T53" s="3"/>
      </tp>
      <tp t="s">
        <v>#N/A Requesting Data...</v>
        <stp/>
        <stp>##V3_BDSV12</stp>
        <stp>AAPL US EQUITY</stp>
        <stp>BEST_NET_DEBT_BRK_GRID</stp>
        <stp>[XIDA.xlsm]DataH!R8C119</stp>
        <stp>BEST_FPERIOD_OVERRIDE</stp>
        <stp>3FQ</stp>
        <stp>STARTCOL=1</stp>
        <stp>ENDCOL=1</stp>
        <stp>EQY_FUND_CRNCY</stp>
        <stp>USD</stp>
        <stp>BEST_CONSOLIDATED_OVERRIDE</stp>
        <stp>C</stp>
        <tr r="DO8" s="16"/>
      </tp>
      <tp>
        <v>1832</v>
        <stp/>
        <stp>##V3_BDPV12</stp>
        <stp>AAPL US EQUITY</stp>
        <stp>BS_NET_FIX_ASSET</stp>
        <stp>[XIDA.xlsm]Financials!R59C10</stp>
        <stp>EQY_FUND_RELATIVE_PERIOD</stp>
        <stp>-7FY</stp>
        <stp>EQY_FUND_CRNCY</stp>
        <stp>USD</stp>
        <stp>EQY_CONSOLIDATED</stp>
        <stp>Y</stp>
        <stp>Fill=B</stp>
        <tr r="J59" s="8"/>
      </tp>
      <tp>
        <v>2455</v>
        <stp/>
        <stp>##V3_BDPV12</stp>
        <stp>AAPL US EQUITY</stp>
        <stp>BS_NET_FIX_ASSET</stp>
        <stp>[XIDA.xlsm]Financials!R59C11</stp>
        <stp>EQY_FUND_RELATIVE_PERIOD</stp>
        <stp>-6FY</stp>
        <stp>EQY_FUND_CRNCY</stp>
        <stp>USD</stp>
        <stp>EQY_CONSOLIDATED</stp>
        <stp>Y</stp>
        <stp>Fill=B</stp>
        <tr r="K59" s="8"/>
      </tp>
      <tp>
        <v>2954</v>
        <stp/>
        <stp>##V3_BDPV12</stp>
        <stp>AAPL US EQUITY</stp>
        <stp>BS_NET_FIX_ASSET</stp>
        <stp>[XIDA.xlsm]Financials!R59C12</stp>
        <stp>EQY_FUND_RELATIVE_PERIOD</stp>
        <stp>-5FY</stp>
        <stp>EQY_FUND_CRNCY</stp>
        <stp>USD</stp>
        <stp>EQY_CONSOLIDATED</stp>
        <stp>Y</stp>
        <stp>Fill=B</stp>
        <tr r="L59" s="8"/>
      </tp>
      <tp>
        <v>4768</v>
        <stp/>
        <stp>##V3_BDPV12</stp>
        <stp>AAPL US EQUITY</stp>
        <stp>BS_NET_FIX_ASSET</stp>
        <stp>[XIDA.xlsm]Financials!R59C13</stp>
        <stp>EQY_FUND_RELATIVE_PERIOD</stp>
        <stp>-4FY</stp>
        <stp>EQY_FUND_CRNCY</stp>
        <stp>USD</stp>
        <stp>EQY_CONSOLIDATED</stp>
        <stp>Y</stp>
        <stp>Fill=B</stp>
        <tr r="M59" s="8"/>
      </tp>
      <tp>
        <v>7777</v>
        <stp/>
        <stp>##V3_BDPV12</stp>
        <stp>AAPL US EQUITY</stp>
        <stp>BS_NET_FIX_ASSET</stp>
        <stp>[XIDA.xlsm]Financials!R59C14</stp>
        <stp>EQY_FUND_RELATIVE_PERIOD</stp>
        <stp>-3FY</stp>
        <stp>EQY_FUND_CRNCY</stp>
        <stp>USD</stp>
        <stp>EQY_CONSOLIDATED</stp>
        <stp>Y</stp>
        <stp>Fill=B</stp>
        <tr r="N59" s="8"/>
      </tp>
      <tp>
        <v>15452</v>
        <stp/>
        <stp>##V3_BDPV12</stp>
        <stp>AAPL US EQUITY</stp>
        <stp>BS_NET_FIX_ASSET</stp>
        <stp>[XIDA.xlsm]Financials!R59C15</stp>
        <stp>EQY_FUND_RELATIVE_PERIOD</stp>
        <stp>-2FY</stp>
        <stp>EQY_FUND_CRNCY</stp>
        <stp>USD</stp>
        <stp>EQY_CONSOLIDATED</stp>
        <stp>Y</stp>
        <stp>Fill=B</stp>
        <tr r="O59" s="8"/>
      </tp>
      <tp>
        <v>16597</v>
        <stp/>
        <stp>##V3_BDPV12</stp>
        <stp>AAPL US EQUITY</stp>
        <stp>BS_NET_FIX_ASSET</stp>
        <stp>[XIDA.xlsm]Financials!R59C16</stp>
        <stp>EQY_FUND_RELATIVE_PERIOD</stp>
        <stp>-1FY</stp>
        <stp>EQY_FUND_CRNCY</stp>
        <stp>USD</stp>
        <stp>EQY_CONSOLIDATED</stp>
        <stp>Y</stp>
        <stp>Fill=B</stp>
        <tr r="P59" s="8"/>
      </tp>
      <tp>
        <v>20624</v>
        <stp/>
        <stp>##V3_BDPV12</stp>
        <stp>AAPL US EQUITY</stp>
        <stp>BS_NET_FIX_ASSET</stp>
        <stp>[XIDA.xlsm]Financials!R59C17</stp>
        <stp>EQY_FUND_RELATIVE_PERIOD</stp>
        <stp>-0FY</stp>
        <stp>EQY_FUND_CRNCY</stp>
        <stp>USD</stp>
        <stp>EQY_CONSOLIDATED</stp>
        <stp>Y</stp>
        <stp>Fill=B</stp>
        <tr r="Q59" s="8"/>
      </tp>
      <tp>
        <v>17871.3</v>
        <stp/>
        <stp>##V3_BDPV12</stp>
        <stp>AAPL US EQUITY</stp>
        <stp>BEST_NET_INCOME</stp>
        <stp>[XIDA.xlsm]DataH!R4C83</stp>
        <stp>BEST_FPERIOD_OVERRIDE</stp>
        <stp>2FQ</stp>
        <stp>BEST_DATA_SOURCE_OVERRIDE</stp>
        <stp>BLI</stp>
        <stp>EQY_FUND_CRNCY</stp>
        <stp>USD</stp>
        <stp>BEST_CONSOLIDATED_OVERRIDE</stp>
        <stp>C</stp>
        <tr r="CE4" s="16"/>
      </tp>
      <tp>
        <v>10795.818000000001</v>
        <stp/>
        <stp>##V3_BDPV12</stp>
        <stp>AAPL US EQUITY</stp>
        <stp>BEST_NET_INCOME</stp>
        <stp>[XIDA.xlsm]DataH!R4C82</stp>
        <stp>BEST_FPERIOD_OVERRIDE</stp>
        <stp>1FQ</stp>
        <stp>BEST_DATA_SOURCE_OVERRIDE</stp>
        <stp>BLI</stp>
        <stp>EQY_FUND_CRNCY</stp>
        <stp>USD</stp>
        <stp>BEST_CONSOLIDATED_OVERRIDE</stp>
        <stp>C</stp>
        <tr r="CD4" s="16"/>
      </tp>
      <tp>
        <v>13548.4</v>
        <stp/>
        <stp>##V3_BDPV12</stp>
        <stp>AAPL US EQUITY</stp>
        <stp>BEST_NET_INCOME</stp>
        <stp>[XIDA.xlsm]DataH!R4C85</stp>
        <stp>BEST_FPERIOD_OVERRIDE</stp>
        <stp>3FQ</stp>
        <stp>BEST_DATA_SOURCE_OVERRIDE</stp>
        <stp>BLI</stp>
        <stp>EQY_FUND_CRNCY</stp>
        <stp>USD</stp>
        <stp>BEST_CONSOLIDATED_OVERRIDE</stp>
        <stp>C</stp>
        <tr r="CG4" s="16"/>
      </tp>
      <tp>
        <v>439634.69264000002</v>
        <stp/>
        <stp>##V3_BDPV12</stp>
        <stp>AAPL US EQUITY</stp>
        <stp>CRNCY_ADJ_CURR_EV</stp>
        <stp>[XIDA.xlsm]Overview!R56C20</stp>
        <stp>EQY_FUND_CRNCY</stp>
        <stp>USD</stp>
        <stp>EQY_CONSOLIDATED</stp>
        <stp>Y</stp>
        <stp>Fill=0</stp>
        <tr r="T56" s="3"/>
      </tp>
      <tp>
        <v>13462.963</v>
        <stp/>
        <stp>##V3_BDPV12</stp>
        <stp>AAPL US EQUITY</stp>
        <stp>BEST_NET_INCOME</stp>
        <stp>[XIDA.xlsm]DataH!R3C85</stp>
        <stp>BEST_FPERIOD_OVERRIDE</stp>
        <stp>3FQ</stp>
        <stp>BEST_DATA_SOURCE_OVERRIDE</stp>
        <stp>BST</stp>
        <stp>EQY_FUND_CRNCY</stp>
        <stp>USD</stp>
        <stp>BEST_CONSOLIDATED_OVERRIDE</stp>
        <stp>C</stp>
        <tr r="CG3" s="16"/>
      </tp>
      <tp>
        <v>18062.814999999999</v>
        <stp/>
        <stp>##V3_BDPV12</stp>
        <stp>AAPL US EQUITY</stp>
        <stp>BEST_NET_INCOME</stp>
        <stp>[XIDA.xlsm]DataH!R3C83</stp>
        <stp>BEST_FPERIOD_OVERRIDE</stp>
        <stp>2FQ</stp>
        <stp>BEST_DATA_SOURCE_OVERRIDE</stp>
        <stp>BST</stp>
        <stp>EQY_FUND_CRNCY</stp>
        <stp>USD</stp>
        <stp>BEST_CONSOLIDATED_OVERRIDE</stp>
        <stp>C</stp>
        <tr r="CE3" s="16"/>
      </tp>
      <tp>
        <v>10712</v>
        <stp/>
        <stp>##V3_BDPV12</stp>
        <stp>AAPL US EQUITY</stp>
        <stp>BEST_NET_INCOME</stp>
        <stp>[XIDA.xlsm]DataH!R3C82</stp>
        <stp>BEST_FPERIOD_OVERRIDE</stp>
        <stp>1FQ</stp>
        <stp>BEST_DATA_SOURCE_OVERRIDE</stp>
        <stp>BST</stp>
        <stp>EQY_FUND_CRNCY</stp>
        <stp>USD</stp>
        <stp>BEST_CONSOLIDATED_OVERRIDE</stp>
        <stp>C</stp>
        <tr r="CD3" s="16"/>
      </tp>
      <tp>
        <v>13448.115</v>
        <stp/>
        <stp>##V3_BDPV12</stp>
        <stp>AAPL US EQUITY</stp>
        <stp>BEST_NET_INCOME</stp>
        <stp>[XIDA.xlsm]DataH!R5C85</stp>
        <stp>BEST_FPERIOD_OVERRIDE</stp>
        <stp>3FQ</stp>
        <stp>BEST_DATA_SOURCE_OVERRIDE</stp>
        <stp>BPE</stp>
        <stp>EQY_FUND_CRNCY</stp>
        <stp>USD</stp>
        <stp>BEST_CONSOLIDATED_OVERRIDE</stp>
        <stp>C</stp>
        <tr r="CG5" s="16"/>
      </tp>
      <tp>
        <v>18034.5</v>
        <stp/>
        <stp>##V3_BDPV12</stp>
        <stp>AAPL US EQUITY</stp>
        <stp>BEST_NET_INCOME</stp>
        <stp>[XIDA.xlsm]DataH!R5C83</stp>
        <stp>BEST_FPERIOD_OVERRIDE</stp>
        <stp>2FQ</stp>
        <stp>BEST_DATA_SOURCE_OVERRIDE</stp>
        <stp>BPE</stp>
        <stp>EQY_FUND_CRNCY</stp>
        <stp>USD</stp>
        <stp>BEST_CONSOLIDATED_OVERRIDE</stp>
        <stp>C</stp>
        <tr r="CE5" s="16"/>
      </tp>
      <tp>
        <v>10712</v>
        <stp/>
        <stp>##V3_BDPV12</stp>
        <stp>AAPL US EQUITY</stp>
        <stp>BEST_NET_INCOME</stp>
        <stp>[XIDA.xlsm]DataH!R5C82</stp>
        <stp>BEST_FPERIOD_OVERRIDE</stp>
        <stp>1FQ</stp>
        <stp>BEST_DATA_SOURCE_OVERRIDE</stp>
        <stp>BPE</stp>
        <stp>EQY_FUND_CRNCY</stp>
        <stp>USD</stp>
        <stp>BEST_CONSOLIDATED_OVERRIDE</stp>
        <stp>C</stp>
        <tr r="CD5" s="16"/>
      </tp>
      <tp t="s">
        <v>#N/A Requesting Data...</v>
        <stp/>
        <stp>##V3_BDSV12</stp>
        <stp>AAPL US EQUITY</stp>
        <stp>BEST_NET_DEBT_BRK_GRID</stp>
        <stp>[XIDA.xlsm]DataH!R8C118</stp>
        <stp>BEST_FPERIOD_OVERRIDE</stp>
        <stp>1FQ</stp>
        <stp>STARTCOL=6</stp>
        <stp>ENDCOL=6</stp>
        <stp>EQY_FUND_CRNCY</stp>
        <stp>USD</stp>
        <stp>BEST_CONSOLIDATED_OVERRIDE</stp>
        <stp>C</stp>
        <tr r="DN8" s="16"/>
      </tp>
      <tp>
        <v>0.51084673128051672</v>
        <stp/>
        <stp>##V3_BDPV12</stp>
        <stp>ALU FP EQUITY</stp>
        <stp>BEST_PX_SALES_RATIO</stp>
        <stp>[XIDA.xlsm]DataH!R29C14</stp>
        <stp>BEST_FPERIOD_OVERRIDE</stp>
        <stp>17BC</stp>
        <stp>EQY_CONSOLIDATED</stp>
        <stp>Y</stp>
        <tr r="N29" s="16"/>
      </tp>
      <tp>
        <v>4770</v>
        <stp/>
        <stp>##V3_BDPV12</stp>
        <stp>AAPL US EQUITY</stp>
        <stp>BS_MKT_SEC_OTHER_ST_INVEST</stp>
        <stp>[XIDA.xlsm]Financials!R50C8</stp>
        <stp>EQY_FUND_RELATIVE_PERIOD</stp>
        <stp>-9FY</stp>
        <stp>EQY_FUND_CRNCY</stp>
        <stp>USD</stp>
        <stp>EQY_CONSOLIDATED</stp>
        <stp>Y</stp>
        <stp>Fill=B</stp>
        <tr r="H50" s="8"/>
      </tp>
      <tp>
        <v>3718</v>
        <stp/>
        <stp>##V3_BDPV12</stp>
        <stp>AAPL US EQUITY</stp>
        <stp>BS_MKT_SEC_OTHER_ST_INVEST</stp>
        <stp>[XIDA.xlsm]Financials!R50C9</stp>
        <stp>EQY_FUND_RELATIVE_PERIOD</stp>
        <stp>-8FY</stp>
        <stp>EQY_FUND_CRNCY</stp>
        <stp>USD</stp>
        <stp>EQY_CONSOLIDATED</stp>
        <stp>Y</stp>
        <stp>Fill=B</stp>
        <tr r="I50" s="8"/>
      </tp>
      <tp>
        <v>5.413029076290235E-2</v>
        <stp/>
        <stp>##V3_BDPV12</stp>
        <stp>AAPL US equity</stp>
        <stp>PCT_INSIDER_SHARES_OUT</stp>
        <stp>[XIDA.xlsm]Owners!R16C5</stp>
        <tr r="E16" s="14"/>
        <tr r="E16" s="14"/>
      </tp>
      <tp>
        <v>4136</v>
        <stp/>
        <stp>##V3_BDPV12</stp>
        <stp>AAPL US EQUITY</stp>
        <stp>BS_OTHER_ST_LIAB</stp>
        <stp>[XIDA.xlsm]Financials!R65C10</stp>
        <stp>EQY_FUND_RELATIVE_PERIOD</stp>
        <stp>-7FY</stp>
        <stp>EQY_FUND_CRNCY</stp>
        <stp>USD</stp>
        <stp>EQY_CONSOLIDATED</stp>
        <stp>Y</stp>
        <stp>Fill=B</stp>
        <tr r="J65" s="8"/>
      </tp>
      <tp>
        <v>5841</v>
        <stp/>
        <stp>##V3_BDPV12</stp>
        <stp>AAPL US EQUITY</stp>
        <stp>BS_OTHER_ST_LIAB</stp>
        <stp>[XIDA.xlsm]Financials!R65C11</stp>
        <stp>EQY_FUND_RELATIVE_PERIOD</stp>
        <stp>-6FY</stp>
        <stp>EQY_FUND_CRNCY</stp>
        <stp>USD</stp>
        <stp>EQY_CONSOLIDATED</stp>
        <stp>Y</stp>
        <stp>Fill=B</stp>
        <tr r="K65" s="8"/>
      </tp>
      <tp>
        <v>5905</v>
        <stp/>
        <stp>##V3_BDPV12</stp>
        <stp>AAPL US EQUITY</stp>
        <stp>BS_OTHER_ST_LIAB</stp>
        <stp>[XIDA.xlsm]Financials!R65C12</stp>
        <stp>EQY_FUND_RELATIVE_PERIOD</stp>
        <stp>-5FY</stp>
        <stp>EQY_FUND_CRNCY</stp>
        <stp>USD</stp>
        <stp>EQY_CONSOLIDATED</stp>
        <stp>Y</stp>
        <stp>Fill=B</stp>
        <tr r="L65" s="8"/>
      </tp>
      <tp>
        <v>8707</v>
        <stp/>
        <stp>##V3_BDPV12</stp>
        <stp>AAPL US EQUITY</stp>
        <stp>BS_OTHER_ST_LIAB</stp>
        <stp>[XIDA.xlsm]Financials!R65C13</stp>
        <stp>EQY_FUND_RELATIVE_PERIOD</stp>
        <stp>-4FY</stp>
        <stp>EQY_FUND_CRNCY</stp>
        <stp>USD</stp>
        <stp>EQY_CONSOLIDATED</stp>
        <stp>Y</stp>
        <stp>Fill=B</stp>
        <tr r="M65" s="8"/>
      </tp>
      <tp>
        <v>13338</v>
        <stp/>
        <stp>##V3_BDPV12</stp>
        <stp>AAPL US EQUITY</stp>
        <stp>BS_OTHER_ST_LIAB</stp>
        <stp>[XIDA.xlsm]Financials!R65C14</stp>
        <stp>EQY_FUND_RELATIVE_PERIOD</stp>
        <stp>-3FY</stp>
        <stp>EQY_FUND_CRNCY</stp>
        <stp>USD</stp>
        <stp>EQY_CONSOLIDATED</stp>
        <stp>Y</stp>
        <stp>Fill=B</stp>
        <tr r="N65" s="8"/>
      </tp>
      <tp>
        <v>17367</v>
        <stp/>
        <stp>##V3_BDPV12</stp>
        <stp>AAPL US EQUITY</stp>
        <stp>BS_OTHER_ST_LIAB</stp>
        <stp>[XIDA.xlsm]Financials!R65C15</stp>
        <stp>EQY_FUND_RELATIVE_PERIOD</stp>
        <stp>-2FY</stp>
        <stp>EQY_FUND_CRNCY</stp>
        <stp>USD</stp>
        <stp>EQY_CONSOLIDATED</stp>
        <stp>Y</stp>
        <stp>Fill=B</stp>
        <tr r="O65" s="8"/>
      </tp>
      <tp>
        <v>21291</v>
        <stp/>
        <stp>##V3_BDPV12</stp>
        <stp>AAPL US EQUITY</stp>
        <stp>BS_OTHER_ST_LIAB</stp>
        <stp>[XIDA.xlsm]Financials!R65C16</stp>
        <stp>EQY_FUND_RELATIVE_PERIOD</stp>
        <stp>-1FY</stp>
        <stp>EQY_FUND_CRNCY</stp>
        <stp>USD</stp>
        <stp>EQY_CONSOLIDATED</stp>
        <stp>Y</stp>
        <stp>Fill=B</stp>
        <tr r="P65" s="8"/>
      </tp>
      <tp>
        <v>26944</v>
        <stp/>
        <stp>##V3_BDPV12</stp>
        <stp>AAPL US EQUITY</stp>
        <stp>BS_OTHER_ST_LIAB</stp>
        <stp>[XIDA.xlsm]Financials!R65C17</stp>
        <stp>EQY_FUND_RELATIVE_PERIOD</stp>
        <stp>-0FY</stp>
        <stp>EQY_FUND_CRNCY</stp>
        <stp>USD</stp>
        <stp>EQY_CONSOLIDATED</stp>
        <stp>Y</stp>
        <stp>Fill=B</stp>
        <tr r="Q65" s="8"/>
      </tp>
      <tp>
        <v>2.0956167571761055</v>
        <stp/>
        <stp>##V3_BDPV12</stp>
        <stp>AAPL US EQUITY</stp>
        <stp>BEST_DIV_YLD</stp>
        <stp>[XIDA.xlsm]Overview!R38C10</stp>
        <stp>BEST_FPERIOD_OVERRIDE</stp>
        <stp>2FY</stp>
        <tr r="J38" s="3"/>
        <tr r="J38" s="3"/>
      </tp>
      <tp>
        <v>2.2934445306439102</v>
        <stp/>
        <stp>##V3_BDPV12</stp>
        <stp>AAPL US EQUITY</stp>
        <stp>BEST_DIV_YLD</stp>
        <stp>[XIDA.xlsm]Overview!R38C11</stp>
        <stp>BEST_FPERIOD_OVERRIDE</stp>
        <stp>3FY</stp>
        <tr r="K38" s="3"/>
        <tr r="K38" s="3"/>
      </tp>
      <tp t="s">
        <v>#N/A Invalid Security</v>
        <stp/>
        <stp>##V3_BDHV12</stp>
        <stp xml:space="preserve"> EQUITY</stp>
        <stp>PX_LAST</stp>
        <stp>1/1/2015</stp>
        <stp>4/13/2015</stp>
        <stp>[XIDA.xlsm]PricesH!R4C9</stp>
        <stp>Dts=H</stp>
        <stp>FX=USD</stp>
        <stp>CDR=US</stp>
        <stp/>
        <stp>PER=CD</stp>
        <tr r="I4" s="6"/>
      </tp>
      <tp>
        <v>103.12</v>
        <stp/>
        <stp>##V3_BDPV12</stp>
        <stp>AAPL US EQUITY</stp>
        <stp>CRNCY_ADJ_PX_LAST</stp>
        <stp>[XIDA.xlsm]Overview!R19C6</stp>
        <stp>EQY_FUND_CRNCY</stp>
        <stp>USD</stp>
        <tr r="F19" s="3"/>
      </tp>
      <tp>
        <v>5076</v>
        <stp/>
        <stp>##V3_BDPV12</stp>
        <stp>AAPL US EQUITY</stp>
        <stp>TOT_SHRHLDR_EQY</stp>
        <stp>[XIDA.xlsm]Financials!R77C7</stp>
        <stp>EQY_FUND_RELATIVE_PERIOD</stp>
        <stp>-10FY</stp>
        <stp>EQY_FUND_CRNCY</stp>
        <stp>USD</stp>
        <stp>EQY_CONSOLIDATED</stp>
        <stp>Y</stp>
        <stp>Fill=B</stp>
        <tr r="G77" s="8"/>
      </tp>
      <tp t="s">
        <v>#N/A Requesting Data...</v>
        <stp/>
        <stp>##V3_BDSV12</stp>
        <stp>AAPL US EQUITY</stp>
        <stp>BEST_EPS_GAAP_BRK_GRID</stp>
        <stp>[XIDA.xlsm]DataH!R8C53</stp>
        <stp>BEST_FPERIOD_OVERRIDE</stp>
        <stp>1FQ</stp>
        <stp>STARTCOL=6</stp>
        <stp>ENDCOL=6</stp>
        <stp>EQY_FUND_CRNCY</stp>
        <stp>USD</stp>
        <stp>BEST_CONSOLIDATED_OVERRIDE</stp>
        <stp>C</stp>
        <tr r="BA8" s="16"/>
      </tp>
      <tp t="s">
        <v>#N/A Requesting Data...</v>
        <stp/>
        <stp>##V3_BDSV12</stp>
        <stp>AAPL US EQUITY</stp>
        <stp>BEST_CAPEX_BROKER_GRID</stp>
        <stp>[XIDA.xlsm]DataH!R8C80</stp>
        <stp>BEST_FPERIOD_OVERRIDE</stp>
        <stp>3FQ</stp>
        <stp>STARTCOL=4</stp>
        <stp>ENDCOL=4</stp>
        <stp>EQY_FUND_CRNCY</stp>
        <stp>USD</stp>
        <stp>BEST_CONSOLIDATED_OVERRIDE</stp>
        <stp>C</stp>
        <tr r="CB8" s="16"/>
      </tp>
      <tp>
        <v>0.58491098632417271</v>
        <stp/>
        <stp>##V3_BDPV12</stp>
        <stp>6758 JP EQUITY</stp>
        <stp>BEST_PX_SALES_RATIO</stp>
        <stp>[XIDA.xlsm]DataH!R25C8</stp>
        <stp>BEST_FPERIOD_OVERRIDE</stp>
        <stp>11BC</stp>
        <stp>EQY_CONSOLIDATED</stp>
        <stp>Y</stp>
        <tr r="H25" s="16"/>
      </tp>
      <tp>
        <v>13.621753992143256</v>
        <stp/>
        <stp>##V3_BDPV12</stp>
        <stp>AAPL US EQUITY</stp>
        <stp>RETURN_ON_ASSET</stp>
        <stp>[XIDA.xlsm]Financials!R130C8</stp>
        <stp>EQY_FUND_RELATIVE_PERIOD</stp>
        <stp>-9FY</stp>
        <stp>EQY_FUND_CRNCY</stp>
        <stp>USD</stp>
        <stp>EQY_CONSOLIDATED</stp>
        <stp>Y</stp>
        <stp>Fill=0</stp>
        <tr r="H130" s="8"/>
      </tp>
      <tp>
        <v>13.83363471971067</v>
        <stp/>
        <stp>##V3_BDPV12</stp>
        <stp>AAPL US EQUITY</stp>
        <stp>RETURN_ON_ASSET</stp>
        <stp>[XIDA.xlsm]Financials!R130C9</stp>
        <stp>EQY_FUND_RELATIVE_PERIOD</stp>
        <stp>-8FY</stp>
        <stp>EQY_FUND_CRNCY</stp>
        <stp>USD</stp>
        <stp>EQY_CONSOLIDATED</stp>
        <stp>Y</stp>
        <stp>Fill=0</stp>
        <tr r="I130" s="8"/>
      </tp>
      <tp>
        <v>0</v>
        <stp/>
        <stp>##V3_BDPV12</stp>
        <stp>AAPL US EQUITY</stp>
        <stp>XO_GL_NET_OF_TAX</stp>
        <stp>[XIDA.xlsm]Financials!R30C10</stp>
        <stp>EQY_FUND_RELATIVE_PERIOD</stp>
        <stp>-7FY</stp>
        <stp>EQY_FUND_CRNCY</stp>
        <stp>USD</stp>
        <stp>EQY_CONSOLIDATED</stp>
        <stp>Y</stp>
        <stp>Fill=B</stp>
        <tr r="J30" s="8"/>
      </tp>
      <tp>
        <v>0</v>
        <stp/>
        <stp>##V3_BDPV12</stp>
        <stp>AAPL US EQUITY</stp>
        <stp>XO_GL_NET_OF_TAX</stp>
        <stp>[XIDA.xlsm]Financials!R30C11</stp>
        <stp>EQY_FUND_RELATIVE_PERIOD</stp>
        <stp>-6FY</stp>
        <stp>EQY_FUND_CRNCY</stp>
        <stp>USD</stp>
        <stp>EQY_CONSOLIDATED</stp>
        <stp>Y</stp>
        <stp>Fill=B</stp>
        <tr r="K30" s="8"/>
      </tp>
      <tp>
        <v>0</v>
        <stp/>
        <stp>##V3_BDPV12</stp>
        <stp>AAPL US EQUITY</stp>
        <stp>XO_GL_NET_OF_TAX</stp>
        <stp>[XIDA.xlsm]Financials!R30C12</stp>
        <stp>EQY_FUND_RELATIVE_PERIOD</stp>
        <stp>-5FY</stp>
        <stp>EQY_FUND_CRNCY</stp>
        <stp>USD</stp>
        <stp>EQY_CONSOLIDATED</stp>
        <stp>Y</stp>
        <stp>Fill=B</stp>
        <tr r="L30" s="8"/>
      </tp>
      <tp>
        <v>0</v>
        <stp/>
        <stp>##V3_BDPV12</stp>
        <stp>AAPL US EQUITY</stp>
        <stp>XO_GL_NET_OF_TAX</stp>
        <stp>[XIDA.xlsm]Financials!R30C13</stp>
        <stp>EQY_FUND_RELATIVE_PERIOD</stp>
        <stp>-4FY</stp>
        <stp>EQY_FUND_CRNCY</stp>
        <stp>USD</stp>
        <stp>EQY_CONSOLIDATED</stp>
        <stp>Y</stp>
        <stp>Fill=B</stp>
        <tr r="M30" s="8"/>
      </tp>
      <tp>
        <v>0</v>
        <stp/>
        <stp>##V3_BDPV12</stp>
        <stp>AAPL US EQUITY</stp>
        <stp>XO_GL_NET_OF_TAX</stp>
        <stp>[XIDA.xlsm]Financials!R30C14</stp>
        <stp>EQY_FUND_RELATIVE_PERIOD</stp>
        <stp>-3FY</stp>
        <stp>EQY_FUND_CRNCY</stp>
        <stp>USD</stp>
        <stp>EQY_CONSOLIDATED</stp>
        <stp>Y</stp>
        <stp>Fill=B</stp>
        <tr r="N30" s="8"/>
      </tp>
      <tp>
        <v>0</v>
        <stp/>
        <stp>##V3_BDPV12</stp>
        <stp>AAPL US EQUITY</stp>
        <stp>XO_GL_NET_OF_TAX</stp>
        <stp>[XIDA.xlsm]Financials!R30C15</stp>
        <stp>EQY_FUND_RELATIVE_PERIOD</stp>
        <stp>-2FY</stp>
        <stp>EQY_FUND_CRNCY</stp>
        <stp>USD</stp>
        <stp>EQY_CONSOLIDATED</stp>
        <stp>Y</stp>
        <stp>Fill=B</stp>
        <tr r="O30" s="8"/>
      </tp>
      <tp>
        <v>0</v>
        <stp/>
        <stp>##V3_BDPV12</stp>
        <stp>AAPL US EQUITY</stp>
        <stp>XO_GL_NET_OF_TAX</stp>
        <stp>[XIDA.xlsm]Financials!R30C16</stp>
        <stp>EQY_FUND_RELATIVE_PERIOD</stp>
        <stp>-1FY</stp>
        <stp>EQY_FUND_CRNCY</stp>
        <stp>USD</stp>
        <stp>EQY_CONSOLIDATED</stp>
        <stp>Y</stp>
        <stp>Fill=B</stp>
        <tr r="P30" s="8"/>
      </tp>
      <tp>
        <v>0</v>
        <stp/>
        <stp>##V3_BDPV12</stp>
        <stp>AAPL US EQUITY</stp>
        <stp>XO_GL_NET_OF_TAX</stp>
        <stp>[XIDA.xlsm]Financials!R30C17</stp>
        <stp>EQY_FUND_RELATIVE_PERIOD</stp>
        <stp>-0FY</stp>
        <stp>EQY_FUND_CRNCY</stp>
        <stp>USD</stp>
        <stp>EQY_CONSOLIDATED</stp>
        <stp>Y</stp>
        <stp>Fill=B</stp>
        <tr r="Q30" s="8"/>
      </tp>
      <tp>
        <v>774</v>
        <stp/>
        <stp>##V3_BDPV12</stp>
        <stp>AAPL US EQUITY</stp>
        <stp>BS_ACCT_NOTE_RCV</stp>
        <stp>[XIDA.xlsm]Financials!R51C7</stp>
        <stp>EQY_FUND_RELATIVE_PERIOD</stp>
        <stp>-10FY</stp>
        <stp>EQY_FUND_CRNCY</stp>
        <stp>USD</stp>
        <stp>EQY_CONSOLIDATED</stp>
        <stp>Y</stp>
        <stp>Fill=B</stp>
        <tr r="G51" s="8"/>
      </tp>
      <tp>
        <v>0.4284064593704307</v>
        <stp/>
        <stp>##V3_BDPV12</stp>
        <stp>HPQ US EQUITY</stp>
        <stp>BEST_PX_SALES_RATIO</stp>
        <stp>[XIDA.xlsm]DataH!R27C10</stp>
        <stp>BEST_FPERIOD_OVERRIDE</stp>
        <stp>13BC</stp>
        <stp>EQY_CONSOLIDATED</stp>
        <stp>Y</stp>
        <tr r="J27" s="16"/>
      </tp>
      <tp>
        <v>141186.17509999999</v>
        <stp/>
        <stp>##V3_BDHV12</stp>
        <stp>CSCO US EQUITY</stp>
        <stp>CUR_MKT_CAP</stp>
        <stp>1/1/2015</stp>
        <stp>4/13/2015</stp>
        <stp>[XIDA.xlsm]MarketCapH!R4C6</stp>
        <stp>Dts=H</stp>
        <stp>FX=USD</stp>
        <stp>CDR=US</stp>
        <stp/>
        <stp>PER=CD</stp>
        <stp>cols=1;rows=69</stp>
        <tr r="F4" s="7"/>
      </tp>
      <tp>
        <v>20.697299999999998</v>
        <stp/>
        <stp>##V3_BDHV12</stp>
        <stp>6758 JP EQUITY</stp>
        <stp>PX_LAST</stp>
        <stp>1/1/2015</stp>
        <stp>4/13/2015</stp>
        <stp>[XIDA.xlsm]PricesH!R4C3</stp>
        <stp>Dts=H</stp>
        <stp>FX=USD</stp>
        <stp>CDR=US</stp>
        <stp/>
        <stp>PER=CD</stp>
        <stp>cols=1;rows=69</stp>
        <tr r="C4" s="6"/>
      </tp>
      <tp t="s">
        <v>#N/A Requesting Data...</v>
        <stp/>
        <stp>##V3_BDSV12</stp>
        <stp>AAPL US EQUITY</stp>
        <stp>BEST_EPS_GAAP_BRK_GRID</stp>
        <stp>[XIDA.xlsm]DataH!R8C52</stp>
        <stp>BEST_FPERIOD_OVERRIDE</stp>
        <stp>1FQ</stp>
        <stp>STARTCOL=4</stp>
        <stp>ENDCOL=4</stp>
        <stp>EQY_FUND_CRNCY</stp>
        <stp>USD</stp>
        <stp>BEST_CONSOLIDATED_OVERRIDE</stp>
        <stp>C</stp>
        <tr r="AZ8" s="16"/>
      </tp>
      <tp>
        <v>5.9500442224484331</v>
        <stp/>
        <stp>##V3_BDPV12</stp>
        <stp>AAPL US EQUITY</stp>
        <stp>PX_TO_BOOK_RATIO</stp>
        <stp>[XIDA.xlsm]Financials!R122C8</stp>
        <stp>EQY_FUND_RELATIVE_PERIOD</stp>
        <stp>-9FY</stp>
        <stp>EQY_FUND_CRNCY</stp>
        <stp>USD</stp>
        <stp>EQY_CONSOLIDATED</stp>
        <stp>Y</stp>
        <stp>Fill=B</stp>
        <tr r="H122" s="8"/>
      </tp>
      <tp>
        <v>6.5943622280288468</v>
        <stp/>
        <stp>##V3_BDPV12</stp>
        <stp>AAPL US EQUITY</stp>
        <stp>PX_TO_BOOK_RATIO</stp>
        <stp>[XIDA.xlsm]Financials!R122C9</stp>
        <stp>EQY_FUND_RELATIVE_PERIOD</stp>
        <stp>-8FY</stp>
        <stp>EQY_FUND_CRNCY</stp>
        <stp>USD</stp>
        <stp>EQY_CONSOLIDATED</stp>
        <stp>Y</stp>
        <stp>Fill=B</stp>
        <tr r="I122" s="8"/>
      </tp>
      <tp>
        <v>0.5678383257491324</v>
        <stp/>
        <stp>##V3_BDPV12</stp>
        <stp>6758 JP EQUITY</stp>
        <stp>BEST_PX_SALES_RATIO</stp>
        <stp>[XIDA.xlsm]DataH!R25C9</stp>
        <stp>BEST_FPERIOD_OVERRIDE</stp>
        <stp>12BC</stp>
        <stp>EQY_CONSOLIDATED</stp>
        <stp>Y</stp>
        <tr r="I25" s="16"/>
      </tp>
      <tp>
        <v>17.014884042921427</v>
        <stp/>
        <stp>##V3_BDPV12</stp>
        <stp>AAPL US EQUITY</stp>
        <stp>ACCT_RCV_TURN</stp>
        <stp>[XIDA.xlsm]Financials!R142C10</stp>
        <stp>EQY_FUND_RELATIVE_PERIOD</stp>
        <stp>-7FY</stp>
        <stp>EQY_FUND_CRNCY</stp>
        <stp>USD</stp>
        <stp>EQY_CONSOLIDATED</stp>
        <stp>Y</stp>
        <stp>Fill=B</stp>
        <tr r="J142" s="8"/>
      </tp>
      <tp>
        <v>18.473022912047302</v>
        <stp/>
        <stp>##V3_BDPV12</stp>
        <stp>AAPL US EQUITY</stp>
        <stp>ACCT_RCV_TURN</stp>
        <stp>[XIDA.xlsm]Financials!R142C11</stp>
        <stp>EQY_FUND_RELATIVE_PERIOD</stp>
        <stp>-6FY</stp>
        <stp>EQY_FUND_CRNCY</stp>
        <stp>USD</stp>
        <stp>EQY_CONSOLIDATED</stp>
        <stp>Y</stp>
        <stp>Fill=B</stp>
        <tr r="K142" s="8"/>
      </tp>
      <tp>
        <v>14.838319211481929</v>
        <stp/>
        <stp>##V3_BDPV12</stp>
        <stp>AAPL US EQUITY</stp>
        <stp>ACCT_RCV_TURN</stp>
        <stp>[XIDA.xlsm]Financials!R142C12</stp>
        <stp>EQY_FUND_RELATIVE_PERIOD</stp>
        <stp>-5FY</stp>
        <stp>EQY_FUND_CRNCY</stp>
        <stp>USD</stp>
        <stp>EQY_CONSOLIDATED</stp>
        <stp>Y</stp>
        <stp>Fill=B</stp>
        <tr r="L142" s="8"/>
      </tp>
      <tp>
        <v>14.705219253748169</v>
        <stp/>
        <stp>##V3_BDPV12</stp>
        <stp>AAPL US EQUITY</stp>
        <stp>ACCT_RCV_TURN</stp>
        <stp>[XIDA.xlsm]Financials!R142C13</stp>
        <stp>EQY_FUND_RELATIVE_PERIOD</stp>
        <stp>-4FY</stp>
        <stp>EQY_FUND_CRNCY</stp>
        <stp>USD</stp>
        <stp>EQY_CONSOLIDATED</stp>
        <stp>Y</stp>
        <stp>Fill=B</stp>
        <tr r="M142" s="8"/>
      </tp>
      <tp>
        <v>19.900542329258204</v>
        <stp/>
        <stp>##V3_BDPV12</stp>
        <stp>AAPL US EQUITY</stp>
        <stp>ACCT_RCV_TURN</stp>
        <stp>[XIDA.xlsm]Financials!R142C14</stp>
        <stp>EQY_FUND_RELATIVE_PERIOD</stp>
        <stp>-3FY</stp>
        <stp>EQY_FUND_CRNCY</stp>
        <stp>USD</stp>
        <stp>EQY_CONSOLIDATED</stp>
        <stp>Y</stp>
        <stp>Fill=B</stp>
        <tr r="N142" s="8"/>
      </tp>
      <tp>
        <v>19.204613779986502</v>
        <stp/>
        <stp>##V3_BDPV12</stp>
        <stp>AAPL US EQUITY</stp>
        <stp>ACCT_RCV_TURN</stp>
        <stp>[XIDA.xlsm]Financials!R142C15</stp>
        <stp>EQY_FUND_RELATIVE_PERIOD</stp>
        <stp>-2FY</stp>
        <stp>EQY_FUND_CRNCY</stp>
        <stp>USD</stp>
        <stp>EQY_CONSOLIDATED</stp>
        <stp>Y</stp>
        <stp>Fill=B</stp>
        <tr r="O142" s="8"/>
      </tp>
      <tp>
        <v>14.223535286284953</v>
        <stp/>
        <stp>##V3_BDPV12</stp>
        <stp>AAPL US EQUITY</stp>
        <stp>ACCT_RCV_TURN</stp>
        <stp>[XIDA.xlsm]Financials!R142C16</stp>
        <stp>EQY_FUND_RELATIVE_PERIOD</stp>
        <stp>-1FY</stp>
        <stp>EQY_FUND_CRNCY</stp>
        <stp>USD</stp>
        <stp>EQY_CONSOLIDATED</stp>
        <stp>Y</stp>
        <stp>Fill=B</stp>
        <tr r="P142" s="8"/>
      </tp>
      <tp>
        <v>11.96224069105425</v>
        <stp/>
        <stp>##V3_BDPV12</stp>
        <stp>AAPL US EQUITY</stp>
        <stp>ACCT_RCV_TURN</stp>
        <stp>[XIDA.xlsm]Financials!R142C17</stp>
        <stp>EQY_FUND_RELATIVE_PERIOD</stp>
        <stp>-0FY</stp>
        <stp>EQY_FUND_CRNCY</stp>
        <stp>USD</stp>
        <stp>EQY_CONSOLIDATED</stp>
        <stp>Y</stp>
        <stp>Fill=B</stp>
        <tr r="Q142" s="8"/>
      </tp>
      <tp>
        <v>35.295959311984056</v>
        <stp/>
        <stp>##V3_BDPV12</stp>
        <stp>AAPL US EQUITY</stp>
        <stp>OPER_MARGIN</stp>
        <stp>[XIDA.xlsm]Overview!R44C6</stp>
        <stp>EQY_FUND_RELATIVE_PERIOD</stp>
        <stp>-2FY</stp>
        <stp>EQY_CONSOLIDATED</stp>
        <stp>Y</stp>
        <stp>Fill=-</stp>
        <tr r="F44" s="3"/>
      </tp>
      <tp>
        <v>31.215068961376087</v>
        <stp/>
        <stp>##V3_BDPV12</stp>
        <stp>AAPL US EQUITY</stp>
        <stp>OPER_MARGIN</stp>
        <stp>[XIDA.xlsm]Overview!R44C5</stp>
        <stp>EQY_FUND_RELATIVE_PERIOD</stp>
        <stp>-3FY</stp>
        <stp>EQY_CONSOLIDATED</stp>
        <stp>Y</stp>
        <stp>Fill=-</stp>
        <tr r="E44" s="3"/>
      </tp>
      <tp>
        <v>28.669475162366158</v>
        <stp/>
        <stp>##V3_BDPV12</stp>
        <stp>AAPL US EQUITY</stp>
        <stp>OPER_MARGIN</stp>
        <stp>[XIDA.xlsm]Overview!R44C7</stp>
        <stp>EQY_FUND_RELATIVE_PERIOD</stp>
        <stp>-1FY</stp>
        <stp>EQY_CONSOLIDATED</stp>
        <stp>Y</stp>
        <stp>Fill=-</stp>
        <tr r="G44" s="3"/>
      </tp>
      <tp>
        <v>28.722339232473537</v>
        <stp/>
        <stp>##V3_BDPV12</stp>
        <stp>AAPL US EQUITY</stp>
        <stp>OPER_MARGIN</stp>
        <stp>[XIDA.xlsm]Overview!R44C8</stp>
        <stp>EQY_FUND_RELATIVE_PERIOD</stp>
        <stp>-0FY</stp>
        <stp>EQY_CONSOLIDATED</stp>
        <stp>Y</stp>
        <stp>Fill=-</stp>
        <tr r="H44" s="3"/>
      </tp>
      <tp>
        <v>0.4345433032532286</v>
        <stp/>
        <stp>##V3_BDPV12</stp>
        <stp>HPQ US EQUITY</stp>
        <stp>BEST_PX_SALES_RATIO</stp>
        <stp>[XIDA.xlsm]DataH!R27C11</stp>
        <stp>BEST_FPERIOD_OVERRIDE</stp>
        <stp>14BC</stp>
        <stp>EQY_CONSOLIDATED</stp>
        <stp>Y</stp>
        <tr r="K27" s="16"/>
      </tp>
      <tp t="s">
        <v>#N/A Requesting Data...</v>
        <stp/>
        <stp>##V3_BDSV12</stp>
        <stp>AAPL US EQUITY</stp>
        <stp>BEST_EPS_GAAP_BRK_GRID</stp>
        <stp>[XIDA.xlsm]DataH!R8C51</stp>
        <stp>BEST_FPERIOD_OVERRIDE</stp>
        <stp>1FQ</stp>
        <stp>STARTCOL=1</stp>
        <stp>ENDCOL=1</stp>
        <stp>EQY_FUND_CRNCY</stp>
        <stp>USD</stp>
        <stp>BEST_CONSOLIDATED_OVERRIDE</stp>
        <stp>C</stp>
        <tr r="AY8" s="16"/>
      </tp>
      <tp t="s">
        <v>USD</v>
        <stp/>
        <stp>##V3_BDPV12</stp>
        <stp>CSCO US EQUITY</stp>
        <stp>CRNCY</stp>
        <stp>[XIDA.xlsm]Peers!R23C11</stp>
        <tr r="K23" s="4"/>
      </tp>
      <tp>
        <v>4735</v>
        <stp/>
        <stp>##V3_BDPV12</stp>
        <stp>AAPL US EQUITY</stp>
        <stp>FREE_CASH_FLOW_EQUITY</stp>
        <stp>[XIDA.xlsm]Financials!R112C10</stp>
        <stp>EQY_FUND_RELATIVE_PERIOD</stp>
        <stp>-7FY</stp>
        <stp>EQY_FUND_CRNCY</stp>
        <stp>USD</stp>
        <stp>EQY_CONSOLIDATED</stp>
        <stp>Y</stp>
        <stp>Fill=B</stp>
        <tr r="J112" s="8"/>
      </tp>
      <tp>
        <v>8505</v>
        <stp/>
        <stp>##V3_BDPV12</stp>
        <stp>AAPL US EQUITY</stp>
        <stp>FREE_CASH_FLOW_EQUITY</stp>
        <stp>[XIDA.xlsm]Financials!R112C11</stp>
        <stp>EQY_FUND_RELATIVE_PERIOD</stp>
        <stp>-6FY</stp>
        <stp>EQY_FUND_CRNCY</stp>
        <stp>USD</stp>
        <stp>EQY_CONSOLIDATED</stp>
        <stp>Y</stp>
        <stp>Fill=B</stp>
        <tr r="K112" s="8"/>
      </tp>
      <tp>
        <v>9015</v>
        <stp/>
        <stp>##V3_BDPV12</stp>
        <stp>AAPL US EQUITY</stp>
        <stp>FREE_CASH_FLOW_EQUITY</stp>
        <stp>[XIDA.xlsm]Financials!R112C12</stp>
        <stp>EQY_FUND_RELATIVE_PERIOD</stp>
        <stp>-5FY</stp>
        <stp>EQY_FUND_CRNCY</stp>
        <stp>USD</stp>
        <stp>EQY_CONSOLIDATED</stp>
        <stp>Y</stp>
        <stp>Fill=B</stp>
        <tr r="L112" s="8"/>
      </tp>
      <tp>
        <v>16590</v>
        <stp/>
        <stp>##V3_BDPV12</stp>
        <stp>AAPL US EQUITY</stp>
        <stp>FREE_CASH_FLOW_EQUITY</stp>
        <stp>[XIDA.xlsm]Financials!R112C13</stp>
        <stp>EQY_FUND_RELATIVE_PERIOD</stp>
        <stp>-4FY</stp>
        <stp>EQY_FUND_CRNCY</stp>
        <stp>USD</stp>
        <stp>EQY_CONSOLIDATED</stp>
        <stp>Y</stp>
        <stp>Fill=B</stp>
        <tr r="M112" s="8"/>
      </tp>
      <tp>
        <v>33269</v>
        <stp/>
        <stp>##V3_BDPV12</stp>
        <stp>AAPL US EQUITY</stp>
        <stp>FREE_CASH_FLOW_EQUITY</stp>
        <stp>[XIDA.xlsm]Financials!R112C14</stp>
        <stp>EQY_FUND_RELATIVE_PERIOD</stp>
        <stp>-3FY</stp>
        <stp>EQY_FUND_CRNCY</stp>
        <stp>USD</stp>
        <stp>EQY_CONSOLIDATED</stp>
        <stp>Y</stp>
        <stp>Fill=B</stp>
        <tr r="N112" s="8"/>
      </tp>
      <tp>
        <v>42561</v>
        <stp/>
        <stp>##V3_BDPV12</stp>
        <stp>AAPL US EQUITY</stp>
        <stp>FREE_CASH_FLOW_EQUITY</stp>
        <stp>[XIDA.xlsm]Financials!R112C15</stp>
        <stp>EQY_FUND_RELATIVE_PERIOD</stp>
        <stp>-2FY</stp>
        <stp>EQY_FUND_CRNCY</stp>
        <stp>USD</stp>
        <stp>EQY_CONSOLIDATED</stp>
        <stp>Y</stp>
        <stp>Fill=B</stp>
        <tr r="O112" s="8"/>
      </tp>
      <tp>
        <v>62397</v>
        <stp/>
        <stp>##V3_BDPV12</stp>
        <stp>AAPL US EQUITY</stp>
        <stp>FREE_CASH_FLOW_EQUITY</stp>
        <stp>[XIDA.xlsm]Financials!R112C16</stp>
        <stp>EQY_FUND_RELATIVE_PERIOD</stp>
        <stp>-1FY</stp>
        <stp>EQY_FUND_CRNCY</stp>
        <stp>USD</stp>
        <stp>EQY_CONSOLIDATED</stp>
        <stp>Y</stp>
        <stp>Fill=B</stp>
        <tr r="P112" s="8"/>
      </tp>
      <tp>
        <v>68408</v>
        <stp/>
        <stp>##V3_BDPV12</stp>
        <stp>AAPL US EQUITY</stp>
        <stp>FREE_CASH_FLOW_EQUITY</stp>
        <stp>[XIDA.xlsm]Financials!R112C17</stp>
        <stp>EQY_FUND_RELATIVE_PERIOD</stp>
        <stp>-0FY</stp>
        <stp>EQY_FUND_CRNCY</stp>
        <stp>USD</stp>
        <stp>EQY_CONSOLIDATED</stp>
        <stp>Y</stp>
        <stp>Fill=B</stp>
        <tr r="Q112" s="8"/>
      </tp>
      <tp>
        <v>2.3796723592680844</v>
        <stp/>
        <stp>##V3_BDPV12</stp>
        <stp>AAPL US EQUITY</stp>
        <stp>BOOK_VAL_PER_SH</stp>
        <stp>[XIDA.xlsm]Financials!R81C10</stp>
        <stp>EQY_FUND_RELATIVE_PERIOD</stp>
        <stp>-7FY</stp>
        <stp>EQY_FUND_CRNCY</stp>
        <stp>USD</stp>
        <stp>EQY_CONSOLIDATED</stp>
        <stp>Y</stp>
        <stp>Fill=B</stp>
        <tr r="J81" s="8"/>
      </tp>
      <tp>
        <v>3.5857171928999922</v>
        <stp/>
        <stp>##V3_BDPV12</stp>
        <stp>AAPL US EQUITY</stp>
        <stp>BOOK_VAL_PER_SH</stp>
        <stp>[XIDA.xlsm]Financials!R81C11</stp>
        <stp>EQY_FUND_RELATIVE_PERIOD</stp>
        <stp>-6FY</stp>
        <stp>EQY_FUND_CRNCY</stp>
        <stp>USD</stp>
        <stp>EQY_CONSOLIDATED</stp>
        <stp>Y</stp>
        <stp>Fill=B</stp>
        <tr r="K81" s="8"/>
      </tp>
      <tp>
        <v>5.023307814855543</v>
        <stp/>
        <stp>##V3_BDPV12</stp>
        <stp>AAPL US EQUITY</stp>
        <stp>BOOK_VAL_PER_SH</stp>
        <stp>[XIDA.xlsm]Financials!R81C12</stp>
        <stp>EQY_FUND_RELATIVE_PERIOD</stp>
        <stp>-5FY</stp>
        <stp>EQY_FUND_CRNCY</stp>
        <stp>USD</stp>
        <stp>EQY_CONSOLIDATED</stp>
        <stp>Y</stp>
        <stp>Fill=B</stp>
        <tr r="L81" s="8"/>
      </tp>
      <tp>
        <v>7.4536123908043876</v>
        <stp/>
        <stp>##V3_BDPV12</stp>
        <stp>AAPL US EQUITY</stp>
        <stp>BOOK_VAL_PER_SH</stp>
        <stp>[XIDA.xlsm]Financials!R81C13</stp>
        <stp>EQY_FUND_RELATIVE_PERIOD</stp>
        <stp>-4FY</stp>
        <stp>EQY_FUND_CRNCY</stp>
        <stp>USD</stp>
        <stp>EQY_CONSOLIDATED</stp>
        <stp>Y</stp>
        <stp>Fill=B</stp>
        <tr r="M81" s="8"/>
      </tp>
      <tp>
        <v>11.777973628961009</v>
        <stp/>
        <stp>##V3_BDPV12</stp>
        <stp>AAPL US EQUITY</stp>
        <stp>BOOK_VAL_PER_SH</stp>
        <stp>[XIDA.xlsm]Financials!R81C14</stp>
        <stp>EQY_FUND_RELATIVE_PERIOD</stp>
        <stp>-3FY</stp>
        <stp>EQY_FUND_CRNCY</stp>
        <stp>USD</stp>
        <stp>EQY_CONSOLIDATED</stp>
        <stp>Y</stp>
        <stp>Fill=B</stp>
        <tr r="N81" s="8"/>
      </tp>
      <tp>
        <v>17.980194863270818</v>
        <stp/>
        <stp>##V3_BDPV12</stp>
        <stp>AAPL US EQUITY</stp>
        <stp>BOOK_VAL_PER_SH</stp>
        <stp>[XIDA.xlsm]Financials!R81C15</stp>
        <stp>EQY_FUND_RELATIVE_PERIOD</stp>
        <stp>-2FY</stp>
        <stp>EQY_FUND_CRNCY</stp>
        <stp>USD</stp>
        <stp>EQY_CONSOLIDATED</stp>
        <stp>Y</stp>
        <stp>Fill=B</stp>
        <tr r="O81" s="8"/>
      </tp>
      <tp>
        <v>19.628116078011711</v>
        <stp/>
        <stp>##V3_BDPV12</stp>
        <stp>AAPL US EQUITY</stp>
        <stp>BOOK_VAL_PER_SH</stp>
        <stp>[XIDA.xlsm]Financials!R81C16</stp>
        <stp>EQY_FUND_RELATIVE_PERIOD</stp>
        <stp>-1FY</stp>
        <stp>EQY_FUND_CRNCY</stp>
        <stp>USD</stp>
        <stp>EQY_CONSOLIDATED</stp>
        <stp>Y</stp>
        <stp>Fill=B</stp>
        <tr r="P81" s="8"/>
      </tp>
      <tp>
        <v>19.015332173801571</v>
        <stp/>
        <stp>##V3_BDPV12</stp>
        <stp>AAPL US EQUITY</stp>
        <stp>BOOK_VAL_PER_SH</stp>
        <stp>[XIDA.xlsm]Financials!R81C17</stp>
        <stp>EQY_FUND_RELATIVE_PERIOD</stp>
        <stp>-0FY</stp>
        <stp>EQY_FUND_CRNCY</stp>
        <stp>USD</stp>
        <stp>EQY_CONSOLIDATED</stp>
        <stp>Y</stp>
        <stp>Fill=B</stp>
        <tr r="Q81" s="8"/>
      </tp>
      <tp>
        <v>0</v>
        <stp/>
        <stp>##V3_BDPV12</stp>
        <stp>AAPL US EQUITY</stp>
        <stp>CF_DVD_PAID</stp>
        <stp>[XIDA.xlsm]Financials!R98C8</stp>
        <stp>EQY_FUND_RELATIVE_PERIOD</stp>
        <stp>-9FY</stp>
        <stp>EQY_FUND_CRNCY</stp>
        <stp>USD</stp>
        <stp>EQY_CONSOLIDATED</stp>
        <stp>Y</stp>
        <stp>Fill=B</stp>
        <tr r="H98" s="8"/>
      </tp>
      <tp>
        <v>0</v>
        <stp/>
        <stp>##V3_BDPV12</stp>
        <stp>AAPL US EQUITY</stp>
        <stp>CF_DVD_PAID</stp>
        <stp>[XIDA.xlsm]Financials!R98C9</stp>
        <stp>EQY_FUND_RELATIVE_PERIOD</stp>
        <stp>-8FY</stp>
        <stp>EQY_FUND_CRNCY</stp>
        <stp>USD</stp>
        <stp>EQY_CONSOLIDATED</stp>
        <stp>Y</stp>
        <stp>Fill=B</stp>
        <tr r="I98" s="8"/>
      </tp>
      <tp>
        <v>0.46443955483048038</v>
        <stp/>
        <stp>##V3_BDPV12</stp>
        <stp>HPQ US EQUITY</stp>
        <stp>BEST_PX_SALES_RATIO</stp>
        <stp>[XIDA.xlsm]DataH!R27C12</stp>
        <stp>BEST_FPERIOD_OVERRIDE</stp>
        <stp>15BC</stp>
        <stp>EQY_CONSOLIDATED</stp>
        <stp>Y</stp>
        <tr r="L27" s="16"/>
      </tp>
      <tp>
        <v>440</v>
        <stp/>
        <stp>##V3_BDPV12</stp>
        <stp>AAPL US EQUITY</stp>
        <stp>CF_OTHER_NON_CASH_ADJUST</stp>
        <stp>[XIDA.xlsm]Financials!R87C7</stp>
        <stp>EQY_FUND_RELATIVE_PERIOD</stp>
        <stp>-10FY</stp>
        <stp>EQY_FUND_CRNCY</stp>
        <stp>USD</stp>
        <stp>EQY_CONSOLIDATED</stp>
        <stp>Y</stp>
        <stp>Fill=B</stp>
        <tr r="G87" s="8"/>
      </tp>
      <tp>
        <v>39367.071900000003</v>
        <stp/>
        <stp>##V3_BDHV12</stp>
        <stp>ERICB SS EQUITY</stp>
        <stp>CUR_MKT_CAP</stp>
        <stp>1/1/2015</stp>
        <stp>4/13/2015</stp>
        <stp>[XIDA.xlsm]MarketCapH!R4C8</stp>
        <stp>Dts=H</stp>
        <stp>FX=USD</stp>
        <stp>CDR=US</stp>
        <stp/>
        <stp>PER=CD</stp>
        <stp>cols=1;rows=69</stp>
        <tr r="H4" s="7"/>
      </tp>
      <tp>
        <v>38.805</v>
        <stp/>
        <stp>##V3_BDPV12</stp>
        <stp>AAPL US EQUITY</stp>
        <stp>BEST_ROE</stp>
        <stp>[XIDA.xlsm]Overview!R47C9</stp>
        <stp>BEST_FPERIOD_OVERRIDE</stp>
        <stp>1FY</stp>
        <stp>BEST_CONSOLIDATED_OVERRIDE</stp>
        <stp>C</stp>
        <stp>Fill=-</stp>
        <tr r="I47" s="3"/>
      </tp>
      <tp>
        <v>20.016000000000002</v>
        <stp/>
        <stp>##V3_BDPV12</stp>
        <stp>AAPL US EQUITY</stp>
        <stp>BEST_ROA</stp>
        <stp>[XIDA.xlsm]Overview!R46C9</stp>
        <stp>BEST_FPERIOD_OVERRIDE</stp>
        <stp>1FY</stp>
        <stp>BEST_CONSOLIDATED_OVERRIDE</stp>
        <stp>C</stp>
        <stp>Fill=-</stp>
        <tr r="I46" s="3"/>
      </tp>
      <tp>
        <v>0.46926800233135363</v>
        <stp/>
        <stp>##V3_BDPV12</stp>
        <stp>HPQ US EQUITY</stp>
        <stp>BEST_PX_SALES_RATIO</stp>
        <stp>[XIDA.xlsm]DataH!R27C13</stp>
        <stp>BEST_FPERIOD_OVERRIDE</stp>
        <stp>16BC</stp>
        <stp>EQY_CONSOLIDATED</stp>
        <stp>Y</stp>
        <tr r="M27" s="16"/>
      </tp>
      <tp>
        <v>-176</v>
        <stp/>
        <stp>##V3_BDPV12</stp>
        <stp>AAPL US EQUITY</stp>
        <stp>CF_CAP_EXPEND_PRPTY_ADD</stp>
        <stp>[XIDA.xlsm]Financials!R92C7</stp>
        <stp>EQY_FUND_RELATIVE_PERIOD</stp>
        <stp>-10FY</stp>
        <stp>EQY_FUND_CRNCY</stp>
        <stp>USD</stp>
        <stp>EQY_CONSOLIDATED</stp>
        <stp>Y</stp>
        <stp>Fill=B</stp>
        <tr r="G92" s="8"/>
      </tp>
      <tp t="e">
        <v>#N/A</v>
        <stp/>
        <stp>##V3_BDPV12</stp>
        <stp xml:space="preserve"> EQUITY</stp>
        <stp>BEST_PX_SALES_RATIO</stp>
        <stp>[XIDA.xlsm]DataH!R46C8</stp>
        <stp>BEST_FPERIOD_OVERRIDE</stp>
        <stp>11BC</stp>
        <stp>EQY_CONSOLIDATED</stp>
        <stp>Y</stp>
        <tr r="H46" s="16"/>
      </tp>
      <tp t="e">
        <v>#N/A</v>
        <stp/>
        <stp>##V3_BDPV12</stp>
        <stp xml:space="preserve"> EQUITY</stp>
        <stp>BEST_PX_SALES_RATIO</stp>
        <stp>[XIDA.xlsm]DataH!R47C8</stp>
        <stp>BEST_FPERIOD_OVERRIDE</stp>
        <stp>11BC</stp>
        <stp>EQY_CONSOLIDATED</stp>
        <stp>Y</stp>
        <tr r="H47" s="16"/>
      </tp>
      <tp t="e">
        <v>#N/A</v>
        <stp/>
        <stp>##V3_BDPV12</stp>
        <stp xml:space="preserve"> EQUITY</stp>
        <stp>BEST_PX_SALES_RATIO</stp>
        <stp>[XIDA.xlsm]DataH!R44C8</stp>
        <stp>BEST_FPERIOD_OVERRIDE</stp>
        <stp>11BC</stp>
        <stp>EQY_CONSOLIDATED</stp>
        <stp>Y</stp>
        <tr r="H44" s="16"/>
      </tp>
      <tp t="e">
        <v>#N/A</v>
        <stp/>
        <stp>##V3_BDPV12</stp>
        <stp xml:space="preserve"> EQUITY</stp>
        <stp>BEST_PX_SALES_RATIO</stp>
        <stp>[XIDA.xlsm]DataH!R45C8</stp>
        <stp>BEST_FPERIOD_OVERRIDE</stp>
        <stp>11BC</stp>
        <stp>EQY_CONSOLIDATED</stp>
        <stp>Y</stp>
        <tr r="H45" s="16"/>
      </tp>
      <tp t="e">
        <v>#N/A</v>
        <stp/>
        <stp>##V3_BDPV12</stp>
        <stp xml:space="preserve"> EQUITY</stp>
        <stp>BEST_PX_SALES_RATIO</stp>
        <stp>[XIDA.xlsm]DataH!R42C8</stp>
        <stp>BEST_FPERIOD_OVERRIDE</stp>
        <stp>11BC</stp>
        <stp>EQY_CONSOLIDATED</stp>
        <stp>Y</stp>
        <tr r="H42" s="16"/>
      </tp>
      <tp t="e">
        <v>#N/A</v>
        <stp/>
        <stp>##V3_BDPV12</stp>
        <stp xml:space="preserve"> EQUITY</stp>
        <stp>BEST_PX_SALES_RATIO</stp>
        <stp>[XIDA.xlsm]DataH!R43C8</stp>
        <stp>BEST_FPERIOD_OVERRIDE</stp>
        <stp>11BC</stp>
        <stp>EQY_CONSOLIDATED</stp>
        <stp>Y</stp>
        <tr r="H43" s="16"/>
      </tp>
      <tp t="e">
        <v>#N/A</v>
        <stp/>
        <stp>##V3_BDPV12</stp>
        <stp xml:space="preserve"> EQUITY</stp>
        <stp>BEST_PX_SALES_RATIO</stp>
        <stp>[XIDA.xlsm]DataH!R40C8</stp>
        <stp>BEST_FPERIOD_OVERRIDE</stp>
        <stp>11BC</stp>
        <stp>EQY_CONSOLIDATED</stp>
        <stp>Y</stp>
        <tr r="H40" s="16"/>
      </tp>
      <tp t="e">
        <v>#N/A</v>
        <stp/>
        <stp>##V3_BDPV12</stp>
        <stp xml:space="preserve"> EQUITY</stp>
        <stp>BEST_PX_SALES_RATIO</stp>
        <stp>[XIDA.xlsm]DataH!R41C8</stp>
        <stp>BEST_FPERIOD_OVERRIDE</stp>
        <stp>11BC</stp>
        <stp>EQY_CONSOLIDATED</stp>
        <stp>Y</stp>
        <tr r="H41" s="16"/>
      </tp>
      <tp t="e">
        <v>#N/A</v>
        <stp/>
        <stp>##V3_BDPV12</stp>
        <stp xml:space="preserve"> EQUITY</stp>
        <stp>BEST_PX_SALES_RATIO</stp>
        <stp>[XIDA.xlsm]DataH!R48C8</stp>
        <stp>BEST_FPERIOD_OVERRIDE</stp>
        <stp>11BC</stp>
        <stp>EQY_CONSOLIDATED</stp>
        <stp>Y</stp>
        <tr r="H48" s="16"/>
      </tp>
      <tp t="e">
        <v>#N/A</v>
        <stp/>
        <stp>##V3_BDPV12</stp>
        <stp xml:space="preserve"> EQUITY</stp>
        <stp>BEST_PX_SALES_RATIO</stp>
        <stp>[XIDA.xlsm]DataH!R49C8</stp>
        <stp>BEST_FPERIOD_OVERRIDE</stp>
        <stp>11BC</stp>
        <stp>EQY_CONSOLIDATED</stp>
        <stp>Y</stp>
        <tr r="H49" s="16"/>
      </tp>
      <tp t="e">
        <v>#N/A</v>
        <stp/>
        <stp>##V3_BDPV12</stp>
        <stp xml:space="preserve"> EQUITY</stp>
        <stp>BEST_PX_SALES_RATIO</stp>
        <stp>[XIDA.xlsm]DataH!R52C8</stp>
        <stp>BEST_FPERIOD_OVERRIDE</stp>
        <stp>11BC</stp>
        <stp>EQY_CONSOLIDATED</stp>
        <stp>Y</stp>
        <tr r="H52" s="16"/>
      </tp>
      <tp t="e">
        <v>#N/A</v>
        <stp/>
        <stp>##V3_BDPV12</stp>
        <stp xml:space="preserve"> EQUITY</stp>
        <stp>BEST_PX_SALES_RATIO</stp>
        <stp>[XIDA.xlsm]DataH!R50C8</stp>
        <stp>BEST_FPERIOD_OVERRIDE</stp>
        <stp>11BC</stp>
        <stp>EQY_CONSOLIDATED</stp>
        <stp>Y</stp>
        <tr r="H50" s="16"/>
      </tp>
      <tp t="e">
        <v>#N/A</v>
        <stp/>
        <stp>##V3_BDPV12</stp>
        <stp xml:space="preserve"> EQUITY</stp>
        <stp>BEST_PX_SALES_RATIO</stp>
        <stp>[XIDA.xlsm]DataH!R51C8</stp>
        <stp>BEST_FPERIOD_OVERRIDE</stp>
        <stp>11BC</stp>
        <stp>EQY_CONSOLIDATED</stp>
        <stp>Y</stp>
        <tr r="H51" s="16"/>
      </tp>
      <tp>
        <v>30.183779464642431</v>
        <stp/>
        <stp>##V3_BDPV12</stp>
        <stp>AAPL US EQUITY</stp>
        <stp>EFF_TAX_RATE</stp>
        <stp>[XIDA.xlsm]Financials!R146C10</stp>
        <stp>EQY_FUND_RELATIVE_PERIOD</stp>
        <stp>-7FY</stp>
        <stp>EQY_FUND_CRNCY</stp>
        <stp>USD</stp>
        <stp>EQY_CONSOLIDATED</stp>
        <stp>Y</stp>
        <stp>Fill=0</stp>
        <tr r="J146" s="8"/>
      </tp>
      <tp>
        <v>31.608360344249469</v>
        <stp/>
        <stp>##V3_BDPV12</stp>
        <stp>AAPL US EQUITY</stp>
        <stp>EFF_TAX_RATE</stp>
        <stp>[XIDA.xlsm]Financials!R146C11</stp>
        <stp>EQY_FUND_RELATIVE_PERIOD</stp>
        <stp>-6FY</stp>
        <stp>EQY_FUND_CRNCY</stp>
        <stp>USD</stp>
        <stp>EQY_CONSOLIDATED</stp>
        <stp>Y</stp>
        <stp>Fill=0</stp>
        <tr r="K146" s="8"/>
      </tp>
      <tp>
        <v>31.750372948781703</v>
        <stp/>
        <stp>##V3_BDPV12</stp>
        <stp>AAPL US EQUITY</stp>
        <stp>EFF_TAX_RATE</stp>
        <stp>[XIDA.xlsm]Financials!R146C12</stp>
        <stp>EQY_FUND_RELATIVE_PERIOD</stp>
        <stp>-5FY</stp>
        <stp>EQY_FUND_CRNCY</stp>
        <stp>USD</stp>
        <stp>EQY_CONSOLIDATED</stp>
        <stp>Y</stp>
        <stp>Fill=0</stp>
        <tr r="L146" s="8"/>
      </tp>
      <tp>
        <v>24.417475728155342</v>
        <stp/>
        <stp>##V3_BDPV12</stp>
        <stp>AAPL US EQUITY</stp>
        <stp>EFF_TAX_RATE</stp>
        <stp>[XIDA.xlsm]Financials!R146C13</stp>
        <stp>EQY_FUND_RELATIVE_PERIOD</stp>
        <stp>-4FY</stp>
        <stp>EQY_FUND_CRNCY</stp>
        <stp>USD</stp>
        <stp>EQY_CONSOLIDATED</stp>
        <stp>Y</stp>
        <stp>Fill=0</stp>
        <tr r="M146" s="8"/>
      </tp>
      <tp>
        <v>24.215757930127175</v>
        <stp/>
        <stp>##V3_BDPV12</stp>
        <stp>AAPL US EQUITY</stp>
        <stp>EFF_TAX_RATE</stp>
        <stp>[XIDA.xlsm]Financials!R146C14</stp>
        <stp>EQY_FUND_RELATIVE_PERIOD</stp>
        <stp>-3FY</stp>
        <stp>EQY_FUND_CRNCY</stp>
        <stp>USD</stp>
        <stp>EQY_CONSOLIDATED</stp>
        <stp>Y</stp>
        <stp>Fill=0</stp>
        <tr r="N146" s="8"/>
      </tp>
      <tp>
        <v>25.160052364471063</v>
        <stp/>
        <stp>##V3_BDPV12</stp>
        <stp>AAPL US EQUITY</stp>
        <stp>EFF_TAX_RATE</stp>
        <stp>[XIDA.xlsm]Financials!R146C15</stp>
        <stp>EQY_FUND_RELATIVE_PERIOD</stp>
        <stp>-2FY</stp>
        <stp>EQY_FUND_CRNCY</stp>
        <stp>USD</stp>
        <stp>EQY_CONSOLIDATED</stp>
        <stp>Y</stp>
        <stp>Fill=0</stp>
        <tr r="O146" s="8"/>
      </tp>
      <tp>
        <v>26.154919748778788</v>
        <stp/>
        <stp>##V3_BDPV12</stp>
        <stp>AAPL US EQUITY</stp>
        <stp>EFF_TAX_RATE</stp>
        <stp>[XIDA.xlsm]Financials!R146C16</stp>
        <stp>EQY_FUND_RELATIVE_PERIOD</stp>
        <stp>-1FY</stp>
        <stp>EQY_FUND_CRNCY</stp>
        <stp>USD</stp>
        <stp>EQY_CONSOLIDATED</stp>
        <stp>Y</stp>
        <stp>Fill=0</stp>
        <tr r="P146" s="8"/>
      </tp>
      <tp>
        <v>26.126058747639437</v>
        <stp/>
        <stp>##V3_BDPV12</stp>
        <stp>AAPL US EQUITY</stp>
        <stp>EFF_TAX_RATE</stp>
        <stp>[XIDA.xlsm]Financials!R146C17</stp>
        <stp>EQY_FUND_RELATIVE_PERIOD</stp>
        <stp>-0FY</stp>
        <stp>EQY_FUND_CRNCY</stp>
        <stp>USD</stp>
        <stp>EQY_CONSOLIDATED</stp>
        <stp>Y</stp>
        <stp>Fill=0</stp>
        <tr r="Q146" s="8"/>
      </tp>
      <tp t="e">
        <v>#N/A</v>
        <stp/>
        <stp>##V3_BDPV12</stp>
        <stp xml:space="preserve"> EQUITY</stp>
        <stp>BEST_PX_SALES_RATIO</stp>
        <stp>[XIDA.xlsm]DataH!R36C8</stp>
        <stp>BEST_FPERIOD_OVERRIDE</stp>
        <stp>11BC</stp>
        <stp>EQY_CONSOLIDATED</stp>
        <stp>Y</stp>
        <tr r="H36" s="16"/>
      </tp>
      <tp t="e">
        <v>#N/A</v>
        <stp/>
        <stp>##V3_BDPV12</stp>
        <stp xml:space="preserve"> EQUITY</stp>
        <stp>BEST_PX_SALES_RATIO</stp>
        <stp>[XIDA.xlsm]DataH!R37C8</stp>
        <stp>BEST_FPERIOD_OVERRIDE</stp>
        <stp>11BC</stp>
        <stp>EQY_CONSOLIDATED</stp>
        <stp>Y</stp>
        <tr r="H37" s="16"/>
      </tp>
      <tp t="e">
        <v>#N/A</v>
        <stp/>
        <stp>##V3_BDPV12</stp>
        <stp xml:space="preserve"> EQUITY</stp>
        <stp>BEST_PX_SALES_RATIO</stp>
        <stp>[XIDA.xlsm]DataH!R34C8</stp>
        <stp>BEST_FPERIOD_OVERRIDE</stp>
        <stp>11BC</stp>
        <stp>EQY_CONSOLIDATED</stp>
        <stp>Y</stp>
        <tr r="H34" s="16"/>
      </tp>
      <tp t="e">
        <v>#N/A</v>
        <stp/>
        <stp>##V3_BDPV12</stp>
        <stp xml:space="preserve"> EQUITY</stp>
        <stp>BEST_PX_SALES_RATIO</stp>
        <stp>[XIDA.xlsm]DataH!R35C8</stp>
        <stp>BEST_FPERIOD_OVERRIDE</stp>
        <stp>11BC</stp>
        <stp>EQY_CONSOLIDATED</stp>
        <stp>Y</stp>
        <tr r="H35" s="16"/>
      </tp>
      <tp t="e">
        <v>#N/A</v>
        <stp/>
        <stp>##V3_BDPV12</stp>
        <stp xml:space="preserve"> EQUITY</stp>
        <stp>BEST_PX_SALES_RATIO</stp>
        <stp>[XIDA.xlsm]DataH!R32C8</stp>
        <stp>BEST_FPERIOD_OVERRIDE</stp>
        <stp>11BC</stp>
        <stp>EQY_CONSOLIDATED</stp>
        <stp>Y</stp>
        <tr r="H32" s="16"/>
      </tp>
      <tp t="e">
        <v>#N/A</v>
        <stp/>
        <stp>##V3_BDPV12</stp>
        <stp xml:space="preserve"> EQUITY</stp>
        <stp>BEST_PX_SALES_RATIO</stp>
        <stp>[XIDA.xlsm]DataH!R33C8</stp>
        <stp>BEST_FPERIOD_OVERRIDE</stp>
        <stp>11BC</stp>
        <stp>EQY_CONSOLIDATED</stp>
        <stp>Y</stp>
        <tr r="H33" s="16"/>
      </tp>
      <tp t="e">
        <v>#N/A</v>
        <stp/>
        <stp>##V3_BDPV12</stp>
        <stp xml:space="preserve"> EQUITY</stp>
        <stp>BEST_PX_SALES_RATIO</stp>
        <stp>[XIDA.xlsm]DataH!R31C8</stp>
        <stp>BEST_FPERIOD_OVERRIDE</stp>
        <stp>11BC</stp>
        <stp>EQY_CONSOLIDATED</stp>
        <stp>Y</stp>
        <tr r="H31" s="16"/>
      </tp>
      <tp t="e">
        <v>#N/A</v>
        <stp/>
        <stp>##V3_BDPV12</stp>
        <stp xml:space="preserve"> EQUITY</stp>
        <stp>BEST_PX_SALES_RATIO</stp>
        <stp>[XIDA.xlsm]DataH!R38C8</stp>
        <stp>BEST_FPERIOD_OVERRIDE</stp>
        <stp>11BC</stp>
        <stp>EQY_CONSOLIDATED</stp>
        <stp>Y</stp>
        <tr r="H38" s="16"/>
      </tp>
      <tp t="e">
        <v>#N/A</v>
        <stp/>
        <stp>##V3_BDPV12</stp>
        <stp xml:space="preserve"> EQUITY</stp>
        <stp>BEST_PX_SALES_RATIO</stp>
        <stp>[XIDA.xlsm]DataH!R39C8</stp>
        <stp>BEST_FPERIOD_OVERRIDE</stp>
        <stp>11BC</stp>
        <stp>EQY_CONSOLIDATED</stp>
        <stp>Y</stp>
        <tr r="H39" s="16"/>
      </tp>
      <tp t="s">
        <v>USD</v>
        <stp/>
        <stp>##V3_BDPV12</stp>
        <stp>AAPL US EQUITY</stp>
        <stp>EQY_FUND_CRNCY</stp>
        <stp>[XIDA.xlsm]DataH!R3C22</stp>
        <tr r="V3" s="16"/>
      </tp>
      <tp t="s">
        <v>USD</v>
        <stp/>
        <stp>##V3_BDPV12</stp>
        <stp>AAPL US EQUITY</stp>
        <stp>EQY_FUND_CRNCY</stp>
        <stp>[XIDA.xlsm]DataH!R3C27</stp>
        <tr r="AA3" s="16"/>
      </tp>
      <tp t="s">
        <v>#N/A Requesting Data...</v>
        <stp/>
        <stp>##V3_BDSV12</stp>
        <stp>AAPL US EQUITY</stp>
        <stp>BEST_EPS_GAAP_BRK_GRID</stp>
        <stp>[XIDA.xlsm]DataH!R8C55</stp>
        <stp>BEST_FPERIOD_OVERRIDE</stp>
        <stp>3FQ</stp>
        <stp>STARTCOL=4</stp>
        <stp>ENDCOL=4</stp>
        <stp>EQY_FUND_CRNCY</stp>
        <stp>USD</stp>
        <stp>BEST_CONSOLIDATED_OVERRIDE</stp>
        <stp>C</stp>
        <tr r="BC8" s="16"/>
      </tp>
      <tp t="s">
        <v>LG ELECTRONICS INC</v>
        <stp/>
        <stp>##V3_BDPV12</stp>
        <stp>066570 KS EQUITY</stp>
        <stp>NAME</stp>
        <stp>[XIDA.xlsm]Indices!R6C35</stp>
        <tr r="AI6" s="5"/>
      </tp>
      <tp t="s">
        <v>#N/A Requesting Data...</v>
        <stp/>
        <stp>##V3_BDSV12</stp>
        <stp>AAPL US EQUITY</stp>
        <stp>BEST_CAPEX_BROKER_GRID</stp>
        <stp>[XIDA.xlsm]DataH!R8C76</stp>
        <stp>BEST_FPERIOD_OVERRIDE</stp>
        <stp>1FQ</stp>
        <stp>STARTCOL=1</stp>
        <stp>ENDCOL=1</stp>
        <stp>EQY_FUND_CRNCY</stp>
        <stp>USD</stp>
        <stp>BEST_CONSOLIDATED_OVERRIDE</stp>
        <stp>C</stp>
        <tr r="BX8" s="16"/>
      </tp>
      <tp>
        <v>0</v>
        <stp/>
        <stp>##V3_BDPV12</stp>
        <stp>AAPL US EQUITY</stp>
        <stp>DVD_PAYOUT_RATIO</stp>
        <stp>[XIDA.xlsm]Financials!R38C10</stp>
        <stp>EQY_FUND_RELATIVE_PERIOD</stp>
        <stp>-7FY</stp>
        <stp>EQY_FUND_CRNCY</stp>
        <stp>USD</stp>
        <stp>EQY_CONSOLIDATED</stp>
        <stp>Y</stp>
        <stp>Fill=B</stp>
        <tr r="J38" s="8"/>
      </tp>
      <tp>
        <v>0</v>
        <stp/>
        <stp>##V3_BDPV12</stp>
        <stp>AAPL US EQUITY</stp>
        <stp>DVD_PAYOUT_RATIO</stp>
        <stp>[XIDA.xlsm]Financials!R38C11</stp>
        <stp>EQY_FUND_RELATIVE_PERIOD</stp>
        <stp>-6FY</stp>
        <stp>EQY_FUND_CRNCY</stp>
        <stp>USD</stp>
        <stp>EQY_CONSOLIDATED</stp>
        <stp>Y</stp>
        <stp>Fill=B</stp>
        <tr r="K38" s="8"/>
      </tp>
      <tp>
        <v>0</v>
        <stp/>
        <stp>##V3_BDPV12</stp>
        <stp>AAPL US EQUITY</stp>
        <stp>DVD_PAYOUT_RATIO</stp>
        <stp>[XIDA.xlsm]Financials!R38C12</stp>
        <stp>EQY_FUND_RELATIVE_PERIOD</stp>
        <stp>-5FY</stp>
        <stp>EQY_FUND_CRNCY</stp>
        <stp>USD</stp>
        <stp>EQY_CONSOLIDATED</stp>
        <stp>Y</stp>
        <stp>Fill=B</stp>
        <tr r="L38" s="8"/>
      </tp>
      <tp>
        <v>0</v>
        <stp/>
        <stp>##V3_BDPV12</stp>
        <stp>AAPL US EQUITY</stp>
        <stp>DVD_PAYOUT_RATIO</stp>
        <stp>[XIDA.xlsm]Financials!R38C13</stp>
        <stp>EQY_FUND_RELATIVE_PERIOD</stp>
        <stp>-4FY</stp>
        <stp>EQY_FUND_CRNCY</stp>
        <stp>USD</stp>
        <stp>EQY_CONSOLIDATED</stp>
        <stp>Y</stp>
        <stp>Fill=B</stp>
        <tr r="M38" s="8"/>
      </tp>
      <tp>
        <v>0</v>
        <stp/>
        <stp>##V3_BDPV12</stp>
        <stp>AAPL US EQUITY</stp>
        <stp>DVD_PAYOUT_RATIO</stp>
        <stp>[XIDA.xlsm]Financials!R38C14</stp>
        <stp>EQY_FUND_RELATIVE_PERIOD</stp>
        <stp>-3FY</stp>
        <stp>EQY_FUND_CRNCY</stp>
        <stp>USD</stp>
        <stp>EQY_CONSOLIDATED</stp>
        <stp>Y</stp>
        <stp>Fill=B</stp>
        <tr r="N38" s="8"/>
      </tp>
      <tp>
        <v>5.9359923801308314</v>
        <stp/>
        <stp>##V3_BDPV12</stp>
        <stp>AAPL US EQUITY</stp>
        <stp>DVD_PAYOUT_RATIO</stp>
        <stp>[XIDA.xlsm]Financials!R38C15</stp>
        <stp>EQY_FUND_RELATIVE_PERIOD</stp>
        <stp>-2FY</stp>
        <stp>EQY_FUND_CRNCY</stp>
        <stp>USD</stp>
        <stp>EQY_CONSOLIDATED</stp>
        <stp>Y</stp>
        <stp>Fill=B</stp>
        <tr r="O38" s="8"/>
      </tp>
      <tp>
        <v>28.481716661716661</v>
        <stp/>
        <stp>##V3_BDPV12</stp>
        <stp>AAPL US EQUITY</stp>
        <stp>DVD_PAYOUT_RATIO</stp>
        <stp>[XIDA.xlsm]Financials!R38C16</stp>
        <stp>EQY_FUND_RELATIVE_PERIOD</stp>
        <stp>-1FY</stp>
        <stp>EQY_FUND_CRNCY</stp>
        <stp>USD</stp>
        <stp>EQY_CONSOLIDATED</stp>
        <stp>Y</stp>
        <stp>Fill=B</stp>
        <tr r="P38" s="8"/>
      </tp>
      <tp>
        <v>27.919514047076689</v>
        <stp/>
        <stp>##V3_BDPV12</stp>
        <stp>AAPL US EQUITY</stp>
        <stp>DVD_PAYOUT_RATIO</stp>
        <stp>[XIDA.xlsm]Financials!R38C17</stp>
        <stp>EQY_FUND_RELATIVE_PERIOD</stp>
        <stp>-0FY</stp>
        <stp>EQY_FUND_CRNCY</stp>
        <stp>USD</stp>
        <stp>EQY_CONSOLIDATED</stp>
        <stp>Y</stp>
        <stp>Fill=B</stp>
        <tr r="Q38" s="8"/>
      </tp>
      <tp>
        <v>42240</v>
        <stp/>
        <stp>##V3_BTODAY</stp>
        <stp>[XIDA.xlsm]ControlsH!R20C7</stp>
        <tr r="G20" s="2"/>
      </tp>
      <tp>
        <v>0</v>
        <stp/>
        <stp>##V3_BDPV12</stp>
        <stp>AAPL US EQUITY</stp>
        <stp>MINORITY_NONCONTROLLING_INTEREST</stp>
        <stp>[XIDA.xlsm]Financials!R73C7</stp>
        <stp>EQY_FUND_RELATIVE_PERIOD</stp>
        <stp>-10FY</stp>
        <stp>EQY_FUND_CRNCY</stp>
        <stp>USD</stp>
        <stp>EQY_CONSOLIDATED</stp>
        <stp>Y</stp>
        <stp>Fill=B</stp>
        <tr r="G73" s="8"/>
      </tp>
      <tp>
        <v>0.47915119761208719</v>
        <stp/>
        <stp>##V3_BDPV12</stp>
        <stp>HPQ US EQUITY</stp>
        <stp>BEST_PX_SALES_RATIO</stp>
        <stp>[XIDA.xlsm]DataH!R27C14</stp>
        <stp>BEST_FPERIOD_OVERRIDE</stp>
        <stp>17BC</stp>
        <stp>EQY_CONSOLIDATED</stp>
        <stp>Y</stp>
        <tr r="N27" s="16"/>
      </tp>
      <tp>
        <v>33.167873708194321</v>
        <stp/>
        <stp>##V3_BDPV12</stp>
        <stp>AAPL US EQUITY</stp>
        <stp>GROSS_MARGIN</stp>
        <stp>[XIDA.xlsm]Financials!R126C10</stp>
        <stp>EQY_FUND_RELATIVE_PERIOD</stp>
        <stp>-7FY</stp>
        <stp>EQY_FUND_CRNCY</stp>
        <stp>USD</stp>
        <stp>EQY_CONSOLIDATED</stp>
        <stp>Y</stp>
        <stp>Fill=0</stp>
        <tr r="J126" s="8"/>
      </tp>
      <tp>
        <v>35.20044810754581</v>
        <stp/>
        <stp>##V3_BDPV12</stp>
        <stp>AAPL US EQUITY</stp>
        <stp>GROSS_MARGIN</stp>
        <stp>[XIDA.xlsm]Financials!R126C11</stp>
        <stp>EQY_FUND_RELATIVE_PERIOD</stp>
        <stp>-6FY</stp>
        <stp>EQY_FUND_CRNCY</stp>
        <stp>USD</stp>
        <stp>EQY_CONSOLIDATED</stp>
        <stp>Y</stp>
        <stp>Fill=0</stp>
        <tr r="K126" s="8"/>
      </tp>
      <tp>
        <v>40.139843841044168</v>
        <stp/>
        <stp>##V3_BDPV12</stp>
        <stp>AAPL US EQUITY</stp>
        <stp>GROSS_MARGIN</stp>
        <stp>[XIDA.xlsm]Financials!R126C12</stp>
        <stp>EQY_FUND_RELATIVE_PERIOD</stp>
        <stp>-5FY</stp>
        <stp>EQY_FUND_CRNCY</stp>
        <stp>USD</stp>
        <stp>EQY_CONSOLIDATED</stp>
        <stp>Y</stp>
        <stp>Fill=0</stp>
        <tr r="L126" s="8"/>
      </tp>
      <tp>
        <v>39.377539287083174</v>
        <stp/>
        <stp>##V3_BDPV12</stp>
        <stp>AAPL US EQUITY</stp>
        <stp>GROSS_MARGIN</stp>
        <stp>[XIDA.xlsm]Financials!R126C13</stp>
        <stp>EQY_FUND_RELATIVE_PERIOD</stp>
        <stp>-4FY</stp>
        <stp>EQY_FUND_CRNCY</stp>
        <stp>USD</stp>
        <stp>EQY_CONSOLIDATED</stp>
        <stp>Y</stp>
        <stp>Fill=0</stp>
        <tr r="M126" s="8"/>
      </tp>
      <tp>
        <v>40.478895878945764</v>
        <stp/>
        <stp>##V3_BDPV12</stp>
        <stp>AAPL US EQUITY</stp>
        <stp>GROSS_MARGIN</stp>
        <stp>[XIDA.xlsm]Financials!R126C14</stp>
        <stp>EQY_FUND_RELATIVE_PERIOD</stp>
        <stp>-3FY</stp>
        <stp>EQY_FUND_CRNCY</stp>
        <stp>USD</stp>
        <stp>EQY_CONSOLIDATED</stp>
        <stp>Y</stp>
        <stp>Fill=0</stp>
        <tr r="N126" s="8"/>
      </tp>
      <tp>
        <v>43.871239808827667</v>
        <stp/>
        <stp>##V3_BDPV12</stp>
        <stp>AAPL US EQUITY</stp>
        <stp>GROSS_MARGIN</stp>
        <stp>[XIDA.xlsm]Financials!R126C15</stp>
        <stp>EQY_FUND_RELATIVE_PERIOD</stp>
        <stp>-2FY</stp>
        <stp>EQY_FUND_CRNCY</stp>
        <stp>USD</stp>
        <stp>EQY_CONSOLIDATED</stp>
        <stp>Y</stp>
        <stp>Fill=0</stp>
        <tr r="O126" s="8"/>
      </tp>
      <tp>
        <v>37.624480720847231</v>
        <stp/>
        <stp>##V3_BDPV12</stp>
        <stp>AAPL US EQUITY</stp>
        <stp>GROSS_MARGIN</stp>
        <stp>[XIDA.xlsm]Financials!R126C16</stp>
        <stp>EQY_FUND_RELATIVE_PERIOD</stp>
        <stp>-1FY</stp>
        <stp>EQY_FUND_CRNCY</stp>
        <stp>USD</stp>
        <stp>EQY_CONSOLIDATED</stp>
        <stp>Y</stp>
        <stp>Fill=0</stp>
        <tr r="P126" s="8"/>
      </tp>
      <tp>
        <v>38.588035777783858</v>
        <stp/>
        <stp>##V3_BDPV12</stp>
        <stp>AAPL US EQUITY</stp>
        <stp>GROSS_MARGIN</stp>
        <stp>[XIDA.xlsm]Financials!R126C17</stp>
        <stp>EQY_FUND_RELATIVE_PERIOD</stp>
        <stp>-0FY</stp>
        <stp>EQY_FUND_CRNCY</stp>
        <stp>USD</stp>
        <stp>EQY_CONSOLIDATED</stp>
        <stp>Y</stp>
        <stp>Fill=0</stp>
        <tr r="Q126" s="8"/>
      </tp>
      <tp t="e">
        <v>#N/A</v>
        <stp/>
        <stp>##V3_BDPV12</stp>
        <stp xml:space="preserve"> EQUITY</stp>
        <stp>BEST_PX_SALES_RATIO</stp>
        <stp>[XIDA.xlsm]DataH!R52C9</stp>
        <stp>BEST_FPERIOD_OVERRIDE</stp>
        <stp>12BC</stp>
        <stp>EQY_CONSOLIDATED</stp>
        <stp>Y</stp>
        <tr r="I52" s="16"/>
      </tp>
      <tp t="e">
        <v>#N/A</v>
        <stp/>
        <stp>##V3_BDPV12</stp>
        <stp xml:space="preserve"> EQUITY</stp>
        <stp>BEST_PX_SALES_RATIO</stp>
        <stp>[XIDA.xlsm]DataH!R50C9</stp>
        <stp>BEST_FPERIOD_OVERRIDE</stp>
        <stp>12BC</stp>
        <stp>EQY_CONSOLIDATED</stp>
        <stp>Y</stp>
        <tr r="I50" s="16"/>
      </tp>
      <tp t="e">
        <v>#N/A</v>
        <stp/>
        <stp>##V3_BDPV12</stp>
        <stp xml:space="preserve"> EQUITY</stp>
        <stp>BEST_PX_SALES_RATIO</stp>
        <stp>[XIDA.xlsm]DataH!R51C9</stp>
        <stp>BEST_FPERIOD_OVERRIDE</stp>
        <stp>12BC</stp>
        <stp>EQY_CONSOLIDATED</stp>
        <stp>Y</stp>
        <tr r="I51" s="16"/>
      </tp>
      <tp t="e">
        <v>#N/A</v>
        <stp/>
        <stp>##V3_BDPV12</stp>
        <stp xml:space="preserve"> EQUITY</stp>
        <stp>BEST_PX_SALES_RATIO</stp>
        <stp>[XIDA.xlsm]DataH!R46C9</stp>
        <stp>BEST_FPERIOD_OVERRIDE</stp>
        <stp>12BC</stp>
        <stp>EQY_CONSOLIDATED</stp>
        <stp>Y</stp>
        <tr r="I46" s="16"/>
      </tp>
      <tp t="e">
        <v>#N/A</v>
        <stp/>
        <stp>##V3_BDPV12</stp>
        <stp xml:space="preserve"> EQUITY</stp>
        <stp>BEST_PX_SALES_RATIO</stp>
        <stp>[XIDA.xlsm]DataH!R47C9</stp>
        <stp>BEST_FPERIOD_OVERRIDE</stp>
        <stp>12BC</stp>
        <stp>EQY_CONSOLIDATED</stp>
        <stp>Y</stp>
        <tr r="I47" s="16"/>
      </tp>
      <tp t="e">
        <v>#N/A</v>
        <stp/>
        <stp>##V3_BDPV12</stp>
        <stp xml:space="preserve"> EQUITY</stp>
        <stp>BEST_PX_SALES_RATIO</stp>
        <stp>[XIDA.xlsm]DataH!R44C9</stp>
        <stp>BEST_FPERIOD_OVERRIDE</stp>
        <stp>12BC</stp>
        <stp>EQY_CONSOLIDATED</stp>
        <stp>Y</stp>
        <tr r="I44" s="16"/>
      </tp>
      <tp t="e">
        <v>#N/A</v>
        <stp/>
        <stp>##V3_BDPV12</stp>
        <stp xml:space="preserve"> EQUITY</stp>
        <stp>BEST_PX_SALES_RATIO</stp>
        <stp>[XIDA.xlsm]DataH!R45C9</stp>
        <stp>BEST_FPERIOD_OVERRIDE</stp>
        <stp>12BC</stp>
        <stp>EQY_CONSOLIDATED</stp>
        <stp>Y</stp>
        <tr r="I45" s="16"/>
      </tp>
      <tp t="e">
        <v>#N/A</v>
        <stp/>
        <stp>##V3_BDPV12</stp>
        <stp xml:space="preserve"> EQUITY</stp>
        <stp>BEST_PX_SALES_RATIO</stp>
        <stp>[XIDA.xlsm]DataH!R42C9</stp>
        <stp>BEST_FPERIOD_OVERRIDE</stp>
        <stp>12BC</stp>
        <stp>EQY_CONSOLIDATED</stp>
        <stp>Y</stp>
        <tr r="I42" s="16"/>
      </tp>
      <tp t="e">
        <v>#N/A</v>
        <stp/>
        <stp>##V3_BDPV12</stp>
        <stp xml:space="preserve"> EQUITY</stp>
        <stp>BEST_PX_SALES_RATIO</stp>
        <stp>[XIDA.xlsm]DataH!R43C9</stp>
        <stp>BEST_FPERIOD_OVERRIDE</stp>
        <stp>12BC</stp>
        <stp>EQY_CONSOLIDATED</stp>
        <stp>Y</stp>
        <tr r="I43" s="16"/>
      </tp>
      <tp t="e">
        <v>#N/A</v>
        <stp/>
        <stp>##V3_BDPV12</stp>
        <stp xml:space="preserve"> EQUITY</stp>
        <stp>BEST_PX_SALES_RATIO</stp>
        <stp>[XIDA.xlsm]DataH!R40C9</stp>
        <stp>BEST_FPERIOD_OVERRIDE</stp>
        <stp>12BC</stp>
        <stp>EQY_CONSOLIDATED</stp>
        <stp>Y</stp>
        <tr r="I40" s="16"/>
      </tp>
      <tp t="e">
        <v>#N/A</v>
        <stp/>
        <stp>##V3_BDPV12</stp>
        <stp xml:space="preserve"> EQUITY</stp>
        <stp>BEST_PX_SALES_RATIO</stp>
        <stp>[XIDA.xlsm]DataH!R41C9</stp>
        <stp>BEST_FPERIOD_OVERRIDE</stp>
        <stp>12BC</stp>
        <stp>EQY_CONSOLIDATED</stp>
        <stp>Y</stp>
        <tr r="I41" s="16"/>
      </tp>
      <tp t="e">
        <v>#N/A</v>
        <stp/>
        <stp>##V3_BDPV12</stp>
        <stp xml:space="preserve"> EQUITY</stp>
        <stp>BEST_PX_SALES_RATIO</stp>
        <stp>[XIDA.xlsm]DataH!R48C9</stp>
        <stp>BEST_FPERIOD_OVERRIDE</stp>
        <stp>12BC</stp>
        <stp>EQY_CONSOLIDATED</stp>
        <stp>Y</stp>
        <tr r="I48" s="16"/>
      </tp>
      <tp t="e">
        <v>#N/A</v>
        <stp/>
        <stp>##V3_BDPV12</stp>
        <stp xml:space="preserve"> EQUITY</stp>
        <stp>BEST_PX_SALES_RATIO</stp>
        <stp>[XIDA.xlsm]DataH!R49C9</stp>
        <stp>BEST_FPERIOD_OVERRIDE</stp>
        <stp>12BC</stp>
        <stp>EQY_CONSOLIDATED</stp>
        <stp>Y</stp>
        <tr r="I49" s="16"/>
      </tp>
      <tp t="s">
        <v>#N/A Requesting Data...</v>
        <stp/>
        <stp>##V3_BDSV12</stp>
        <stp>AAPL US EQUITY</stp>
        <stp>BEST_EPS_GAAP_BRK_GRID</stp>
        <stp>[XIDA.xlsm]DataH!R8C54</stp>
        <stp>BEST_FPERIOD_OVERRIDE</stp>
        <stp>3FQ</stp>
        <stp>STARTCOL=1</stp>
        <stp>ENDCOL=1</stp>
        <stp>EQY_FUND_CRNCY</stp>
        <stp>USD</stp>
        <stp>BEST_CONSOLIDATED_OVERRIDE</stp>
        <stp>C</stp>
        <tr r="BB8" s="16"/>
      </tp>
      <tp>
        <v>5.4007775424890392</v>
        <stp/>
        <stp>##V3_BDPV12</stp>
        <stp>AAPL US EQUITY</stp>
        <stp>BEST_CUR_EV_TO_EBITDA</stp>
        <stp>[XIDA.xlsm]Financials!R120C18</stp>
        <stp>BEST_FPERIOD_OVERRIDE</stp>
        <stp>1FY</stp>
        <stp>EQY_FUND_CRNCY</stp>
        <stp>USD</stp>
        <stp>BEST_CONSOLIDATED_OVERRIDE</stp>
        <stp>C</stp>
        <stp>Fill=B</stp>
        <tr r="R120" s="8"/>
      </tp>
      <tp t="e">
        <v>#N/A</v>
        <stp/>
        <stp>##V3_BDPV12</stp>
        <stp xml:space="preserve"> EQUITY</stp>
        <stp>BEST_PX_SALES_RATIO</stp>
        <stp>[XIDA.xlsm]DataH!R36C9</stp>
        <stp>BEST_FPERIOD_OVERRIDE</stp>
        <stp>12BC</stp>
        <stp>EQY_CONSOLIDATED</stp>
        <stp>Y</stp>
        <tr r="I36" s="16"/>
      </tp>
      <tp t="e">
        <v>#N/A</v>
        <stp/>
        <stp>##V3_BDPV12</stp>
        <stp xml:space="preserve"> EQUITY</stp>
        <stp>BEST_PX_SALES_RATIO</stp>
        <stp>[XIDA.xlsm]DataH!R37C9</stp>
        <stp>BEST_FPERIOD_OVERRIDE</stp>
        <stp>12BC</stp>
        <stp>EQY_CONSOLIDATED</stp>
        <stp>Y</stp>
        <tr r="I37" s="16"/>
      </tp>
      <tp t="e">
        <v>#N/A</v>
        <stp/>
        <stp>##V3_BDPV12</stp>
        <stp xml:space="preserve"> EQUITY</stp>
        <stp>BEST_PX_SALES_RATIO</stp>
        <stp>[XIDA.xlsm]DataH!R34C9</stp>
        <stp>BEST_FPERIOD_OVERRIDE</stp>
        <stp>12BC</stp>
        <stp>EQY_CONSOLIDATED</stp>
        <stp>Y</stp>
        <tr r="I34" s="16"/>
      </tp>
      <tp t="e">
        <v>#N/A</v>
        <stp/>
        <stp>##V3_BDPV12</stp>
        <stp xml:space="preserve"> EQUITY</stp>
        <stp>BEST_PX_SALES_RATIO</stp>
        <stp>[XIDA.xlsm]DataH!R35C9</stp>
        <stp>BEST_FPERIOD_OVERRIDE</stp>
        <stp>12BC</stp>
        <stp>EQY_CONSOLIDATED</stp>
        <stp>Y</stp>
        <tr r="I35" s="16"/>
      </tp>
      <tp t="e">
        <v>#N/A</v>
        <stp/>
        <stp>##V3_BDPV12</stp>
        <stp xml:space="preserve"> EQUITY</stp>
        <stp>BEST_PX_SALES_RATIO</stp>
        <stp>[XIDA.xlsm]DataH!R32C9</stp>
        <stp>BEST_FPERIOD_OVERRIDE</stp>
        <stp>12BC</stp>
        <stp>EQY_CONSOLIDATED</stp>
        <stp>Y</stp>
        <tr r="I32" s="16"/>
      </tp>
      <tp>
        <v>294</v>
        <stp/>
        <stp>##V3_BDPV12</stp>
        <stp>AAPL US EQUITY</stp>
        <stp>BS_OTHER_LT_LIABILITIES</stp>
        <stp>[XIDA.xlsm]Financials!R69C7</stp>
        <stp>EQY_FUND_RELATIVE_PERIOD</stp>
        <stp>-10FY</stp>
        <stp>EQY_FUND_CRNCY</stp>
        <stp>USD</stp>
        <stp>EQY_CONSOLIDATED</stp>
        <stp>Y</stp>
        <stp>Fill=B</stp>
        <tr r="G69" s="8"/>
      </tp>
      <tp t="e">
        <v>#N/A</v>
        <stp/>
        <stp>##V3_BDPV12</stp>
        <stp xml:space="preserve"> EQUITY</stp>
        <stp>BEST_PX_SALES_RATIO</stp>
        <stp>[XIDA.xlsm]DataH!R33C9</stp>
        <stp>BEST_FPERIOD_OVERRIDE</stp>
        <stp>12BC</stp>
        <stp>EQY_CONSOLIDATED</stp>
        <stp>Y</stp>
        <tr r="I33" s="16"/>
      </tp>
      <tp t="e">
        <v>#N/A</v>
        <stp/>
        <stp>##V3_BDPV12</stp>
        <stp xml:space="preserve"> EQUITY</stp>
        <stp>BEST_PX_SALES_RATIO</stp>
        <stp>[XIDA.xlsm]DataH!R31C9</stp>
        <stp>BEST_FPERIOD_OVERRIDE</stp>
        <stp>12BC</stp>
        <stp>EQY_CONSOLIDATED</stp>
        <stp>Y</stp>
        <tr r="I31" s="16"/>
      </tp>
      <tp t="e">
        <v>#N/A</v>
        <stp/>
        <stp>##V3_BDPV12</stp>
        <stp xml:space="preserve"> EQUITY</stp>
        <stp>BEST_PX_SALES_RATIO</stp>
        <stp>[XIDA.xlsm]DataH!R38C9</stp>
        <stp>BEST_FPERIOD_OVERRIDE</stp>
        <stp>12BC</stp>
        <stp>EQY_CONSOLIDATED</stp>
        <stp>Y</stp>
        <tr r="I38" s="16"/>
      </tp>
      <tp t="e">
        <v>#N/A</v>
        <stp/>
        <stp>##V3_BDPV12</stp>
        <stp xml:space="preserve"> EQUITY</stp>
        <stp>BEST_PX_SALES_RATIO</stp>
        <stp>[XIDA.xlsm]DataH!R39C9</stp>
        <stp>BEST_FPERIOD_OVERRIDE</stp>
        <stp>12BC</stp>
        <stp>EQY_CONSOLIDATED</stp>
        <stp>Y</stp>
        <tr r="I39" s="16"/>
      </tp>
      <tp>
        <v>5.1642071604116619</v>
        <stp/>
        <stp>##V3_BDPV12</stp>
        <stp>AAPL US EQUITY</stp>
        <stp>BEST_CUR_EV_TO_EBITDA</stp>
        <stp>[XIDA.xlsm]Financials!R120C19</stp>
        <stp>BEST_FPERIOD_OVERRIDE</stp>
        <stp>2FY</stp>
        <stp>EQY_FUND_CRNCY</stp>
        <stp>USD</stp>
        <stp>BEST_CONSOLIDATED_OVERRIDE</stp>
        <stp>C</stp>
        <stp>Fill=B</stp>
        <tr r="S120" s="8"/>
      </tp>
      <tp>
        <v>0</v>
        <stp/>
        <stp>##V3_BDPV12</stp>
        <stp>AAPL US EQUITY</stp>
        <stp>BS_PFD_EQY</stp>
        <stp>[XIDA.xlsm]Financials!R72C8</stp>
        <stp>EQY_FUND_RELATIVE_PERIOD</stp>
        <stp>-9FY</stp>
        <stp>EQY_FUND_CRNCY</stp>
        <stp>USD</stp>
        <stp>EQY_CONSOLIDATED</stp>
        <stp>Y</stp>
        <stp>Fill=B</stp>
        <tr r="H72" s="8"/>
      </tp>
      <tp>
        <v>0</v>
        <stp/>
        <stp>##V3_BDPV12</stp>
        <stp>AAPL US EQUITY</stp>
        <stp>BS_PFD_EQY</stp>
        <stp>[XIDA.xlsm]Financials!R72C9</stp>
        <stp>EQY_FUND_RELATIVE_PERIOD</stp>
        <stp>-8FY</stp>
        <stp>EQY_FUND_CRNCY</stp>
        <stp>USD</stp>
        <stp>EQY_CONSOLIDATED</stp>
        <stp>Y</stp>
        <stp>Fill=B</stp>
        <tr r="I72" s="8"/>
      </tp>
      <tp t="s">
        <v>#N/A Requesting Data...</v>
        <stp/>
        <stp>##V3_BDSV12</stp>
        <stp>AAPL US EQUITY</stp>
        <stp>BEST_CAPEX_BROKER_GRID</stp>
        <stp>[XIDA.xlsm]DataH!R8C77</stp>
        <stp>BEST_FPERIOD_OVERRIDE</stp>
        <stp>1FQ</stp>
        <stp>STARTCOL=4</stp>
        <stp>ENDCOL=4</stp>
        <stp>EQY_FUND_CRNCY</stp>
        <stp>USD</stp>
        <stp>BEST_CONSOLIDATED_OVERRIDE</stp>
        <stp>C</stp>
        <tr r="BY8" s="16"/>
      </tp>
      <tp>
        <v>10300</v>
        <stp/>
        <stp>##V3_BDPV12</stp>
        <stp>AAPL US EQUITY</stp>
        <stp>BS_CUR_ASSET_REPORT</stp>
        <stp>[XIDA.xlsm]Financials!R48C8</stp>
        <stp>EQY_FUND_RELATIVE_PERIOD</stp>
        <stp>-9FY</stp>
        <stp>EQY_FUND_CRNCY</stp>
        <stp>USD</stp>
        <stp>EQY_CONSOLIDATED</stp>
        <stp>Y</stp>
        <stp>Fill=B</stp>
        <tr r="H48" s="8"/>
      </tp>
      <tp>
        <v>14509</v>
        <stp/>
        <stp>##V3_BDPV12</stp>
        <stp>AAPL US EQUITY</stp>
        <stp>BS_CUR_ASSET_REPORT</stp>
        <stp>[XIDA.xlsm]Financials!R48C9</stp>
        <stp>EQY_FUND_RELATIVE_PERIOD</stp>
        <stp>-8FY</stp>
        <stp>EQY_FUND_CRNCY</stp>
        <stp>USD</stp>
        <stp>EQY_CONSOLIDATED</stp>
        <stp>Y</stp>
        <stp>Fill=B</stp>
        <tr r="I48" s="8"/>
      </tp>
      <tp t="s">
        <v>9/30/2015</v>
        <stp/>
        <stp>##V3_BDPV12</stp>
        <stp>AAPL US EQUITY</stp>
        <stp>BEST_PERIOD_END_DATE</stp>
        <stp>[XIDA.xlsm]Financials!R11C18</stp>
        <stp>BEST_FPERIOD_OVERRIDE</stp>
        <stp>1FY</stp>
        <tr r="R11" s="8"/>
        <tr r="R11" s="8"/>
      </tp>
      <tp t="s">
        <v>3/31/2004</v>
        <stp/>
        <stp>##V3_BDPV12</stp>
        <stp>AAPL US EQUITY</stp>
        <stp>RTG_MDY_ISSUER_RTG_DT</stp>
        <stp>[XIDA.xlsm]Overview!R27C8</stp>
        <tr r="H27" s="3"/>
        <tr r="H27" s="3"/>
      </tp>
      <tp>
        <v>0.14570590474140085</v>
        <stp/>
        <stp>##V3_BDPV12</stp>
        <stp>AAPL US EQUITY</stp>
        <stp>FREE_CASH_FLOW_PER_SH</stp>
        <stp>[XIDA.xlsm]Financials!R113C7</stp>
        <stp>EQY_FUND_RELATIVE_PERIOD</stp>
        <stp>-10FY</stp>
        <stp>EQY_FUND_CRNCY</stp>
        <stp>USD</stp>
        <stp>EQY_CONSOLIDATED</stp>
        <stp>Y</stp>
        <stp>Fill=B</stp>
        <tr r="G113" s="8"/>
      </tp>
      <tp>
        <v>5.0119001346665168</v>
        <stp/>
        <stp>##V3_BDPV12</stp>
        <stp>AAPL US EQUITY</stp>
        <stp>BEST_CUR_EV_TO_EBITDA</stp>
        <stp>[XIDA.xlsm]Financials!R120C20</stp>
        <stp>BEST_FPERIOD_OVERRIDE</stp>
        <stp>3FY</stp>
        <stp>EQY_FUND_CRNCY</stp>
        <stp>USD</stp>
        <stp>BEST_CONSOLIDATED_OVERRIDE</stp>
        <stp>C</stp>
        <stp>Fill=B</stp>
        <tr r="T120" s="8"/>
      </tp>
      <tp>
        <v>522</v>
        <stp/>
        <stp>##V3_BDPV12</stp>
        <stp>AAPL US EQUITY</stp>
        <stp>CF_NET_CHNG_CASH</stp>
        <stp>[XIDA.xlsm]Financials!R107C8</stp>
        <stp>EQY_FUND_RELATIVE_PERIOD</stp>
        <stp>-9FY</stp>
        <stp>EQY_FUND_CRNCY</stp>
        <stp>USD</stp>
        <stp>EQY_CONSOLIDATED</stp>
        <stp>Y</stp>
        <stp>Fill=B</stp>
        <tr r="H107" s="8"/>
      </tp>
      <tp>
        <v>2901</v>
        <stp/>
        <stp>##V3_BDPV12</stp>
        <stp>AAPL US EQUITY</stp>
        <stp>CF_NET_CHNG_CASH</stp>
        <stp>[XIDA.xlsm]Financials!R107C9</stp>
        <stp>EQY_FUND_RELATIVE_PERIOD</stp>
        <stp>-8FY</stp>
        <stp>EQY_FUND_CRNCY</stp>
        <stp>USD</stp>
        <stp>EQY_CONSOLIDATED</stp>
        <stp>Y</stp>
        <stp>Fill=B</stp>
        <tr r="I107" s="8"/>
      </tp>
      <tp t="e">
        <v>#N/A</v>
        <stp/>
        <stp>##V3_BDPV12</stp>
        <stp xml:space="preserve"> EQUITY</stp>
        <stp>EQY_FISCAL_YR_END</stp>
        <stp>[XIDA.xlsm]Peers!R48C29</stp>
        <tr r="AC48" s="4"/>
      </tp>
      <tp t="e">
        <v>#N/A</v>
        <stp/>
        <stp>##V3_BDPV12</stp>
        <stp xml:space="preserve"> EQUITY</stp>
        <stp>EQY_FISCAL_YR_END</stp>
        <stp>[XIDA.xlsm]Peers!R49C29</stp>
        <tr r="AC49" s="4"/>
      </tp>
      <tp t="e">
        <v>#N/A</v>
        <stp/>
        <stp>##V3_BDPV12</stp>
        <stp xml:space="preserve"> EQUITY</stp>
        <stp>EQY_FISCAL_YR_END</stp>
        <stp>[XIDA.xlsm]Peers!R42C29</stp>
        <tr r="AC42" s="4"/>
      </tp>
      <tp t="e">
        <v>#N/A</v>
        <stp/>
        <stp>##V3_BDPV12</stp>
        <stp xml:space="preserve"> EQUITY</stp>
        <stp>EQY_FISCAL_YR_END</stp>
        <stp>[XIDA.xlsm]Peers!R43C29</stp>
        <tr r="AC43" s="4"/>
      </tp>
      <tp t="e">
        <v>#N/A</v>
        <stp/>
        <stp>##V3_BDPV12</stp>
        <stp xml:space="preserve"> EQUITY</stp>
        <stp>EQY_FISCAL_YR_END</stp>
        <stp>[XIDA.xlsm]Peers!R40C29</stp>
        <tr r="AC40" s="4"/>
      </tp>
      <tp t="e">
        <v>#N/A</v>
        <stp/>
        <stp>##V3_BDPV12</stp>
        <stp xml:space="preserve"> EQUITY</stp>
        <stp>EQY_FISCAL_YR_END</stp>
        <stp>[XIDA.xlsm]Peers!R41C29</stp>
        <tr r="AC41" s="4"/>
      </tp>
      <tp t="e">
        <v>#N/A</v>
        <stp/>
        <stp>##V3_BDPV12</stp>
        <stp xml:space="preserve"> EQUITY</stp>
        <stp>EQY_FISCAL_YR_END</stp>
        <stp>[XIDA.xlsm]Peers!R46C29</stp>
        <tr r="AC46" s="4"/>
      </tp>
      <tp t="e">
        <v>#N/A</v>
        <stp/>
        <stp>##V3_BDPV12</stp>
        <stp xml:space="preserve"> EQUITY</stp>
        <stp>EQY_FISCAL_YR_END</stp>
        <stp>[XIDA.xlsm]Peers!R47C29</stp>
        <tr r="AC47" s="4"/>
      </tp>
      <tp t="e">
        <v>#N/A</v>
        <stp/>
        <stp>##V3_BDPV12</stp>
        <stp xml:space="preserve"> EQUITY</stp>
        <stp>EQY_FISCAL_YR_END</stp>
        <stp>[XIDA.xlsm]Peers!R44C29</stp>
        <tr r="AC44" s="4"/>
      </tp>
      <tp t="e">
        <v>#N/A</v>
        <stp/>
        <stp>##V3_BDPV12</stp>
        <stp xml:space="preserve"> EQUITY</stp>
        <stp>EQY_FISCAL_YR_END</stp>
        <stp>[XIDA.xlsm]Peers!R45C29</stp>
        <tr r="AC45" s="4"/>
      </tp>
      <tp t="e">
        <v>#N/A</v>
        <stp/>
        <stp>##V3_BDPV12</stp>
        <stp xml:space="preserve"> EQUITY</stp>
        <stp>EQY_FISCAL_YR_END</stp>
        <stp>[XIDA.xlsm]Peers!R58C29</stp>
        <tr r="AC58" s="4"/>
      </tp>
      <tp t="e">
        <v>#N/A</v>
        <stp/>
        <stp>##V3_BDPV12</stp>
        <stp xml:space="preserve"> EQUITY</stp>
        <stp>EQY_FISCAL_YR_END</stp>
        <stp>[XIDA.xlsm]Peers!R59C29</stp>
        <tr r="AC59" s="4"/>
      </tp>
      <tp t="e">
        <v>#N/A</v>
        <stp/>
        <stp>##V3_BDPV12</stp>
        <stp xml:space="preserve"> EQUITY</stp>
        <stp>EQY_FISCAL_YR_END</stp>
        <stp>[XIDA.xlsm]Peers!R52C29</stp>
        <tr r="AC52" s="4"/>
      </tp>
      <tp t="e">
        <v>#N/A</v>
        <stp/>
        <stp>##V3_BDPV12</stp>
        <stp xml:space="preserve"> EQUITY</stp>
        <stp>EQY_FISCAL_YR_END</stp>
        <stp>[XIDA.xlsm]Peers!R53C29</stp>
        <tr r="AC53" s="4"/>
      </tp>
      <tp t="e">
        <v>#N/A</v>
        <stp/>
        <stp>##V3_BDPV12</stp>
        <stp xml:space="preserve"> EQUITY</stp>
        <stp>EQY_FISCAL_YR_END</stp>
        <stp>[XIDA.xlsm]Peers!R50C29</stp>
        <tr r="AC50" s="4"/>
      </tp>
      <tp t="e">
        <v>#N/A</v>
        <stp/>
        <stp>##V3_BDPV12</stp>
        <stp xml:space="preserve"> EQUITY</stp>
        <stp>EQY_FISCAL_YR_END</stp>
        <stp>[XIDA.xlsm]Peers!R51C29</stp>
        <tr r="AC51" s="4"/>
      </tp>
      <tp t="e">
        <v>#N/A</v>
        <stp/>
        <stp>##V3_BDPV12</stp>
        <stp xml:space="preserve"> EQUITY</stp>
        <stp>EQY_FISCAL_YR_END</stp>
        <stp>[XIDA.xlsm]Peers!R56C29</stp>
        <tr r="AC56" s="4"/>
      </tp>
      <tp t="e">
        <v>#N/A</v>
        <stp/>
        <stp>##V3_BDPV12</stp>
        <stp xml:space="preserve"> EQUITY</stp>
        <stp>EQY_FISCAL_YR_END</stp>
        <stp>[XIDA.xlsm]Peers!R57C29</stp>
        <tr r="AC57" s="4"/>
      </tp>
      <tp t="e">
        <v>#N/A</v>
        <stp/>
        <stp>##V3_BDPV12</stp>
        <stp xml:space="preserve"> EQUITY</stp>
        <stp>EQY_FISCAL_YR_END</stp>
        <stp>[XIDA.xlsm]Peers!R54C29</stp>
        <tr r="AC54" s="4"/>
      </tp>
      <tp t="e">
        <v>#N/A</v>
        <stp/>
        <stp>##V3_BDPV12</stp>
        <stp xml:space="preserve"> EQUITY</stp>
        <stp>EQY_FISCAL_YR_END</stp>
        <stp>[XIDA.xlsm]Peers!R55C29</stp>
        <tr r="AC55" s="4"/>
      </tp>
      <tp t="e">
        <v>#N/A</v>
        <stp/>
        <stp>##V3_BDPV12</stp>
        <stp xml:space="preserve"> EQUITY</stp>
        <stp>EQY_FISCAL_YR_END</stp>
        <stp>[XIDA.xlsm]Peers!R68C29</stp>
        <tr r="AC68" s="4"/>
      </tp>
      <tp t="e">
        <v>#N/A</v>
        <stp/>
        <stp>##V3_BDPV12</stp>
        <stp xml:space="preserve"> EQUITY</stp>
        <stp>EQY_FISCAL_YR_END</stp>
        <stp>[XIDA.xlsm]Peers!R69C29</stp>
        <tr r="AC69" s="4"/>
      </tp>
      <tp t="e">
        <v>#N/A</v>
        <stp/>
        <stp>##V3_BDPV12</stp>
        <stp xml:space="preserve"> EQUITY</stp>
        <stp>EQY_FISCAL_YR_END</stp>
        <stp>[XIDA.xlsm]Peers!R62C29</stp>
        <tr r="AC62" s="4"/>
      </tp>
      <tp t="e">
        <v>#N/A</v>
        <stp/>
        <stp>##V3_BDPV12</stp>
        <stp xml:space="preserve"> EQUITY</stp>
        <stp>EQY_FISCAL_YR_END</stp>
        <stp>[XIDA.xlsm]Peers!R63C29</stp>
        <tr r="AC63" s="4"/>
      </tp>
      <tp t="e">
        <v>#N/A</v>
        <stp/>
        <stp>##V3_BDPV12</stp>
        <stp xml:space="preserve"> EQUITY</stp>
        <stp>EQY_FISCAL_YR_END</stp>
        <stp>[XIDA.xlsm]Peers!R60C29</stp>
        <tr r="AC60" s="4"/>
      </tp>
      <tp t="e">
        <v>#N/A</v>
        <stp/>
        <stp>##V3_BDPV12</stp>
        <stp xml:space="preserve"> EQUITY</stp>
        <stp>EQY_FISCAL_YR_END</stp>
        <stp>[XIDA.xlsm]Peers!R61C29</stp>
        <tr r="AC61" s="4"/>
      </tp>
      <tp t="e">
        <v>#N/A</v>
        <stp/>
        <stp>##V3_BDPV12</stp>
        <stp xml:space="preserve"> EQUITY</stp>
        <stp>EQY_FISCAL_YR_END</stp>
        <stp>[XIDA.xlsm]Peers!R66C29</stp>
        <tr r="AC66" s="4"/>
      </tp>
      <tp t="e">
        <v>#N/A</v>
        <stp/>
        <stp>##V3_BDPV12</stp>
        <stp xml:space="preserve"> EQUITY</stp>
        <stp>EQY_FISCAL_YR_END</stp>
        <stp>[XIDA.xlsm]Peers!R67C29</stp>
        <tr r="AC67" s="4"/>
      </tp>
      <tp t="e">
        <v>#N/A</v>
        <stp/>
        <stp>##V3_BDPV12</stp>
        <stp xml:space="preserve"> EQUITY</stp>
        <stp>EQY_FISCAL_YR_END</stp>
        <stp>[XIDA.xlsm]Peers!R64C29</stp>
        <tr r="AC64" s="4"/>
      </tp>
      <tp t="e">
        <v>#N/A</v>
        <stp/>
        <stp>##V3_BDPV12</stp>
        <stp xml:space="preserve"> EQUITY</stp>
        <stp>EQY_FISCAL_YR_END</stp>
        <stp>[XIDA.xlsm]Peers!R65C29</stp>
        <tr r="AC65" s="4"/>
      </tp>
      <tp t="e">
        <v>#N/A</v>
        <stp/>
        <stp>##V3_BDPV12</stp>
        <stp xml:space="preserve"> EQUITY</stp>
        <stp>EQY_FISCAL_YR_END</stp>
        <stp>[XIDA.xlsm]Peers!R78C29</stp>
        <tr r="AC78" s="4"/>
      </tp>
      <tp t="e">
        <v>#N/A</v>
        <stp/>
        <stp>##V3_BDPV12</stp>
        <stp xml:space="preserve"> EQUITY</stp>
        <stp>EQY_FISCAL_YR_END</stp>
        <stp>[XIDA.xlsm]Peers!R79C29</stp>
        <tr r="AC79" s="4"/>
      </tp>
      <tp t="e">
        <v>#N/A</v>
        <stp/>
        <stp>##V3_BDPV12</stp>
        <stp xml:space="preserve"> EQUITY</stp>
        <stp>EQY_FISCAL_YR_END</stp>
        <stp>[XIDA.xlsm]Peers!R72C29</stp>
        <tr r="AC72" s="4"/>
      </tp>
      <tp t="e">
        <v>#N/A</v>
        <stp/>
        <stp>##V3_BDPV12</stp>
        <stp xml:space="preserve"> EQUITY</stp>
        <stp>EQY_FISCAL_YR_END</stp>
        <stp>[XIDA.xlsm]Peers!R73C29</stp>
        <tr r="AC73" s="4"/>
      </tp>
      <tp t="e">
        <v>#N/A</v>
        <stp/>
        <stp>##V3_BDPV12</stp>
        <stp xml:space="preserve"> EQUITY</stp>
        <stp>EQY_FISCAL_YR_END</stp>
        <stp>[XIDA.xlsm]Peers!R70C29</stp>
        <tr r="AC70" s="4"/>
      </tp>
      <tp t="e">
        <v>#N/A</v>
        <stp/>
        <stp>##V3_BDPV12</stp>
        <stp xml:space="preserve"> EQUITY</stp>
        <stp>EQY_FISCAL_YR_END</stp>
        <stp>[XIDA.xlsm]Peers!R71C29</stp>
        <tr r="AC71" s="4"/>
      </tp>
      <tp t="e">
        <v>#N/A</v>
        <stp/>
        <stp>##V3_BDPV12</stp>
        <stp xml:space="preserve"> EQUITY</stp>
        <stp>EQY_FISCAL_YR_END</stp>
        <stp>[XIDA.xlsm]Peers!R76C29</stp>
        <tr r="AC76" s="4"/>
      </tp>
      <tp t="e">
        <v>#N/A</v>
        <stp/>
        <stp>##V3_BDPV12</stp>
        <stp xml:space="preserve"> EQUITY</stp>
        <stp>EQY_FISCAL_YR_END</stp>
        <stp>[XIDA.xlsm]Peers!R77C29</stp>
        <tr r="AC77" s="4"/>
      </tp>
      <tp t="e">
        <v>#N/A</v>
        <stp/>
        <stp>##V3_BDPV12</stp>
        <stp xml:space="preserve"> EQUITY</stp>
        <stp>EQY_FISCAL_YR_END</stp>
        <stp>[XIDA.xlsm]Peers!R74C29</stp>
        <tr r="AC74" s="4"/>
      </tp>
      <tp t="e">
        <v>#N/A</v>
        <stp/>
        <stp>##V3_BDPV12</stp>
        <stp xml:space="preserve"> EQUITY</stp>
        <stp>EQY_FISCAL_YR_END</stp>
        <stp>[XIDA.xlsm]Peers!R75C29</stp>
        <tr r="AC75" s="4"/>
      </tp>
      <tp t="e">
        <v>#N/A</v>
        <stp/>
        <stp>##V3_BDPV12</stp>
        <stp xml:space="preserve"> EQUITY</stp>
        <stp>EQY_FISCAL_YR_END</stp>
        <stp>[XIDA.xlsm]Peers!R28C29</stp>
        <tr r="AC28" s="4"/>
      </tp>
      <tp t="e">
        <v>#N/A</v>
        <stp/>
        <stp>##V3_BDPV12</stp>
        <stp xml:space="preserve"> EQUITY</stp>
        <stp>EQY_FISCAL_YR_END</stp>
        <stp>[XIDA.xlsm]Peers!R29C29</stp>
        <tr r="AC29" s="4"/>
      </tp>
      <tp t="e">
        <v>#N/A</v>
        <stp/>
        <stp>##V3_BDPV12</stp>
        <stp xml:space="preserve"> EQUITY</stp>
        <stp>EQY_FISCAL_YR_END</stp>
        <stp>[XIDA.xlsm]Peers!R26C29</stp>
        <tr r="AC26" s="4"/>
      </tp>
      <tp t="e">
        <v>#N/A</v>
        <stp/>
        <stp>##V3_BDPV12</stp>
        <stp xml:space="preserve"> EQUITY</stp>
        <stp>EQY_FISCAL_YR_END</stp>
        <stp>[XIDA.xlsm]Peers!R27C29</stp>
        <tr r="AC27" s="4"/>
      </tp>
      <tp t="e">
        <v>#N/A</v>
        <stp/>
        <stp>##V3_BDPV12</stp>
        <stp xml:space="preserve"> EQUITY</stp>
        <stp>EQY_FISCAL_YR_END</stp>
        <stp>[XIDA.xlsm]Peers!R38C29</stp>
        <tr r="AC38" s="4"/>
      </tp>
      <tp t="e">
        <v>#N/A</v>
        <stp/>
        <stp>##V3_BDPV12</stp>
        <stp xml:space="preserve"> EQUITY</stp>
        <stp>EQY_FISCAL_YR_END</stp>
        <stp>[XIDA.xlsm]Peers!R39C29</stp>
        <tr r="AC39" s="4"/>
      </tp>
      <tp t="e">
        <v>#N/A</v>
        <stp/>
        <stp>##V3_BDPV12</stp>
        <stp xml:space="preserve"> EQUITY</stp>
        <stp>EQY_FISCAL_YR_END</stp>
        <stp>[XIDA.xlsm]Peers!R32C29</stp>
        <tr r="AC32" s="4"/>
      </tp>
      <tp t="e">
        <v>#N/A</v>
        <stp/>
        <stp>##V3_BDPV12</stp>
        <stp xml:space="preserve"> EQUITY</stp>
        <stp>EQY_FISCAL_YR_END</stp>
        <stp>[XIDA.xlsm]Peers!R33C29</stp>
        <tr r="AC33" s="4"/>
      </tp>
      <tp t="e">
        <v>#N/A</v>
        <stp/>
        <stp>##V3_BDPV12</stp>
        <stp xml:space="preserve"> EQUITY</stp>
        <stp>EQY_FISCAL_YR_END</stp>
        <stp>[XIDA.xlsm]Peers!R30C29</stp>
        <tr r="AC30" s="4"/>
      </tp>
      <tp t="e">
        <v>#N/A</v>
        <stp/>
        <stp>##V3_BDPV12</stp>
        <stp xml:space="preserve"> EQUITY</stp>
        <stp>EQY_FISCAL_YR_END</stp>
        <stp>[XIDA.xlsm]Peers!R31C29</stp>
        <tr r="AC31" s="4"/>
      </tp>
      <tp t="e">
        <v>#N/A</v>
        <stp/>
        <stp>##V3_BDPV12</stp>
        <stp xml:space="preserve"> EQUITY</stp>
        <stp>EQY_FISCAL_YR_END</stp>
        <stp>[XIDA.xlsm]Peers!R36C29</stp>
        <tr r="AC36" s="4"/>
      </tp>
      <tp t="e">
        <v>#N/A</v>
        <stp/>
        <stp>##V3_BDPV12</stp>
        <stp xml:space="preserve"> EQUITY</stp>
        <stp>EQY_FISCAL_YR_END</stp>
        <stp>[XIDA.xlsm]Peers!R37C29</stp>
        <tr r="AC37" s="4"/>
      </tp>
      <tp t="e">
        <v>#N/A</v>
        <stp/>
        <stp>##V3_BDPV12</stp>
        <stp xml:space="preserve"> EQUITY</stp>
        <stp>EQY_FISCAL_YR_END</stp>
        <stp>[XIDA.xlsm]Peers!R34C29</stp>
        <tr r="AC34" s="4"/>
      </tp>
      <tp t="e">
        <v>#N/A</v>
        <stp/>
        <stp>##V3_BDPV12</stp>
        <stp xml:space="preserve"> EQUITY</stp>
        <stp>EQY_FISCAL_YR_END</stp>
        <stp>[XIDA.xlsm]Peers!R35C29</stp>
        <tr r="AC35" s="4"/>
      </tp>
      <tp t="e">
        <v>#N/A</v>
        <stp/>
        <stp>##V3_BDPV12</stp>
        <stp xml:space="preserve"> EQUITY</stp>
        <stp>EQY_FISCAL_YR_END</stp>
        <stp>[XIDA.xlsm]Peers!R88C29</stp>
        <tr r="AC88" s="4"/>
      </tp>
      <tp t="e">
        <v>#N/A</v>
        <stp/>
        <stp>##V3_BDPV12</stp>
        <stp xml:space="preserve"> EQUITY</stp>
        <stp>EQY_FISCAL_YR_END</stp>
        <stp>[XIDA.xlsm]Peers!R89C29</stp>
        <tr r="AC89" s="4"/>
      </tp>
      <tp t="e">
        <v>#N/A</v>
        <stp/>
        <stp>##V3_BDPV12</stp>
        <stp xml:space="preserve"> EQUITY</stp>
        <stp>EQY_FISCAL_YR_END</stp>
        <stp>[XIDA.xlsm]Peers!R82C29</stp>
        <tr r="AC82" s="4"/>
      </tp>
      <tp t="e">
        <v>#N/A</v>
        <stp/>
        <stp>##V3_BDPV12</stp>
        <stp xml:space="preserve"> EQUITY</stp>
        <stp>EQY_FISCAL_YR_END</stp>
        <stp>[XIDA.xlsm]Peers!R83C29</stp>
        <tr r="AC83" s="4"/>
      </tp>
      <tp t="e">
        <v>#N/A</v>
        <stp/>
        <stp>##V3_BDPV12</stp>
        <stp xml:space="preserve"> EQUITY</stp>
        <stp>EQY_FISCAL_YR_END</stp>
        <stp>[XIDA.xlsm]Peers!R80C29</stp>
        <tr r="AC80" s="4"/>
      </tp>
      <tp t="e">
        <v>#N/A</v>
        <stp/>
        <stp>##V3_BDPV12</stp>
        <stp xml:space="preserve"> EQUITY</stp>
        <stp>EQY_FISCAL_YR_END</stp>
        <stp>[XIDA.xlsm]Peers!R81C29</stp>
        <tr r="AC81" s="4"/>
      </tp>
      <tp t="e">
        <v>#N/A</v>
        <stp/>
        <stp>##V3_BDPV12</stp>
        <stp xml:space="preserve"> EQUITY</stp>
        <stp>EQY_FISCAL_YR_END</stp>
        <stp>[XIDA.xlsm]Peers!R86C29</stp>
        <tr r="AC86" s="4"/>
      </tp>
      <tp t="e">
        <v>#N/A</v>
        <stp/>
        <stp>##V3_BDPV12</stp>
        <stp xml:space="preserve"> EQUITY</stp>
        <stp>EQY_FISCAL_YR_END</stp>
        <stp>[XIDA.xlsm]Peers!R87C29</stp>
        <tr r="AC87" s="4"/>
      </tp>
      <tp t="e">
        <v>#N/A</v>
        <stp/>
        <stp>##V3_BDPV12</stp>
        <stp xml:space="preserve"> EQUITY</stp>
        <stp>EQY_FISCAL_YR_END</stp>
        <stp>[XIDA.xlsm]Peers!R84C29</stp>
        <tr r="AC84" s="4"/>
      </tp>
      <tp t="e">
        <v>#N/A</v>
        <stp/>
        <stp>##V3_BDPV12</stp>
        <stp xml:space="preserve"> EQUITY</stp>
        <stp>EQY_FISCAL_YR_END</stp>
        <stp>[XIDA.xlsm]Peers!R85C29</stp>
        <tr r="AC85" s="4"/>
      </tp>
      <tp t="e">
        <v>#N/A</v>
        <stp/>
        <stp>##V3_BDPV12</stp>
        <stp xml:space="preserve"> EQUITY</stp>
        <stp>EQY_FISCAL_YR_END</stp>
        <stp>[XIDA.xlsm]Peers!R98C29</stp>
        <tr r="AC98" s="4"/>
      </tp>
      <tp t="e">
        <v>#N/A</v>
        <stp/>
        <stp>##V3_BDPV12</stp>
        <stp xml:space="preserve"> EQUITY</stp>
        <stp>EQY_FISCAL_YR_END</stp>
        <stp>[XIDA.xlsm]Peers!R99C29</stp>
        <tr r="AC99" s="4"/>
      </tp>
      <tp t="e">
        <v>#N/A</v>
        <stp/>
        <stp>##V3_BDPV12</stp>
        <stp xml:space="preserve"> EQUITY</stp>
        <stp>EQY_FISCAL_YR_END</stp>
        <stp>[XIDA.xlsm]Peers!R92C29</stp>
        <tr r="AC92" s="4"/>
      </tp>
      <tp t="e">
        <v>#N/A</v>
        <stp/>
        <stp>##V3_BDPV12</stp>
        <stp xml:space="preserve"> EQUITY</stp>
        <stp>EQY_FISCAL_YR_END</stp>
        <stp>[XIDA.xlsm]Peers!R93C29</stp>
        <tr r="AC93" s="4"/>
      </tp>
      <tp t="e">
        <v>#N/A</v>
        <stp/>
        <stp>##V3_BDPV12</stp>
        <stp xml:space="preserve"> EQUITY</stp>
        <stp>EQY_FISCAL_YR_END</stp>
        <stp>[XIDA.xlsm]Peers!R90C29</stp>
        <tr r="AC90" s="4"/>
      </tp>
      <tp t="e">
        <v>#N/A</v>
        <stp/>
        <stp>##V3_BDPV12</stp>
        <stp xml:space="preserve"> EQUITY</stp>
        <stp>EQY_FISCAL_YR_END</stp>
        <stp>[XIDA.xlsm]Peers!R91C29</stp>
        <tr r="AC91" s="4"/>
      </tp>
      <tp t="e">
        <v>#N/A</v>
        <stp/>
        <stp>##V3_BDPV12</stp>
        <stp xml:space="preserve"> EQUITY</stp>
        <stp>EQY_FISCAL_YR_END</stp>
        <stp>[XIDA.xlsm]Peers!R96C29</stp>
        <tr r="AC96" s="4"/>
      </tp>
      <tp t="e">
        <v>#N/A</v>
        <stp/>
        <stp>##V3_BDPV12</stp>
        <stp xml:space="preserve"> EQUITY</stp>
        <stp>EQY_FISCAL_YR_END</stp>
        <stp>[XIDA.xlsm]Peers!R97C29</stp>
        <tr r="AC97" s="4"/>
      </tp>
      <tp t="e">
        <v>#N/A</v>
        <stp/>
        <stp>##V3_BDPV12</stp>
        <stp xml:space="preserve"> EQUITY</stp>
        <stp>EQY_FISCAL_YR_END</stp>
        <stp>[XIDA.xlsm]Peers!R94C29</stp>
        <tr r="AC94" s="4"/>
      </tp>
      <tp t="e">
        <v>#N/A</v>
        <stp/>
        <stp>##V3_BDPV12</stp>
        <stp xml:space="preserve"> EQUITY</stp>
        <stp>EQY_FISCAL_YR_END</stp>
        <stp>[XIDA.xlsm]Peers!R95C29</stp>
        <tr r="AC95" s="4"/>
      </tp>
      <tp t="s">
        <v>#N/A Invalid Security</v>
        <stp/>
        <stp>##V3_BDHV12</stp>
        <stp xml:space="preserve"> EQUITY</stp>
        <stp>PX_LAST</stp>
        <stp>1/1/2015</stp>
        <stp>4/13/2015</stp>
        <stp>[XIDA.xlsm]PricesH!R4C30</stp>
        <stp>Dts=H</stp>
        <stp>FX=USD</stp>
        <stp>CDR=US</stp>
        <stp/>
        <stp>PER=CD</stp>
        <tr r="AD4" s="6"/>
      </tp>
      <tp t="s">
        <v>#N/A Invalid Security</v>
        <stp/>
        <stp>##V3_BDHV12</stp>
        <stp xml:space="preserve"> EQUITY</stp>
        <stp>PX_LAST</stp>
        <stp>1/1/2015</stp>
        <stp>4/13/2015</stp>
        <stp>[XIDA.xlsm]PricesH!R4C29</stp>
        <stp>Dts=H</stp>
        <stp>FX=USD</stp>
        <stp>CDR=US</stp>
        <stp/>
        <stp>PER=CD</stp>
        <tr r="AC4" s="6"/>
      </tp>
      <tp t="s">
        <v>#N/A Invalid Security</v>
        <stp/>
        <stp>##V3_BDHV12</stp>
        <stp xml:space="preserve"> EQUITY</stp>
        <stp>PX_LAST</stp>
        <stp>1/1/2015</stp>
        <stp>4/13/2015</stp>
        <stp>[XIDA.xlsm]PricesH!R4C28</stp>
        <stp>Dts=H</stp>
        <stp>FX=USD</stp>
        <stp>CDR=US</stp>
        <stp/>
        <stp>PER=CD</stp>
        <tr r="AB4" s="6"/>
      </tp>
      <tp t="s">
        <v>#N/A Invalid Security</v>
        <stp/>
        <stp>##V3_BDHV12</stp>
        <stp xml:space="preserve"> EQUITY</stp>
        <stp>PX_LAST</stp>
        <stp>1/1/2015</stp>
        <stp>4/13/2015</stp>
        <stp>[XIDA.xlsm]PricesH!R4C21</stp>
        <stp>Dts=H</stp>
        <stp>FX=USD</stp>
        <stp>CDR=US</stp>
        <stp/>
        <stp>PER=CD</stp>
        <tr r="U4" s="6"/>
      </tp>
      <tp t="s">
        <v>#N/A Invalid Security</v>
        <stp/>
        <stp>##V3_BDHV12</stp>
        <stp xml:space="preserve"> EQUITY</stp>
        <stp>PX_LAST</stp>
        <stp>1/1/2015</stp>
        <stp>4/13/2015</stp>
        <stp>[XIDA.xlsm]PricesH!R4C20</stp>
        <stp>Dts=H</stp>
        <stp>FX=USD</stp>
        <stp>CDR=US</stp>
        <stp/>
        <stp>PER=CD</stp>
        <tr r="T4" s="6"/>
      </tp>
      <tp t="s">
        <v>#N/A Invalid Security</v>
        <stp/>
        <stp>##V3_BDHV12</stp>
        <stp xml:space="preserve"> EQUITY</stp>
        <stp>PX_LAST</stp>
        <stp>1/1/2015</stp>
        <stp>4/13/2015</stp>
        <stp>[XIDA.xlsm]PricesH!R4C23</stp>
        <stp>Dts=H</stp>
        <stp>FX=USD</stp>
        <stp>CDR=US</stp>
        <stp/>
        <stp>PER=CD</stp>
        <tr r="W4" s="6"/>
      </tp>
      <tp t="s">
        <v>#N/A Invalid Security</v>
        <stp/>
        <stp>##V3_BDHV12</stp>
        <stp xml:space="preserve"> EQUITY</stp>
        <stp>PX_LAST</stp>
        <stp>1/1/2015</stp>
        <stp>4/13/2015</stp>
        <stp>[XIDA.xlsm]PricesH!R4C22</stp>
        <stp>Dts=H</stp>
        <stp>FX=USD</stp>
        <stp>CDR=US</stp>
        <stp/>
        <stp>PER=CD</stp>
        <tr r="V4" s="6"/>
      </tp>
      <tp t="s">
        <v>#N/A Invalid Security</v>
        <stp/>
        <stp>##V3_BDHV12</stp>
        <stp xml:space="preserve"> EQUITY</stp>
        <stp>PX_LAST</stp>
        <stp>1/1/2015</stp>
        <stp>4/13/2015</stp>
        <stp>[XIDA.xlsm]PricesH!R4C25</stp>
        <stp>Dts=H</stp>
        <stp>FX=USD</stp>
        <stp>CDR=US</stp>
        <stp/>
        <stp>PER=CD</stp>
        <tr r="Y4" s="6"/>
      </tp>
      <tp t="s">
        <v>#N/A Invalid Security</v>
        <stp/>
        <stp>##V3_BDHV12</stp>
        <stp xml:space="preserve"> EQUITY</stp>
        <stp>PX_LAST</stp>
        <stp>1/1/2015</stp>
        <stp>4/13/2015</stp>
        <stp>[XIDA.xlsm]PricesH!R4C24</stp>
        <stp>Dts=H</stp>
        <stp>FX=USD</stp>
        <stp>CDR=US</stp>
        <stp/>
        <stp>PER=CD</stp>
        <tr r="X4" s="6"/>
      </tp>
      <tp t="s">
        <v>#N/A Invalid Security</v>
        <stp/>
        <stp>##V3_BDHV12</stp>
        <stp xml:space="preserve"> EQUITY</stp>
        <stp>PX_LAST</stp>
        <stp>1/1/2015</stp>
        <stp>4/13/2015</stp>
        <stp>[XIDA.xlsm]PricesH!R4C27</stp>
        <stp>Dts=H</stp>
        <stp>FX=USD</stp>
        <stp>CDR=US</stp>
        <stp/>
        <stp>PER=CD</stp>
        <tr r="AA4" s="6"/>
      </tp>
      <tp t="s">
        <v>#N/A Invalid Security</v>
        <stp/>
        <stp>##V3_BDHV12</stp>
        <stp xml:space="preserve"> EQUITY</stp>
        <stp>PX_LAST</stp>
        <stp>1/1/2015</stp>
        <stp>4/13/2015</stp>
        <stp>[XIDA.xlsm]PricesH!R4C26</stp>
        <stp>Dts=H</stp>
        <stp>FX=USD</stp>
        <stp>CDR=US</stp>
        <stp/>
        <stp>PER=CD</stp>
        <tr r="Z4" s="6"/>
      </tp>
      <tp t="s">
        <v>#N/A Invalid Security</v>
        <stp/>
        <stp>##V3_BDHV12</stp>
        <stp xml:space="preserve"> EQUITY</stp>
        <stp>PX_LAST</stp>
        <stp>1/1/2015</stp>
        <stp>4/13/2015</stp>
        <stp>[XIDA.xlsm]PricesH!R4C19</stp>
        <stp>Dts=H</stp>
        <stp>FX=USD</stp>
        <stp>CDR=US</stp>
        <stp/>
        <stp>PER=CD</stp>
        <tr r="S4" s="6"/>
      </tp>
      <tp t="s">
        <v>#N/A Invalid Security</v>
        <stp/>
        <stp>##V3_BDHV12</stp>
        <stp xml:space="preserve"> EQUITY</stp>
        <stp>PX_LAST</stp>
        <stp>1/1/2015</stp>
        <stp>4/13/2015</stp>
        <stp>[XIDA.xlsm]PricesH!R4C18</stp>
        <stp>Dts=H</stp>
        <stp>FX=USD</stp>
        <stp>CDR=US</stp>
        <stp/>
        <stp>PER=CD</stp>
        <tr r="R4" s="6"/>
      </tp>
      <tp t="s">
        <v>#N/A Invalid Security</v>
        <stp/>
        <stp>##V3_BDHV12</stp>
        <stp xml:space="preserve"> EQUITY</stp>
        <stp>PX_LAST</stp>
        <stp>1/1/2015</stp>
        <stp>4/13/2015</stp>
        <stp>[XIDA.xlsm]PricesH!R4C11</stp>
        <stp>Dts=H</stp>
        <stp>FX=USD</stp>
        <stp>CDR=US</stp>
        <stp/>
        <stp>PER=CD</stp>
        <tr r="K4" s="6"/>
      </tp>
      <tp t="s">
        <v>#N/A Invalid Security</v>
        <stp/>
        <stp>##V3_BDHV12</stp>
        <stp xml:space="preserve"> EQUITY</stp>
        <stp>PX_LAST</stp>
        <stp>1/1/2015</stp>
        <stp>4/13/2015</stp>
        <stp>[XIDA.xlsm]PricesH!R4C10</stp>
        <stp>Dts=H</stp>
        <stp>FX=USD</stp>
        <stp>CDR=US</stp>
        <stp/>
        <stp>PER=CD</stp>
        <tr r="J4" s="6"/>
      </tp>
      <tp t="s">
        <v>#N/A Invalid Security</v>
        <stp/>
        <stp>##V3_BDHV12</stp>
        <stp xml:space="preserve"> EQUITY</stp>
        <stp>PX_LAST</stp>
        <stp>1/1/2015</stp>
        <stp>4/13/2015</stp>
        <stp>[XIDA.xlsm]PricesH!R4C13</stp>
        <stp>Dts=H</stp>
        <stp>FX=USD</stp>
        <stp>CDR=US</stp>
        <stp/>
        <stp>PER=CD</stp>
        <tr r="M4" s="6"/>
      </tp>
      <tp t="s">
        <v>#N/A Invalid Security</v>
        <stp/>
        <stp>##V3_BDHV12</stp>
        <stp xml:space="preserve"> EQUITY</stp>
        <stp>PX_LAST</stp>
        <stp>1/1/2015</stp>
        <stp>4/13/2015</stp>
        <stp>[XIDA.xlsm]PricesH!R4C12</stp>
        <stp>Dts=H</stp>
        <stp>FX=USD</stp>
        <stp>CDR=US</stp>
        <stp/>
        <stp>PER=CD</stp>
        <tr r="L4" s="6"/>
      </tp>
      <tp t="s">
        <v>#N/A Invalid Security</v>
        <stp/>
        <stp>##V3_BDHV12</stp>
        <stp xml:space="preserve"> EQUITY</stp>
        <stp>PX_LAST</stp>
        <stp>1/1/2015</stp>
        <stp>4/13/2015</stp>
        <stp>[XIDA.xlsm]PricesH!R4C15</stp>
        <stp>Dts=H</stp>
        <stp>FX=USD</stp>
        <stp>CDR=US</stp>
        <stp/>
        <stp>PER=CD</stp>
        <tr r="O4" s="6"/>
      </tp>
      <tp t="s">
        <v>#N/A Invalid Security</v>
        <stp/>
        <stp>##V3_BDHV12</stp>
        <stp xml:space="preserve"> EQUITY</stp>
        <stp>PX_LAST</stp>
        <stp>1/1/2015</stp>
        <stp>4/13/2015</stp>
        <stp>[XIDA.xlsm]PricesH!R4C14</stp>
        <stp>Dts=H</stp>
        <stp>FX=USD</stp>
        <stp>CDR=US</stp>
        <stp/>
        <stp>PER=CD</stp>
        <tr r="N4" s="6"/>
      </tp>
      <tp t="s">
        <v>#N/A Invalid Security</v>
        <stp/>
        <stp>##V3_BDHV12</stp>
        <stp xml:space="preserve"> EQUITY</stp>
        <stp>PX_LAST</stp>
        <stp>1/1/2015</stp>
        <stp>4/13/2015</stp>
        <stp>[XIDA.xlsm]PricesH!R4C17</stp>
        <stp>Dts=H</stp>
        <stp>FX=USD</stp>
        <stp>CDR=US</stp>
        <stp/>
        <stp>PER=CD</stp>
        <tr r="Q4" s="6"/>
      </tp>
      <tp t="s">
        <v>#N/A Invalid Security</v>
        <stp/>
        <stp>##V3_BDHV12</stp>
        <stp xml:space="preserve"> EQUITY</stp>
        <stp>PX_LAST</stp>
        <stp>1/1/2015</stp>
        <stp>4/13/2015</stp>
        <stp>[XIDA.xlsm]PricesH!R4C16</stp>
        <stp>Dts=H</stp>
        <stp>FX=USD</stp>
        <stp>CDR=US</stp>
        <stp/>
        <stp>PER=CD</stp>
        <tr r="P4" s="6"/>
      </tp>
      <tp t="s">
        <v>CAD</v>
        <stp/>
        <stp>##V3_BDPV12</stp>
        <stp>BB CN EQUITY</stp>
        <stp>CRNCY</stp>
        <stp>[XIDA.xlsm]Peers!R19C11</stp>
        <tr r="K19" s="4"/>
      </tp>
      <tp t="s">
        <v>9/30/2016</v>
        <stp/>
        <stp>##V3_BDPV12</stp>
        <stp>AAPL US EQUITY</stp>
        <stp>BEST_PERIOD_END_DATE</stp>
        <stp>[XIDA.xlsm]Financials!R11C19</stp>
        <stp>BEST_FPERIOD_OVERRIDE</stp>
        <stp>2FY</stp>
        <tr r="S11" s="8"/>
        <tr r="S11" s="8"/>
      </tp>
      <tp>
        <v>8050</v>
        <stp/>
        <stp>##V3_BDPV12</stp>
        <stp>AAPL US EQUITY</stp>
        <stp>TOT_LIAB_AND_EQY</stp>
        <stp>[XIDA.xlsm]Financials!R79C7</stp>
        <stp>EQY_FUND_RELATIVE_PERIOD</stp>
        <stp>-10FY</stp>
        <stp>EQY_FUND_CRNCY</stp>
        <stp>USD</stp>
        <stp>EQY_CONSOLIDATED</stp>
        <stp>Y</stp>
        <stp>Fill=B</stp>
        <tr r="G79" s="8"/>
      </tp>
      <tp t="s">
        <v>SAMSUNG ELECTRONICS CO LTD</v>
        <stp/>
        <stp>##V3_BDPV12</stp>
        <stp>005930 KS EQUITY</stp>
        <stp>NAME</stp>
        <stp>[XIDA.xlsm]Indices!R6C32</stp>
        <tr r="AF6" s="5"/>
      </tp>
      <tp>
        <v>2.6789291781170714</v>
        <stp/>
        <stp>##V3_BDPV12</stp>
        <stp>CSCO US EQUITY</stp>
        <stp>BEST_PX_SALES_RATIO</stp>
        <stp>[XIDA.xlsm]DataH!R28C11</stp>
        <stp>BEST_FPERIOD_OVERRIDE</stp>
        <stp>14BC</stp>
        <stp>EQY_CONSOLIDATED</stp>
        <stp>Y</stp>
        <tr r="K28" s="16"/>
      </tp>
      <tp t="s">
        <v>#N/A Invalid Security</v>
        <stp/>
        <stp>##V3_BDPV12</stp>
        <stp xml:space="preserve"> EQUITY</stp>
        <stp>CUST_TRR_RETURN_HOLDING_PER</stp>
        <stp>[XIDA.xlsm]DataH!R31C7</stp>
        <stp>CUST_TRR_START_DT</stp>
        <stp>20150224</stp>
        <stp>CUST_TRR_END_DT</stp>
        <stp>20150824</stp>
        <stp>CUST_TRR_CRNCY</stp>
        <stp>USD</stp>
        <tr r="G31" s="16"/>
      </tp>
      <tp t="s">
        <v>#N/A Invalid Security</v>
        <stp/>
        <stp>##V3_BDPV12</stp>
        <stp xml:space="preserve"> EQUITY</stp>
        <stp>CUST_TRR_RETURN_HOLDING_PER</stp>
        <stp>[XIDA.xlsm]DataH!R32C7</stp>
        <stp>CUST_TRR_START_DT</stp>
        <stp>20150224</stp>
        <stp>CUST_TRR_END_DT</stp>
        <stp>20150824</stp>
        <stp>CUST_TRR_CRNCY</stp>
        <stp>USD</stp>
        <tr r="G32" s="16"/>
      </tp>
      <tp t="s">
        <v>#N/A Invalid Security</v>
        <stp/>
        <stp>##V3_BDPV12</stp>
        <stp xml:space="preserve"> EQUITY</stp>
        <stp>CUST_TRR_RETURN_HOLDING_PER</stp>
        <stp>[XIDA.xlsm]DataH!R33C7</stp>
        <stp>CUST_TRR_START_DT</stp>
        <stp>20150224</stp>
        <stp>CUST_TRR_END_DT</stp>
        <stp>20150824</stp>
        <stp>CUST_TRR_CRNCY</stp>
        <stp>USD</stp>
        <tr r="G33" s="16"/>
      </tp>
      <tp t="s">
        <v>#N/A Invalid Security</v>
        <stp/>
        <stp>##V3_BDPV12</stp>
        <stp xml:space="preserve"> EQUITY</stp>
        <stp>CUST_TRR_RETURN_HOLDING_PER</stp>
        <stp>[XIDA.xlsm]DataH!R34C7</stp>
        <stp>CUST_TRR_START_DT</stp>
        <stp>20150224</stp>
        <stp>CUST_TRR_END_DT</stp>
        <stp>20150824</stp>
        <stp>CUST_TRR_CRNCY</stp>
        <stp>USD</stp>
        <tr r="G34" s="16"/>
      </tp>
      <tp t="s">
        <v>#N/A Invalid Security</v>
        <stp/>
        <stp>##V3_BDPV12</stp>
        <stp xml:space="preserve"> EQUITY</stp>
        <stp>CUST_TRR_RETURN_HOLDING_PER</stp>
        <stp>[XIDA.xlsm]DataH!R35C7</stp>
        <stp>CUST_TRR_START_DT</stp>
        <stp>20150224</stp>
        <stp>CUST_TRR_END_DT</stp>
        <stp>20150824</stp>
        <stp>CUST_TRR_CRNCY</stp>
        <stp>USD</stp>
        <tr r="G35" s="16"/>
      </tp>
      <tp t="s">
        <v>#N/A Invalid Security</v>
        <stp/>
        <stp>##V3_BDPV12</stp>
        <stp xml:space="preserve"> EQUITY</stp>
        <stp>CUST_TRR_RETURN_HOLDING_PER</stp>
        <stp>[XIDA.xlsm]DataH!R36C7</stp>
        <stp>CUST_TRR_START_DT</stp>
        <stp>20150224</stp>
        <stp>CUST_TRR_END_DT</stp>
        <stp>20150824</stp>
        <stp>CUST_TRR_CRNCY</stp>
        <stp>USD</stp>
        <tr r="G36" s="16"/>
      </tp>
      <tp t="s">
        <v>#N/A Invalid Security</v>
        <stp/>
        <stp>##V3_BDPV12</stp>
        <stp xml:space="preserve"> EQUITY</stp>
        <stp>CUST_TRR_RETURN_HOLDING_PER</stp>
        <stp>[XIDA.xlsm]DataH!R37C7</stp>
        <stp>CUST_TRR_START_DT</stp>
        <stp>20150224</stp>
        <stp>CUST_TRR_END_DT</stp>
        <stp>20150824</stp>
        <stp>CUST_TRR_CRNCY</stp>
        <stp>USD</stp>
        <tr r="G37" s="16"/>
      </tp>
      <tp t="s">
        <v>#N/A Invalid Security</v>
        <stp/>
        <stp>##V3_BDPV12</stp>
        <stp xml:space="preserve"> EQUITY</stp>
        <stp>CUST_TRR_RETURN_HOLDING_PER</stp>
        <stp>[XIDA.xlsm]DataH!R38C7</stp>
        <stp>CUST_TRR_START_DT</stp>
        <stp>20150224</stp>
        <stp>CUST_TRR_END_DT</stp>
        <stp>20150824</stp>
        <stp>CUST_TRR_CRNCY</stp>
        <stp>USD</stp>
        <tr r="G38" s="16"/>
      </tp>
      <tp t="s">
        <v>#N/A Invalid Security</v>
        <stp/>
        <stp>##V3_BDPV12</stp>
        <stp xml:space="preserve"> EQUITY</stp>
        <stp>CUST_TRR_RETURN_HOLDING_PER</stp>
        <stp>[XIDA.xlsm]DataH!R39C7</stp>
        <stp>CUST_TRR_START_DT</stp>
        <stp>20150224</stp>
        <stp>CUST_TRR_END_DT</stp>
        <stp>20150824</stp>
        <stp>CUST_TRR_CRNCY</stp>
        <stp>USD</stp>
        <tr r="G39" s="16"/>
      </tp>
      <tp>
        <v>10011.097900000001</v>
        <stp/>
        <stp>##V3_BDHV12</stp>
        <stp>ALU FP EQUITY</stp>
        <stp>CUR_MKT_CAP</stp>
        <stp>1/1/2015</stp>
        <stp>4/13/2015</stp>
        <stp>[XIDA.xlsm]MarketCapH!R4C7</stp>
        <stp>Dts=H</stp>
        <stp>FX=USD</stp>
        <stp>CDR=US</stp>
        <stp/>
        <stp>PER=CD</stp>
        <stp>cols=1;rows=69</stp>
        <tr r="G4" s="7"/>
      </tp>
      <tp t="s">
        <v>Communications Equipment</v>
        <stp/>
        <stp>##V3_BDPV12</stp>
        <stp>ERICB SS EQUITY</stp>
        <stp>GICS_SUB_INDUSTRY_NAME</stp>
        <stp>[XIDA.xlsm]Peers!R25C8</stp>
        <tr r="H25" s="4"/>
      </tp>
      <tp>
        <v>1229</v>
        <stp/>
        <stp>##V3_BDPV12</stp>
        <stp>AAPL US EQUITY</stp>
        <stp>BS_OTHER_ST_LIAB</stp>
        <stp>[XIDA.xlsm]Financials!R65C7</stp>
        <stp>EQY_FUND_RELATIVE_PERIOD</stp>
        <stp>-10FY</stp>
        <stp>EQY_FUND_CRNCY</stp>
        <stp>USD</stp>
        <stp>EQY_CONSOLIDATED</stp>
        <stp>Y</stp>
        <stp>Fill=B</stp>
        <tr r="G65" s="8"/>
      </tp>
      <tp>
        <v>1.7003835002463235</v>
        <stp/>
        <stp>##V3_BDPV12</stp>
        <stp>BB CN EQUITY</stp>
        <stp>BEST_PX_SALES_RATIO</stp>
        <stp>[XIDA.xlsm]DataH!R24C14</stp>
        <stp>BEST_FPERIOD_OVERRIDE</stp>
        <stp>17BC</stp>
        <stp>EQY_CONSOLIDATED</stp>
        <stp>Y</stp>
        <tr r="N24" s="16"/>
      </tp>
      <tp>
        <v>73803.460900000005</v>
        <stp/>
        <stp>##V3_BDHV12</stp>
        <stp>HPQ US EQUITY</stp>
        <stp>CUR_MKT_CAP</stp>
        <stp>1/1/2015</stp>
        <stp>4/13/2015</stp>
        <stp>[XIDA.xlsm]MarketCapH!R4C5</stp>
        <stp>Dts=H</stp>
        <stp>FX=USD</stp>
        <stp>CDR=US</stp>
        <stp/>
        <stp>PER=CD</stp>
        <stp>cols=1;rows=69</stp>
        <tr r="E4" s="7"/>
      </tp>
      <tp t="s">
        <v>#N/A Requesting Data...</v>
        <stp/>
        <stp>##V3_BDSV12</stp>
        <stp>AAPL US EQUITY</stp>
        <stp>BEST_CAPEX_BROKER_GRID</stp>
        <stp>[XIDA.xlsm]DataH!R8C79</stp>
        <stp>BEST_FPERIOD_OVERRIDE</stp>
        <stp>3FQ</stp>
        <stp>STARTCOL=1</stp>
        <stp>ENDCOL=1</stp>
        <stp>EQY_FUND_CRNCY</stp>
        <stp>USD</stp>
        <stp>BEST_CONSOLIDATED_OVERRIDE</stp>
        <stp>C</stp>
        <tr r="CA8" s="16"/>
      </tp>
      <tp>
        <v>2.6586558800106532</v>
        <stp/>
        <stp>##V3_BDPV12</stp>
        <stp>CSCO US EQUITY</stp>
        <stp>BEST_PX_SALES_RATIO</stp>
        <stp>[XIDA.xlsm]DataH!R28C10</stp>
        <stp>BEST_FPERIOD_OVERRIDE</stp>
        <stp>13BC</stp>
        <stp>EQY_CONSOLIDATED</stp>
        <stp>Y</stp>
        <tr r="J28" s="16"/>
      </tp>
      <tp>
        <v>707</v>
        <stp/>
        <stp>##V3_BDPV12</stp>
        <stp>AAPL US EQUITY</stp>
        <stp>BS_NET_FIX_ASSET</stp>
        <stp>[XIDA.xlsm]Financials!R59C7</stp>
        <stp>EQY_FUND_RELATIVE_PERIOD</stp>
        <stp>-10FY</stp>
        <stp>EQY_FUND_CRNCY</stp>
        <stp>USD</stp>
        <stp>EQY_CONSOLIDATED</stp>
        <stp>Y</stp>
        <stp>Fill=B</stp>
        <tr r="G59" s="8"/>
      </tp>
      <tp>
        <v>0</v>
        <stp/>
        <stp>##V3_BDPV12</stp>
        <stp>AAPL US EQUITY</stp>
        <stp>MIN_NONCONTROL_INTEREST_CREDITS</stp>
        <stp>[XIDA.xlsm]Financials!R31C7</stp>
        <stp>EQY_FUND_RELATIVE_PERIOD</stp>
        <stp>-10FY</stp>
        <stp>EQY_FUND_CRNCY</stp>
        <stp>USD</stp>
        <stp>EQY_CONSOLIDATED</stp>
        <stp>Y</stp>
        <stp>Fill=B</stp>
        <tr r="G31" s="8"/>
      </tp>
      <tp>
        <v>7.792878637363728</v>
        <stp/>
        <stp>##V3_BDPV12</stp>
        <stp>AAPL US EQUITY</stp>
        <stp>EV_TO_T12M_EBITDA</stp>
        <stp>[XIDA.xlsm]Overview!R35C8</stp>
        <stp>EQY_FUND_RELATIVE_PERIOD</stp>
        <stp>-0FY</stp>
        <stp>EQY_CONSOLIDATED</stp>
        <stp>Y</stp>
        <stp>Fill=-</stp>
        <tr r="H35" s="3"/>
      </tp>
      <tp>
        <v>8.6349388707748034</v>
        <stp/>
        <stp>##V3_BDPV12</stp>
        <stp>AAPL US EQUITY</stp>
        <stp>EV_TO_T12M_EBITDA</stp>
        <stp>[XIDA.xlsm]Overview!R35C6</stp>
        <stp>EQY_FUND_RELATIVE_PERIOD</stp>
        <stp>-2FY</stp>
        <stp>EQY_CONSOLIDATED</stp>
        <stp>Y</stp>
        <stp>Fill=-</stp>
        <tr r="F35" s="3"/>
      </tp>
      <tp>
        <v>8.2613383636670044</v>
        <stp/>
        <stp>##V3_BDPV12</stp>
        <stp>AAPL US EQUITY</stp>
        <stp>EV_TO_T12M_EBITDA</stp>
        <stp>[XIDA.xlsm]Overview!R35C5</stp>
        <stp>EQY_FUND_RELATIVE_PERIOD</stp>
        <stp>-3FY</stp>
        <stp>EQY_CONSOLIDATED</stp>
        <stp>Y</stp>
        <stp>Fill=-</stp>
        <tr r="E35" s="3"/>
      </tp>
      <tp>
        <v>5.457602334277925</v>
        <stp/>
        <stp>##V3_BDPV12</stp>
        <stp>AAPL US EQUITY</stp>
        <stp>EV_TO_T12M_EBITDA</stp>
        <stp>[XIDA.xlsm]Overview!R35C7</stp>
        <stp>EQY_FUND_RELATIVE_PERIOD</stp>
        <stp>-1FY</stp>
        <stp>EQY_CONSOLIDATED</stp>
        <stp>Y</stp>
        <stp>Fill=-</stp>
        <tr r="G35" s="3"/>
      </tp>
      <tp>
        <v>1335</v>
        <stp/>
        <stp>##V3_BDPV12</stp>
        <stp>AAPL US EQUITY</stp>
        <stp>CF_NET_INC</stp>
        <stp>[XIDA.xlsm]Financials!R85C8</stp>
        <stp>EQY_FUND_RELATIVE_PERIOD</stp>
        <stp>-9FY</stp>
        <stp>EQY_FUND_CRNCY</stp>
        <stp>USD</stp>
        <stp>EQY_CONSOLIDATED</stp>
        <stp>Y</stp>
        <stp>Fill=B</stp>
        <tr r="H85" s="8"/>
      </tp>
      <tp>
        <v>1989</v>
        <stp/>
        <stp>##V3_BDPV12</stp>
        <stp>AAPL US EQUITY</stp>
        <stp>CF_NET_INC</stp>
        <stp>[XIDA.xlsm]Financials!R85C9</stp>
        <stp>EQY_FUND_RELATIVE_PERIOD</stp>
        <stp>-8FY</stp>
        <stp>EQY_FUND_CRNCY</stp>
        <stp>USD</stp>
        <stp>EQY_CONSOLIDATED</stp>
        <stp>Y</stp>
        <stp>Fill=B</stp>
        <tr r="I85" s="8"/>
      </tp>
      <tp t="s">
        <v>#N/A Requesting Data...</v>
        <stp/>
        <stp>##V3_BDSV12</stp>
        <stp>AAPL US EQUITY</stp>
        <stp>BEST_CAPEX_BROKER_GRID</stp>
        <stp>[XIDA.xlsm]DataH!R8C78</stp>
        <stp>BEST_FPERIOD_OVERRIDE</stp>
        <stp>1FQ</stp>
        <stp>STARTCOL=6</stp>
        <stp>ENDCOL=6</stp>
        <stp>EQY_FUND_CRNCY</stp>
        <stp>USD</stp>
        <stp>BEST_CONSOLIDATED_OVERRIDE</stp>
        <stp>C</stp>
        <tr r="BZ8" s="16"/>
      </tp>
      <tp>
        <v>2.4762375019826166</v>
        <stp/>
        <stp>##V3_BDPV12</stp>
        <stp>CSCO US EQUITY</stp>
        <stp>BEST_PX_SALES_RATIO</stp>
        <stp>[XIDA.xlsm]DataH!R28C13</stp>
        <stp>BEST_FPERIOD_OVERRIDE</stp>
        <stp>16BC</stp>
        <stp>EQY_CONSOLIDATED</stp>
        <stp>Y</stp>
        <tr r="M28" s="16"/>
      </tp>
      <tp>
        <v>42104</v>
        <stp/>
        <stp>##V3_BDHV12</stp>
        <stp>AAPL US EQUITY</stp>
        <stp>PX_LAST</stp>
        <stp>1/1/2015</stp>
        <stp>4/13/2015</stp>
        <stp>[XIDA.xlsm]DataH!R3C22</stp>
        <stp>PER=CW</stp>
        <stp>SORT=D</stp>
        <stp>DAYS=A</stp>
        <stp>Fill=P</stp>
        <stp>FX=USD</stp>
        <stp>cols=2;rows=15</stp>
        <tr r="V3" s="16"/>
      </tp>
      <tp t="s">
        <v>#N/A Invalid Security</v>
        <stp/>
        <stp>##V3_BDPV12</stp>
        <stp xml:space="preserve"> EQUITY</stp>
        <stp>CUST_TRR_RETURN_HOLDING_PER</stp>
        <stp>[XIDA.xlsm]DataH!R40C6</stp>
        <stp>CUST_TRR_START_DT</stp>
        <stp>20150724</stp>
        <stp>CUST_TRR_END_DT</stp>
        <stp>20150824</stp>
        <stp>CUST_TRR_CRNCY</stp>
        <stp>USD</stp>
        <tr r="F40" s="16"/>
      </tp>
      <tp t="s">
        <v>#N/A Invalid Security</v>
        <stp/>
        <stp>##V3_BDPV12</stp>
        <stp xml:space="preserve"> EQUITY</stp>
        <stp>CUST_TRR_RETURN_HOLDING_PER</stp>
        <stp>[XIDA.xlsm]DataH!R41C6</stp>
        <stp>CUST_TRR_START_DT</stp>
        <stp>20150724</stp>
        <stp>CUST_TRR_END_DT</stp>
        <stp>20150824</stp>
        <stp>CUST_TRR_CRNCY</stp>
        <stp>USD</stp>
        <tr r="F41" s="16"/>
      </tp>
      <tp t="s">
        <v>#N/A Invalid Security</v>
        <stp/>
        <stp>##V3_BDPV12</stp>
        <stp xml:space="preserve"> EQUITY</stp>
        <stp>CUST_TRR_RETURN_HOLDING_PER</stp>
        <stp>[XIDA.xlsm]DataH!R42C6</stp>
        <stp>CUST_TRR_START_DT</stp>
        <stp>20150724</stp>
        <stp>CUST_TRR_END_DT</stp>
        <stp>20150824</stp>
        <stp>CUST_TRR_CRNCY</stp>
        <stp>USD</stp>
        <tr r="F42" s="16"/>
      </tp>
      <tp t="s">
        <v>#N/A Invalid Security</v>
        <stp/>
        <stp>##V3_BDPV12</stp>
        <stp xml:space="preserve"> EQUITY</stp>
        <stp>CUST_TRR_RETURN_HOLDING_PER</stp>
        <stp>[XIDA.xlsm]DataH!R43C6</stp>
        <stp>CUST_TRR_START_DT</stp>
        <stp>20150724</stp>
        <stp>CUST_TRR_END_DT</stp>
        <stp>20150824</stp>
        <stp>CUST_TRR_CRNCY</stp>
        <stp>USD</stp>
        <tr r="F43" s="16"/>
      </tp>
      <tp t="e">
        <v>#N/A</v>
        <stp/>
        <stp>##V3_BDHV12</stp>
        <stp>AAPL US EQUITY</stp>
        <stp>TOT_HOLD_REC</stp>
        <stp>ED-13AM</stp>
        <stp/>
        <stp>[XIDA.xlsm]DataH!R41C3</stp>
        <stp>BEST FPERIOD OVERRIDE</stp>
        <stp>1FY</stp>
        <stp>PER=CM</stp>
        <stp>SORT=D</stp>
        <stp>DAYS=W</stp>
        <stp>Fill=P</stp>
        <stp>DTS=H</stp>
        <stp>cols=1;rows=13</stp>
        <tr r="C41" s="16"/>
      </tp>
      <tp t="s">
        <v>#N/A Invalid Security</v>
        <stp/>
        <stp>##V3_BDPV12</stp>
        <stp xml:space="preserve"> EQUITY</stp>
        <stp>CUST_TRR_RETURN_HOLDING_PER</stp>
        <stp>[XIDA.xlsm]DataH!R44C6</stp>
        <stp>CUST_TRR_START_DT</stp>
        <stp>20150724</stp>
        <stp>CUST_TRR_END_DT</stp>
        <stp>20150824</stp>
        <stp>CUST_TRR_CRNCY</stp>
        <stp>USD</stp>
        <tr r="F44" s="16"/>
      </tp>
      <tp t="s">
        <v>#N/A Invalid Security</v>
        <stp/>
        <stp>##V3_BDPV12</stp>
        <stp xml:space="preserve"> EQUITY</stp>
        <stp>CUST_TRR_RETURN_HOLDING_PER</stp>
        <stp>[XIDA.xlsm]DataH!R45C6</stp>
        <stp>CUST_TRR_START_DT</stp>
        <stp>20150724</stp>
        <stp>CUST_TRR_END_DT</stp>
        <stp>20150824</stp>
        <stp>CUST_TRR_CRNCY</stp>
        <stp>USD</stp>
        <tr r="F45" s="16"/>
      </tp>
      <tp t="s">
        <v>#N/A Invalid Security</v>
        <stp/>
        <stp>##V3_BDPV12</stp>
        <stp xml:space="preserve"> EQUITY</stp>
        <stp>CUST_TRR_RETURN_HOLDING_PER</stp>
        <stp>[XIDA.xlsm]DataH!R46C6</stp>
        <stp>CUST_TRR_START_DT</stp>
        <stp>20150724</stp>
        <stp>CUST_TRR_END_DT</stp>
        <stp>20150824</stp>
        <stp>CUST_TRR_CRNCY</stp>
        <stp>USD</stp>
        <tr r="F46" s="16"/>
      </tp>
      <tp t="s">
        <v>#N/A Invalid Security</v>
        <stp/>
        <stp>##V3_BDPV12</stp>
        <stp xml:space="preserve"> EQUITY</stp>
        <stp>CUST_TRR_RETURN_HOLDING_PER</stp>
        <stp>[XIDA.xlsm]DataH!R47C6</stp>
        <stp>CUST_TRR_START_DT</stp>
        <stp>20150724</stp>
        <stp>CUST_TRR_END_DT</stp>
        <stp>20150824</stp>
        <stp>CUST_TRR_CRNCY</stp>
        <stp>USD</stp>
        <tr r="F47" s="16"/>
      </tp>
      <tp t="s">
        <v>#N/A Invalid Security</v>
        <stp/>
        <stp>##V3_BDPV12</stp>
        <stp xml:space="preserve"> EQUITY</stp>
        <stp>CUST_TRR_RETURN_HOLDING_PER</stp>
        <stp>[XIDA.xlsm]DataH!R48C6</stp>
        <stp>CUST_TRR_START_DT</stp>
        <stp>20150724</stp>
        <stp>CUST_TRR_END_DT</stp>
        <stp>20150824</stp>
        <stp>CUST_TRR_CRNCY</stp>
        <stp>USD</stp>
        <tr r="F48" s="16"/>
      </tp>
      <tp t="s">
        <v>#N/A Invalid Security</v>
        <stp/>
        <stp>##V3_BDPV12</stp>
        <stp xml:space="preserve"> EQUITY</stp>
        <stp>CUST_TRR_RETURN_HOLDING_PER</stp>
        <stp>[XIDA.xlsm]DataH!R49C6</stp>
        <stp>CUST_TRR_START_DT</stp>
        <stp>20150724</stp>
        <stp>CUST_TRR_END_DT</stp>
        <stp>20150824</stp>
        <stp>CUST_TRR_CRNCY</stp>
        <stp>USD</stp>
        <tr r="F49" s="16"/>
      </tp>
      <tp>
        <v>21.614376760852323</v>
        <stp/>
        <stp>##V3_BDPV12</stp>
        <stp>AAPL US EQUITY</stp>
        <stp>PROF_MARGIN</stp>
        <stp>[XIDA.xlsm]Overview!R45C8</stp>
        <stp>EQY_FUND_RELATIVE_PERIOD</stp>
        <stp>-0FY</stp>
        <stp>EQY_CONSOLIDATED</stp>
        <stp>Y</stp>
        <stp>Fill=-</stp>
        <tr r="H45" s="3"/>
      </tp>
      <tp>
        <v>23.946641539413761</v>
        <stp/>
        <stp>##V3_BDPV12</stp>
        <stp>AAPL US EQUITY</stp>
        <stp>PROF_MARGIN</stp>
        <stp>[XIDA.xlsm]Overview!R45C5</stp>
        <stp>EQY_FUND_RELATIVE_PERIOD</stp>
        <stp>-3FY</stp>
        <stp>EQY_CONSOLIDATED</stp>
        <stp>Y</stp>
        <stp>Fill=-</stp>
        <tr r="E45" s="3"/>
      </tp>
      <tp>
        <v>21.670469837926394</v>
        <stp/>
        <stp>##V3_BDPV12</stp>
        <stp>AAPL US EQUITY</stp>
        <stp>PROF_MARGIN</stp>
        <stp>[XIDA.xlsm]Overview!R45C7</stp>
        <stp>EQY_FUND_RELATIVE_PERIOD</stp>
        <stp>-1FY</stp>
        <stp>EQY_CONSOLIDATED</stp>
        <stp>Y</stp>
        <stp>Fill=-</stp>
        <tr r="G45" s="3"/>
      </tp>
      <tp>
        <v>26.665090602397324</v>
        <stp/>
        <stp>##V3_BDPV12</stp>
        <stp>AAPL US EQUITY</stp>
        <stp>PROF_MARGIN</stp>
        <stp>[XIDA.xlsm]Overview!R45C6</stp>
        <stp>EQY_FUND_RELATIVE_PERIOD</stp>
        <stp>-2FY</stp>
        <stp>EQY_CONSOLIDATED</stp>
        <stp>Y</stp>
        <stp>Fill=-</stp>
        <tr r="F45" s="3"/>
      </tp>
      <tp t="e">
        <v>#N/A</v>
        <stp/>
        <stp>##V3_BDHV12</stp>
        <stp>AAPL US EQUITY</stp>
        <stp>BEST_EPS</stp>
        <stp>1/1/2015</stp>
        <stp>4/13/2015</stp>
        <stp>[XIDA.xlsm]DataH!R3C25</stp>
        <stp>BEST FPERIOD OVERRIDE</stp>
        <stp>2GY</stp>
        <stp>BEST_CONSOLIDATED_OVERRIDE</stp>
        <stp>C</stp>
        <stp>PER=CW</stp>
        <stp>SORT=D</stp>
        <stp>DAYS=A</stp>
        <stp>Fill=P</stp>
        <stp>DTS=H</stp>
        <stp>cols=1;rows=15</stp>
        <tr r="Y3" s="16"/>
      </tp>
      <tp t="e">
        <v>#N/A</v>
        <stp/>
        <stp>##V3_BDHV12</stp>
        <stp>AAPL US EQUITY</stp>
        <stp>BEST_EPS</stp>
        <stp>1/1/2015</stp>
        <stp>4/13/2015</stp>
        <stp>[XIDA.xlsm]DataH!R3C24</stp>
        <stp>BEST FPERIOD OVERRIDE</stp>
        <stp>1GY</stp>
        <stp>BEST_CONSOLIDATED_OVERRIDE</stp>
        <stp>C</stp>
        <stp>PER=CW</stp>
        <stp>SORT=D</stp>
        <stp>DAYS=A</stp>
        <stp>Fill=P</stp>
        <stp>DTS=H</stp>
        <stp>cols=1;rows=15</stp>
        <tr r="X3" s="16"/>
      </tp>
      <tp t="e">
        <v>#N/A</v>
        <stp/>
        <stp>##V3_BDHV12</stp>
        <stp>AAPL US EQUITY</stp>
        <stp>BEST_EPS</stp>
        <stp>1/1/2015</stp>
        <stp>4/13/2015</stp>
        <stp>[XIDA.xlsm]DataH!R3C26</stp>
        <stp>BEST FPERIOD OVERRIDE</stp>
        <stp>3GY</stp>
        <stp>BEST_CONSOLIDATED_OVERRIDE</stp>
        <stp>C</stp>
        <stp>PER=CW</stp>
        <stp>SORT=D</stp>
        <stp>DAYS=A</stp>
        <stp>Fill=P</stp>
        <stp>DTS=H</stp>
        <stp>cols=1;rows=15</stp>
        <tr r="Z3" s="16"/>
      </tp>
      <tp>
        <v>34.102564102564102</v>
        <stp/>
        <stp>##V3_BDPV12</stp>
        <stp>AAPL US EQUITY</stp>
        <stp>PE_RATIO</stp>
        <stp>[XIDA.xlsm]Financials!R118C8</stp>
        <stp>EQY_FUND_RELATIVE_PERIOD</stp>
        <stp>-9FY</stp>
        <stp>EQY_FUND_CRNCY</stp>
        <stp>USD</stp>
        <stp>EQY_CONSOLIDATED</stp>
        <stp>Y</stp>
        <stp>Fill=B</stp>
        <tr r="H118" s="8"/>
      </tp>
      <tp>
        <v>33.911894273127757</v>
        <stp/>
        <stp>##V3_BDPV12</stp>
        <stp>AAPL US EQUITY</stp>
        <stp>PE_RATIO</stp>
        <stp>[XIDA.xlsm]Financials!R118C9</stp>
        <stp>EQY_FUND_RELATIVE_PERIOD</stp>
        <stp>-8FY</stp>
        <stp>EQY_FUND_CRNCY</stp>
        <stp>USD</stp>
        <stp>EQY_CONSOLIDATED</stp>
        <stp>Y</stp>
        <stp>Fill=B</stp>
        <tr r="I118" s="8"/>
      </tp>
      <tp>
        <v>2.5636022087985242</v>
        <stp/>
        <stp>##V3_BDPV12</stp>
        <stp>CSCO US EQUITY</stp>
        <stp>BEST_PX_SALES_RATIO</stp>
        <stp>[XIDA.xlsm]DataH!R28C12</stp>
        <stp>BEST_FPERIOD_OVERRIDE</stp>
        <stp>15BC</stp>
        <stp>EQY_CONSOLIDATED</stp>
        <stp>Y</stp>
        <tr r="L28" s="16"/>
      </tp>
      <tp>
        <v>38.588035777783858</v>
        <stp/>
        <stp>##V3_BDPV12</stp>
        <stp>AAPL US EQUITY</stp>
        <stp>GROSS_MARGIN</stp>
        <stp>[XIDA.xlsm]Overview!R42C8</stp>
        <stp>EQY_FUND_RELATIVE_PERIOD</stp>
        <stp>-0FY</stp>
        <stp>EQY_CONSOLIDATED</stp>
        <stp>Y</stp>
        <stp>Fill=-</stp>
        <tr r="H42" s="3"/>
      </tp>
      <tp>
        <v>43.871239808827667</v>
        <stp/>
        <stp>##V3_BDPV12</stp>
        <stp>AAPL US EQUITY</stp>
        <stp>GROSS_MARGIN</stp>
        <stp>[XIDA.xlsm]Overview!R42C6</stp>
        <stp>EQY_FUND_RELATIVE_PERIOD</stp>
        <stp>-2FY</stp>
        <stp>EQY_CONSOLIDATED</stp>
        <stp>Y</stp>
        <stp>Fill=-</stp>
        <tr r="F42" s="3"/>
      </tp>
      <tp>
        <v>40.478895878945764</v>
        <stp/>
        <stp>##V3_BDPV12</stp>
        <stp>AAPL US EQUITY</stp>
        <stp>GROSS_MARGIN</stp>
        <stp>[XIDA.xlsm]Overview!R42C5</stp>
        <stp>EQY_FUND_RELATIVE_PERIOD</stp>
        <stp>-3FY</stp>
        <stp>EQY_CONSOLIDATED</stp>
        <stp>Y</stp>
        <stp>Fill=-</stp>
        <tr r="E42" s="3"/>
      </tp>
      <tp>
        <v>37.624480720847231</v>
        <stp/>
        <stp>##V3_BDPV12</stp>
        <stp>AAPL US EQUITY</stp>
        <stp>GROSS_MARGIN</stp>
        <stp>[XIDA.xlsm]Overview!R42C7</stp>
        <stp>EQY_FUND_RELATIVE_PERIOD</stp>
        <stp>-1FY</stp>
        <stp>EQY_CONSOLIDATED</stp>
        <stp>Y</stp>
        <stp>Fill=-</stp>
        <tr r="G42" s="3"/>
      </tp>
      <tp t="s">
        <v>#N/A Invalid Security</v>
        <stp/>
        <stp>##V3_BDPV12</stp>
        <stp xml:space="preserve"> EQUITY</stp>
        <stp>CUST_TRR_RETURN_HOLDING_PER</stp>
        <stp>[XIDA.xlsm]DataH!R50C6</stp>
        <stp>CUST_TRR_START_DT</stp>
        <stp>20150724</stp>
        <stp>CUST_TRR_END_DT</stp>
        <stp>20150824</stp>
        <stp>CUST_TRR_CRNCY</stp>
        <stp>USD</stp>
        <tr r="F50" s="16"/>
      </tp>
      <tp t="s">
        <v>USD</v>
        <stp/>
        <stp>##V3_BDPV12</stp>
        <stp>HPQ US EQUITY</stp>
        <stp>CRNCY</stp>
        <stp>[XIDA.xlsm]Peers!R22C11</stp>
        <tr r="K22" s="4"/>
      </tp>
      <tp t="s">
        <v>#N/A Invalid Security</v>
        <stp/>
        <stp>##V3_BDPV12</stp>
        <stp xml:space="preserve"> EQUITY</stp>
        <stp>CUST_TRR_RETURN_HOLDING_PER</stp>
        <stp>[XIDA.xlsm]DataH!R51C6</stp>
        <stp>CUST_TRR_START_DT</stp>
        <stp>20150724</stp>
        <stp>CUST_TRR_END_DT</stp>
        <stp>20150824</stp>
        <stp>CUST_TRR_CRNCY</stp>
        <stp>USD</stp>
        <tr r="F51" s="16"/>
      </tp>
      <tp t="s">
        <v>#N/A Invalid Security</v>
        <stp/>
        <stp>##V3_BDPV12</stp>
        <stp xml:space="preserve"> EQUITY</stp>
        <stp>CUST_TRR_RETURN_HOLDING_PER</stp>
        <stp>[XIDA.xlsm]DataH!R52C6</stp>
        <stp>CUST_TRR_START_DT</stp>
        <stp>20150724</stp>
        <stp>CUST_TRR_END_DT</stp>
        <stp>20150824</stp>
        <stp>CUST_TRR_CRNCY</stp>
        <stp>USD</stp>
        <tr r="F52" s="16"/>
      </tp>
      <tp t="s">
        <v>9/30/2016</v>
        <stp/>
        <stp>##V3_BDPV12</stp>
        <stp>AAPL US EQUITY</stp>
        <stp>BEST_PERIOD_END_DATE</stp>
        <stp>[XIDA.xlsm]Overview!R32C10</stp>
        <stp>BEST_FPERIOD_OVERRIDE</stp>
        <stp>2FY</stp>
        <tr r="J32" s="3"/>
        <tr r="J32" s="3"/>
      </tp>
      <tp t="s">
        <v>9/30/2017</v>
        <stp/>
        <stp>##V3_BDPV12</stp>
        <stp>AAPL US EQUITY</stp>
        <stp>BEST_PERIOD_END_DATE</stp>
        <stp>[XIDA.xlsm]Overview!R32C11</stp>
        <stp>BEST_FPERIOD_OVERRIDE</stp>
        <stp>3FY</stp>
        <tr r="K32" s="3"/>
        <tr r="K32" s="3"/>
      </tp>
      <tp t="s">
        <v>USD</v>
        <stp/>
        <stp>##V3_BDPV12</stp>
        <stp>AAPL US EQUITY</stp>
        <stp>EQY_FUND_CRNCY</stp>
        <stp>[XIDA.xlsm]Overview!R12C2</stp>
        <tr r="B12" s="3"/>
      </tp>
      <tp t="s">
        <v>STABLE</v>
        <stp/>
        <stp>##V3_BDPV12</stp>
        <stp>AAPL US EQUITY</stp>
        <stp>RTG_MDY_OUTLOOK</stp>
        <stp>[XIDA.xlsm]Overview!R27C11</stp>
        <tr r="K27" s="3"/>
        <tr r="K27" s="3"/>
      </tp>
      <tp>
        <v>588064.69264000002</v>
        <stp/>
        <stp>##V3_BDPV12</stp>
        <stp>AAPL US EQUITY</stp>
        <stp>CRNCY_ADJ_MKT_CAP</stp>
        <stp>[XIDA.xlsm]Overview!R51C20</stp>
        <stp>EQY_FUND_CRNCY</stp>
        <stp>USD</stp>
        <stp>EQY_CONSOLIDATED</stp>
        <stp>Y</stp>
        <stp>Fill=0</stp>
        <tr r="T51" s="3"/>
      </tp>
      <tp>
        <v>0.46664334061153279</v>
        <stp/>
        <stp>##V3_BDPV12</stp>
        <stp>BB CN EQUITY</stp>
        <stp>BEST_PX_SALES_RATIO</stp>
        <stp>[XIDA.xlsm]DataH!R24C10</stp>
        <stp>BEST_FPERIOD_OVERRIDE</stp>
        <stp>13BC</stp>
        <stp>EQY_CONSOLIDATED</stp>
        <stp>Y</stp>
        <tr r="J24" s="16"/>
      </tp>
      <tp>
        <v>0.22773483929603591</v>
        <stp/>
        <stp>##V3_BDPV12</stp>
        <stp>AAPL US EQUITY</stp>
        <stp>BEST_NI_ADJ_TO_SALES</stp>
        <stp>[XIDA.xlsm]Financials!R129C18</stp>
        <stp>BEST_FPERIOD_OVERRIDE</stp>
        <stp>1FY</stp>
        <stp>EQY_FUND_CRNCY</stp>
        <stp>USD</stp>
        <stp>BEST_CONSOLIDATED_OVERRIDE</stp>
        <stp>C</stp>
        <stp>Fill=B</stp>
        <tr r="R129" s="8"/>
      </tp>
      <tp>
        <v>0.22197227811086623</v>
        <stp/>
        <stp>##V3_BDPV12</stp>
        <stp>AAPL US EQUITY</stp>
        <stp>BEST_NI_ADJ_TO_SALES</stp>
        <stp>[XIDA.xlsm]Financials!R129C19</stp>
        <stp>BEST_FPERIOD_OVERRIDE</stp>
        <stp>2FY</stp>
        <stp>EQY_FUND_CRNCY</stp>
        <stp>USD</stp>
        <stp>BEST_CONSOLIDATED_OVERRIDE</stp>
        <stp>C</stp>
        <stp>Fill=B</stp>
        <tr r="S129" s="8"/>
      </tp>
      <tp t="s">
        <v>STABLE</v>
        <stp/>
        <stp>##V3_BDPV12</stp>
        <stp>AAPL US EQUITY</stp>
        <stp>RTG_SP_OUTLOOK</stp>
        <stp>[XIDA.xlsm]Overview!R26C11</stp>
        <tr r="K26" s="3"/>
        <tr r="K26" s="3"/>
      </tp>
      <tp>
        <v>2.3933255411996384</v>
        <stp/>
        <stp>##V3_BDPV12</stp>
        <stp>CSCO US EQUITY</stp>
        <stp>BEST_PX_SALES_RATIO</stp>
        <stp>[XIDA.xlsm]DataH!R28C14</stp>
        <stp>BEST_FPERIOD_OVERRIDE</stp>
        <stp>17BC</stp>
        <stp>EQY_CONSOLIDATED</stp>
        <stp>Y</stp>
        <tr r="N28" s="16"/>
      </tp>
      <tp>
        <v>1650</v>
        <stp/>
        <stp>##V3_BDPV12</stp>
        <stp>AAPL US EQUITY</stp>
        <stp>IS_OPER_INC</stp>
        <stp>[XIDA.xlsm]Financials!R21C8</stp>
        <stp>EQY_FUND_RELATIVE_PERIOD</stp>
        <stp>-9FY</stp>
        <stp>EQY_FUND_CRNCY</stp>
        <stp>USD</stp>
        <stp>EQY_CONSOLIDATED</stp>
        <stp>Y</stp>
        <stp>Fill=B</stp>
        <tr r="H21" s="8"/>
      </tp>
      <tp>
        <v>2453</v>
        <stp/>
        <stp>##V3_BDPV12</stp>
        <stp>AAPL US EQUITY</stp>
        <stp>IS_OPER_INC</stp>
        <stp>[XIDA.xlsm]Financials!R21C9</stp>
        <stp>EQY_FUND_RELATIVE_PERIOD</stp>
        <stp>-8FY</stp>
        <stp>EQY_FUND_CRNCY</stp>
        <stp>USD</stp>
        <stp>EQY_CONSOLIDATED</stp>
        <stp>Y</stp>
        <stp>Fill=B</stp>
        <tr r="I21" s="8"/>
      </tp>
      <tp t="s">
        <v/>
        <stp/>
        <stp>##V3_BDPV12</stp>
        <stp>AAPL US EQUITY</stp>
        <stp>INTEREST_COVERAGE_RATIO</stp>
        <stp>[XIDA.xlsm]Financials!R136C8</stp>
        <stp>EQY_FUND_RELATIVE_PERIOD</stp>
        <stp>-9FY</stp>
        <stp>EQY_FUND_CRNCY</stp>
        <stp>USD</stp>
        <stp>EQY_CONSOLIDATED</stp>
        <stp>Y</stp>
        <stp>Fill=B</stp>
        <tr r="H136" s="8"/>
      </tp>
      <tp t="s">
        <v/>
        <stp/>
        <stp>##V3_BDPV12</stp>
        <stp>AAPL US EQUITY</stp>
        <stp>INTEREST_COVERAGE_RATIO</stp>
        <stp>[XIDA.xlsm]Financials!R136C9</stp>
        <stp>EQY_FUND_RELATIVE_PERIOD</stp>
        <stp>-8FY</stp>
        <stp>EQY_FUND_CRNCY</stp>
        <stp>USD</stp>
        <stp>EQY_CONSOLIDATED</stp>
        <stp>Y</stp>
        <stp>Fill=B</stp>
        <tr r="I136" s="8"/>
      </tp>
      <tp t="s">
        <v>#N/A Invalid Security</v>
        <stp/>
        <stp>##V3_BDPV12</stp>
        <stp xml:space="preserve"> EQUITY</stp>
        <stp>CUST_TRR_RETURN_HOLDING_PER</stp>
        <stp>[XIDA.xlsm]DataH!R31C6</stp>
        <stp>CUST_TRR_START_DT</stp>
        <stp>20150724</stp>
        <stp>CUST_TRR_END_DT</stp>
        <stp>20150824</stp>
        <stp>CUST_TRR_CRNCY</stp>
        <stp>USD</stp>
        <tr r="F31" s="16"/>
      </tp>
      <tp t="s">
        <v>#N/A Invalid Security</v>
        <stp/>
        <stp>##V3_BDPV12</stp>
        <stp xml:space="preserve"> EQUITY</stp>
        <stp>CUST_TRR_RETURN_HOLDING_PER</stp>
        <stp>[XIDA.xlsm]DataH!R32C6</stp>
        <stp>CUST_TRR_START_DT</stp>
        <stp>20150724</stp>
        <stp>CUST_TRR_END_DT</stp>
        <stp>20150824</stp>
        <stp>CUST_TRR_CRNCY</stp>
        <stp>USD</stp>
        <tr r="F32" s="16"/>
      </tp>
      <tp t="s">
        <v>#N/A Invalid Security</v>
        <stp/>
        <stp>##V3_BDPV12</stp>
        <stp xml:space="preserve"> EQUITY</stp>
        <stp>CUST_TRR_RETURN_HOLDING_PER</stp>
        <stp>[XIDA.xlsm]DataH!R33C6</stp>
        <stp>CUST_TRR_START_DT</stp>
        <stp>20150724</stp>
        <stp>CUST_TRR_END_DT</stp>
        <stp>20150824</stp>
        <stp>CUST_TRR_CRNCY</stp>
        <stp>USD</stp>
        <tr r="F33" s="16"/>
      </tp>
      <tp t="s">
        <v>#N/A Invalid Security</v>
        <stp/>
        <stp>##V3_BDPV12</stp>
        <stp xml:space="preserve"> EQUITY</stp>
        <stp>CUST_TRR_RETURN_HOLDING_PER</stp>
        <stp>[XIDA.xlsm]DataH!R34C6</stp>
        <stp>CUST_TRR_START_DT</stp>
        <stp>20150724</stp>
        <stp>CUST_TRR_END_DT</stp>
        <stp>20150824</stp>
        <stp>CUST_TRR_CRNCY</stp>
        <stp>USD</stp>
        <tr r="F34" s="16"/>
      </tp>
      <tp t="s">
        <v>#N/A Invalid Security</v>
        <stp/>
        <stp>##V3_BDPV12</stp>
        <stp xml:space="preserve"> EQUITY</stp>
        <stp>CUST_TRR_RETURN_HOLDING_PER</stp>
        <stp>[XIDA.xlsm]DataH!R35C6</stp>
        <stp>CUST_TRR_START_DT</stp>
        <stp>20150724</stp>
        <stp>CUST_TRR_END_DT</stp>
        <stp>20150824</stp>
        <stp>CUST_TRR_CRNCY</stp>
        <stp>USD</stp>
        <tr r="F35" s="16"/>
      </tp>
      <tp t="s">
        <v>#N/A Invalid Security</v>
        <stp/>
        <stp>##V3_BDPV12</stp>
        <stp xml:space="preserve"> EQUITY</stp>
        <stp>CUST_TRR_RETURN_HOLDING_PER</stp>
        <stp>[XIDA.xlsm]DataH!R36C6</stp>
        <stp>CUST_TRR_START_DT</stp>
        <stp>20150724</stp>
        <stp>CUST_TRR_END_DT</stp>
        <stp>20150824</stp>
        <stp>CUST_TRR_CRNCY</stp>
        <stp>USD</stp>
        <tr r="F36" s="16"/>
      </tp>
      <tp t="s">
        <v>#N/A Invalid Security</v>
        <stp/>
        <stp>##V3_BDPV12</stp>
        <stp xml:space="preserve"> EQUITY</stp>
        <stp>CUST_TRR_RETURN_HOLDING_PER</stp>
        <stp>[XIDA.xlsm]DataH!R37C6</stp>
        <stp>CUST_TRR_START_DT</stp>
        <stp>20150724</stp>
        <stp>CUST_TRR_END_DT</stp>
        <stp>20150824</stp>
        <stp>CUST_TRR_CRNCY</stp>
        <stp>USD</stp>
        <tr r="F37" s="16"/>
      </tp>
      <tp t="s">
        <v>#N/A Invalid Security</v>
        <stp/>
        <stp>##V3_BDPV12</stp>
        <stp xml:space="preserve"> EQUITY</stp>
        <stp>CUST_TRR_RETURN_HOLDING_PER</stp>
        <stp>[XIDA.xlsm]DataH!R38C6</stp>
        <stp>CUST_TRR_START_DT</stp>
        <stp>20150724</stp>
        <stp>CUST_TRR_END_DT</stp>
        <stp>20150824</stp>
        <stp>CUST_TRR_CRNCY</stp>
        <stp>USD</stp>
        <tr r="F38" s="16"/>
      </tp>
      <tp t="s">
        <v>#N/A Invalid Security</v>
        <stp/>
        <stp>##V3_BDPV12</stp>
        <stp xml:space="preserve"> EQUITY</stp>
        <stp>CUST_TRR_RETURN_HOLDING_PER</stp>
        <stp>[XIDA.xlsm]DataH!R39C6</stp>
        <stp>CUST_TRR_START_DT</stp>
        <stp>20150724</stp>
        <stp>CUST_TRR_END_DT</stp>
        <stp>20150824</stp>
        <stp>CUST_TRR_CRNCY</stp>
        <stp>USD</stp>
        <tr r="F39" s="16"/>
      </tp>
      <tp>
        <v>259747.73355780001</v>
        <stp/>
        <stp>##V3_BDPV12</stp>
        <stp>ERICB SS EQUITY</stp>
        <stp>CRNCY_ADJ_MKT_CAP</stp>
        <stp>[XIDA.xlsm]Peers!R25C13</stp>
        <tr r="M25" s="4"/>
        <tr r="M25" s="4"/>
      </tp>
      <tp t="s">
        <v>USD</v>
        <stp/>
        <stp>##V3_BDPV12</stp>
        <stp>AAPL US EQUITY</stp>
        <stp>CRNCY</stp>
        <stp>[XIDA.xlsm]ControlsH!R7C2</stp>
        <tr r="B7" s="2"/>
      </tp>
      <tp t="s">
        <v>9/30/2004</v>
        <stp/>
        <stp>##V3_BDPV12</stp>
        <stp>AAPL US EQUITY</stp>
        <stp>BEST_PERIOD_END_DATE</stp>
        <stp>[XIDA.xlsm]Financials!R11C7</stp>
        <stp>BEST_FPERIOD_OVERRIDE</stp>
        <stp>-10FY</stp>
        <tr r="G11" s="8"/>
        <tr r="G11" s="8"/>
      </tp>
      <tp>
        <v>5734.3134</v>
        <stp/>
        <stp>##V3_BDHV12</stp>
        <stp>BB CN EQUITY</stp>
        <stp>CUR_MKT_CAP</stp>
        <stp>1/1/2015</stp>
        <stp>4/13/2015</stp>
        <stp>[XIDA.xlsm]MarketCapH!R4C2</stp>
        <stp>Dts=H</stp>
        <stp>FX=USD</stp>
        <stp>CDR=US</stp>
        <stp/>
        <stp>PER=CD</stp>
        <stp>cols=1;rows=69</stp>
        <tr r="B4" s="7"/>
      </tp>
      <tp>
        <v>1.0459882645671501</v>
        <stp/>
        <stp>##V3_BDPV12</stp>
        <stp>BB CN EQUITY</stp>
        <stp>BEST_PX_SALES_RATIO</stp>
        <stp>[XIDA.xlsm]DataH!R24C11</stp>
        <stp>BEST_FPERIOD_OVERRIDE</stp>
        <stp>14BC</stp>
        <stp>EQY_CONSOLIDATED</stp>
        <stp>Y</stp>
        <tr r="K24" s="16"/>
      </tp>
      <tp>
        <v>4970</v>
        <stp/>
        <stp>##V3_BDPV12</stp>
        <stp>AAPL US EQUITY</stp>
        <stp>BS_ACCT_PAYABLE</stp>
        <stp>[XIDA.xlsm]Financials!R63C10</stp>
        <stp>EQY_FUND_RELATIVE_PERIOD</stp>
        <stp>-7FY</stp>
        <stp>EQY_FUND_CRNCY</stp>
        <stp>USD</stp>
        <stp>EQY_CONSOLIDATED</stp>
        <stp>Y</stp>
        <stp>Fill=B</stp>
        <tr r="J63" s="8"/>
      </tp>
      <tp>
        <v>5520</v>
        <stp/>
        <stp>##V3_BDPV12</stp>
        <stp>AAPL US EQUITY</stp>
        <stp>BS_ACCT_PAYABLE</stp>
        <stp>[XIDA.xlsm]Financials!R63C11</stp>
        <stp>EQY_FUND_RELATIVE_PERIOD</stp>
        <stp>-6FY</stp>
        <stp>EQY_FUND_CRNCY</stp>
        <stp>USD</stp>
        <stp>EQY_CONSOLIDATED</stp>
        <stp>Y</stp>
        <stp>Fill=B</stp>
        <tr r="K63" s="8"/>
      </tp>
      <tp>
        <v>5601</v>
        <stp/>
        <stp>##V3_BDPV12</stp>
        <stp>AAPL US EQUITY</stp>
        <stp>BS_ACCT_PAYABLE</stp>
        <stp>[XIDA.xlsm]Financials!R63C12</stp>
        <stp>EQY_FUND_RELATIVE_PERIOD</stp>
        <stp>-5FY</stp>
        <stp>EQY_FUND_CRNCY</stp>
        <stp>USD</stp>
        <stp>EQY_CONSOLIDATED</stp>
        <stp>Y</stp>
        <stp>Fill=B</stp>
        <tr r="L63" s="8"/>
      </tp>
      <tp>
        <v>12015</v>
        <stp/>
        <stp>##V3_BDPV12</stp>
        <stp>AAPL US EQUITY</stp>
        <stp>BS_ACCT_PAYABLE</stp>
        <stp>[XIDA.xlsm]Financials!R63C13</stp>
        <stp>EQY_FUND_RELATIVE_PERIOD</stp>
        <stp>-4FY</stp>
        <stp>EQY_FUND_CRNCY</stp>
        <stp>USD</stp>
        <stp>EQY_CONSOLIDATED</stp>
        <stp>Y</stp>
        <stp>Fill=B</stp>
        <tr r="M63" s="8"/>
      </tp>
      <tp>
        <v>14632</v>
        <stp/>
        <stp>##V3_BDPV12</stp>
        <stp>AAPL US EQUITY</stp>
        <stp>BS_ACCT_PAYABLE</stp>
        <stp>[XIDA.xlsm]Financials!R63C14</stp>
        <stp>EQY_FUND_RELATIVE_PERIOD</stp>
        <stp>-3FY</stp>
        <stp>EQY_FUND_CRNCY</stp>
        <stp>USD</stp>
        <stp>EQY_CONSOLIDATED</stp>
        <stp>Y</stp>
        <stp>Fill=B</stp>
        <tr r="N63" s="8"/>
      </tp>
      <tp>
        <v>21175</v>
        <stp/>
        <stp>##V3_BDPV12</stp>
        <stp>AAPL US EQUITY</stp>
        <stp>BS_ACCT_PAYABLE</stp>
        <stp>[XIDA.xlsm]Financials!R63C15</stp>
        <stp>EQY_FUND_RELATIVE_PERIOD</stp>
        <stp>-2FY</stp>
        <stp>EQY_FUND_CRNCY</stp>
        <stp>USD</stp>
        <stp>EQY_CONSOLIDATED</stp>
        <stp>Y</stp>
        <stp>Fill=B</stp>
        <tr r="O63" s="8"/>
      </tp>
      <tp>
        <v>22367</v>
        <stp/>
        <stp>##V3_BDPV12</stp>
        <stp>AAPL US EQUITY</stp>
        <stp>BS_ACCT_PAYABLE</stp>
        <stp>[XIDA.xlsm]Financials!R63C16</stp>
        <stp>EQY_FUND_RELATIVE_PERIOD</stp>
        <stp>-1FY</stp>
        <stp>EQY_FUND_CRNCY</stp>
        <stp>USD</stp>
        <stp>EQY_CONSOLIDATED</stp>
        <stp>Y</stp>
        <stp>Fill=B</stp>
        <tr r="P63" s="8"/>
      </tp>
      <tp>
        <v>30196</v>
        <stp/>
        <stp>##V3_BDPV12</stp>
        <stp>AAPL US EQUITY</stp>
        <stp>BS_ACCT_PAYABLE</stp>
        <stp>[XIDA.xlsm]Financials!R63C17</stp>
        <stp>EQY_FUND_RELATIVE_PERIOD</stp>
        <stp>-0FY</stp>
        <stp>EQY_FUND_CRNCY</stp>
        <stp>USD</stp>
        <stp>EQY_CONSOLIDATED</stp>
        <stp>Y</stp>
        <stp>Fill=B</stp>
        <tr r="Q63" s="8"/>
      </tp>
      <tp t="s">
        <v>#N/A Invalid Security</v>
        <stp/>
        <stp>##V3_BDPV12</stp>
        <stp xml:space="preserve"> EQUITY</stp>
        <stp>CUST_TRR_RETURN_HOLDING_PER</stp>
        <stp>[XIDA.xlsm]DataH!R50C7</stp>
        <stp>CUST_TRR_START_DT</stp>
        <stp>20150224</stp>
        <stp>CUST_TRR_END_DT</stp>
        <stp>20150824</stp>
        <stp>CUST_TRR_CRNCY</stp>
        <stp>USD</stp>
        <tr r="G50" s="16"/>
      </tp>
      <tp t="s">
        <v>#N/A Invalid Security</v>
        <stp/>
        <stp>##V3_BDPV12</stp>
        <stp xml:space="preserve"> EQUITY</stp>
        <stp>CUST_TRR_RETURN_HOLDING_PER</stp>
        <stp>[XIDA.xlsm]DataH!R51C7</stp>
        <stp>CUST_TRR_START_DT</stp>
        <stp>20150224</stp>
        <stp>CUST_TRR_END_DT</stp>
        <stp>20150824</stp>
        <stp>CUST_TRR_CRNCY</stp>
        <stp>USD</stp>
        <tr r="G51" s="16"/>
      </tp>
      <tp t="s">
        <v>#N/A Invalid Security</v>
        <stp/>
        <stp>##V3_BDPV12</stp>
        <stp xml:space="preserve"> EQUITY</stp>
        <stp>CUST_TRR_RETURN_HOLDING_PER</stp>
        <stp>[XIDA.xlsm]DataH!R52C7</stp>
        <stp>CUST_TRR_START_DT</stp>
        <stp>20150224</stp>
        <stp>CUST_TRR_END_DT</stp>
        <stp>20150824</stp>
        <stp>CUST_TRR_CRNCY</stp>
        <stp>USD</stp>
        <tr r="G52" s="16"/>
      </tp>
      <tp>
        <v>1.4648922131410267</v>
        <stp/>
        <stp>##V3_BDPV12</stp>
        <stp>BB CN EQUITY</stp>
        <stp>BEST_PX_SALES_RATIO</stp>
        <stp>[XIDA.xlsm]DataH!R24C12</stp>
        <stp>BEST_FPERIOD_OVERRIDE</stp>
        <stp>15BC</stp>
        <stp>EQY_CONSOLIDATED</stp>
        <stp>Y</stp>
        <tr r="L24" s="16"/>
      </tp>
      <tp>
        <v>9888</v>
        <stp/>
        <stp>##V3_BDPV12</stp>
        <stp>AAPL US EQUITY</stp>
        <stp>IS_COGS_TO_FE_AND_PP_AND_G</stp>
        <stp>[XIDA.xlsm]Financials!R15C8</stp>
        <stp>EQY_FUND_RELATIVE_PERIOD</stp>
        <stp>-9FY</stp>
        <stp>EQY_FUND_CRNCY</stp>
        <stp>USD</stp>
        <stp>EQY_CONSOLIDATED</stp>
        <stp>Y</stp>
        <stp>Fill=B</stp>
        <tr r="H15" s="8"/>
      </tp>
      <tp>
        <v>13717</v>
        <stp/>
        <stp>##V3_BDPV12</stp>
        <stp>AAPL US EQUITY</stp>
        <stp>IS_COGS_TO_FE_AND_PP_AND_G</stp>
        <stp>[XIDA.xlsm]Financials!R15C9</stp>
        <stp>EQY_FUND_RELATIVE_PERIOD</stp>
        <stp>-8FY</stp>
        <stp>EQY_FUND_CRNCY</stp>
        <stp>USD</stp>
        <stp>EQY_CONSOLIDATED</stp>
        <stp>Y</stp>
        <stp>Fill=B</stp>
        <tr r="I15" s="8"/>
      </tp>
      <tp t="s">
        <v>AAPL US</v>
        <stp/>
        <stp>##V3_BDPV12</stp>
        <stp>AAPL US EQUITY</stp>
        <stp>EQY_FUND_TICKER</stp>
        <stp>[XIDA.xlsm]ControlsH!R15C2</stp>
        <tr r="B15" s="2"/>
      </tp>
      <tp>
        <v>127</v>
        <stp/>
        <stp>##V3_BDPV12</stp>
        <stp>AAPL US EQUITY</stp>
        <stp>CF_CASH_FROM_FNC_ACT</stp>
        <stp>[XIDA.xlsm]Financials!R105C7</stp>
        <stp>EQY_FUND_RELATIVE_PERIOD</stp>
        <stp>-10FY</stp>
        <stp>EQY_FUND_CRNCY</stp>
        <stp>USD</stp>
        <stp>EQY_CONSOLIDATED</stp>
        <stp>Y</stp>
        <stp>Fill=B</stp>
        <tr r="G105" s="8"/>
      </tp>
      <tp t="s">
        <v>9/30/2017</v>
        <stp/>
        <stp>##V3_BDPV12</stp>
        <stp>AAPL US EQUITY</stp>
        <stp>BEST_PERIOD_END_DATE</stp>
        <stp>[XIDA.xlsm]Financials!R11C20</stp>
        <stp>BEST_FPERIOD_OVERRIDE</stp>
        <stp>3FY</stp>
        <tr r="T11" s="8"/>
        <tr r="T11" s="8"/>
      </tp>
      <tp t="s">
        <v>#N/A Invalid Security</v>
        <stp/>
        <stp>##V3_BDPV12</stp>
        <stp xml:space="preserve"> EQUITY</stp>
        <stp>CUST_TRR_RETURN_HOLDING_PER</stp>
        <stp>[XIDA.xlsm]DataH!R40C7</stp>
        <stp>CUST_TRR_START_DT</stp>
        <stp>20150224</stp>
        <stp>CUST_TRR_END_DT</stp>
        <stp>20150824</stp>
        <stp>CUST_TRR_CRNCY</stp>
        <stp>USD</stp>
        <tr r="G40" s="16"/>
      </tp>
      <tp t="s">
        <v>#N/A Invalid Security</v>
        <stp/>
        <stp>##V3_BDPV12</stp>
        <stp xml:space="preserve"> EQUITY</stp>
        <stp>CUST_TRR_RETURN_HOLDING_PER</stp>
        <stp>[XIDA.xlsm]DataH!R41C7</stp>
        <stp>CUST_TRR_START_DT</stp>
        <stp>20150224</stp>
        <stp>CUST_TRR_END_DT</stp>
        <stp>20150824</stp>
        <stp>CUST_TRR_CRNCY</stp>
        <stp>USD</stp>
        <tr r="G41" s="16"/>
      </tp>
      <tp t="s">
        <v>#N/A Invalid Security</v>
        <stp/>
        <stp>##V3_BDPV12</stp>
        <stp xml:space="preserve"> EQUITY</stp>
        <stp>CUST_TRR_RETURN_HOLDING_PER</stp>
        <stp>[XIDA.xlsm]DataH!R42C7</stp>
        <stp>CUST_TRR_START_DT</stp>
        <stp>20150224</stp>
        <stp>CUST_TRR_END_DT</stp>
        <stp>20150824</stp>
        <stp>CUST_TRR_CRNCY</stp>
        <stp>USD</stp>
        <tr r="G42" s="16"/>
      </tp>
      <tp t="s">
        <v>#N/A Invalid Security</v>
        <stp/>
        <stp>##V3_BDPV12</stp>
        <stp xml:space="preserve"> EQUITY</stp>
        <stp>CUST_TRR_RETURN_HOLDING_PER</stp>
        <stp>[XIDA.xlsm]DataH!R43C7</stp>
        <stp>CUST_TRR_START_DT</stp>
        <stp>20150224</stp>
        <stp>CUST_TRR_END_DT</stp>
        <stp>20150824</stp>
        <stp>CUST_TRR_CRNCY</stp>
        <stp>USD</stp>
        <tr r="G43" s="16"/>
      </tp>
      <tp t="s">
        <v>#N/A Invalid Security</v>
        <stp/>
        <stp>##V3_BDPV12</stp>
        <stp xml:space="preserve"> EQUITY</stp>
        <stp>CUST_TRR_RETURN_HOLDING_PER</stp>
        <stp>[XIDA.xlsm]DataH!R44C7</stp>
        <stp>CUST_TRR_START_DT</stp>
        <stp>20150224</stp>
        <stp>CUST_TRR_END_DT</stp>
        <stp>20150824</stp>
        <stp>CUST_TRR_CRNCY</stp>
        <stp>USD</stp>
        <tr r="G44" s="16"/>
      </tp>
      <tp t="s">
        <v>#N/A Invalid Security</v>
        <stp/>
        <stp>##V3_BDPV12</stp>
        <stp xml:space="preserve"> EQUITY</stp>
        <stp>CUST_TRR_RETURN_HOLDING_PER</stp>
        <stp>[XIDA.xlsm]DataH!R45C7</stp>
        <stp>CUST_TRR_START_DT</stp>
        <stp>20150224</stp>
        <stp>CUST_TRR_END_DT</stp>
        <stp>20150824</stp>
        <stp>CUST_TRR_CRNCY</stp>
        <stp>USD</stp>
        <tr r="G45" s="16"/>
      </tp>
      <tp t="s">
        <v>#N/A Invalid Security</v>
        <stp/>
        <stp>##V3_BDPV12</stp>
        <stp xml:space="preserve"> EQUITY</stp>
        <stp>CUST_TRR_RETURN_HOLDING_PER</stp>
        <stp>[XIDA.xlsm]DataH!R46C7</stp>
        <stp>CUST_TRR_START_DT</stp>
        <stp>20150224</stp>
        <stp>CUST_TRR_END_DT</stp>
        <stp>20150824</stp>
        <stp>CUST_TRR_CRNCY</stp>
        <stp>USD</stp>
        <tr r="G46" s="16"/>
      </tp>
      <tp t="s">
        <v>#N/A Invalid Security</v>
        <stp/>
        <stp>##V3_BDPV12</stp>
        <stp xml:space="preserve"> EQUITY</stp>
        <stp>CUST_TRR_RETURN_HOLDING_PER</stp>
        <stp>[XIDA.xlsm]DataH!R47C7</stp>
        <stp>CUST_TRR_START_DT</stp>
        <stp>20150224</stp>
        <stp>CUST_TRR_END_DT</stp>
        <stp>20150824</stp>
        <stp>CUST_TRR_CRNCY</stp>
        <stp>USD</stp>
        <tr r="G47" s="16"/>
      </tp>
      <tp t="s">
        <v>#N/A Invalid Security</v>
        <stp/>
        <stp>##V3_BDPV12</stp>
        <stp xml:space="preserve"> EQUITY</stp>
        <stp>CUST_TRR_RETURN_HOLDING_PER</stp>
        <stp>[XIDA.xlsm]DataH!R48C7</stp>
        <stp>CUST_TRR_START_DT</stp>
        <stp>20150224</stp>
        <stp>CUST_TRR_END_DT</stp>
        <stp>20150824</stp>
        <stp>CUST_TRR_CRNCY</stp>
        <stp>USD</stp>
        <tr r="G48" s="16"/>
      </tp>
      <tp t="s">
        <v>#N/A Invalid Security</v>
        <stp/>
        <stp>##V3_BDPV12</stp>
        <stp xml:space="preserve"> EQUITY</stp>
        <stp>CUST_TRR_RETURN_HOLDING_PER</stp>
        <stp>[XIDA.xlsm]DataH!R49C7</stp>
        <stp>CUST_TRR_START_DT</stp>
        <stp>20150224</stp>
        <stp>CUST_TRR_END_DT</stp>
        <stp>20150824</stp>
        <stp>CUST_TRR_CRNCY</stp>
        <stp>USD</stp>
        <tr r="G49" s="16"/>
      </tp>
      <tp>
        <v>-1317</v>
        <stp/>
        <stp>##V3_BDPV12</stp>
        <stp>AAPL US EQUITY</stp>
        <stp>CF_OTHER_INV_ACT</stp>
        <stp>[XIDA.xlsm]Financials!R95C7</stp>
        <stp>EQY_FUND_RELATIVE_PERIOD</stp>
        <stp>-10FY</stp>
        <stp>EQY_FUND_CRNCY</stp>
        <stp>USD</stp>
        <stp>EQY_CONSOLIDATED</stp>
        <stp>Y</stp>
        <stp>Fill=B</stp>
        <tr r="G95" s="8"/>
      </tp>
      <tp>
        <v>1.4635982330550061</v>
        <stp/>
        <stp>##V3_BDPV12</stp>
        <stp>BB CN EQUITY</stp>
        <stp>BEST_PX_SALES_RATIO</stp>
        <stp>[XIDA.xlsm]DataH!R24C13</stp>
        <stp>BEST_FPERIOD_OVERRIDE</stp>
        <stp>16BC</stp>
        <stp>EQY_CONSOLIDATED</stp>
        <stp>Y</stp>
        <tr r="M24" s="16"/>
      </tp>
      <tp>
        <v>0.22441163473926756</v>
        <stp/>
        <stp>##V3_BDPV12</stp>
        <stp>AAPL US EQUITY</stp>
        <stp>BEST_NI_ADJ_TO_SALES</stp>
        <stp>[XIDA.xlsm]Financials!R129C20</stp>
        <stp>BEST_FPERIOD_OVERRIDE</stp>
        <stp>3FY</stp>
        <stp>EQY_FUND_CRNCY</stp>
        <stp>USD</stp>
        <stp>BEST_CONSOLIDATED_OVERRIDE</stp>
        <stp>C</stp>
        <stp>Fill=B</stp>
        <tr r="T129" s="8"/>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b="1"/>
            </a:pPr>
            <a:r>
              <a:rPr lang="en-US" b="1"/>
              <a:t>Business Segments </a:t>
            </a:r>
          </a:p>
        </c:rich>
      </c:tx>
      <c:layout/>
      <c:overlay val="0"/>
    </c:title>
    <c:autoTitleDeleted val="0"/>
    <c:plotArea>
      <c:layout>
        <c:manualLayout>
          <c:layoutTarget val="inner"/>
          <c:xMode val="edge"/>
          <c:yMode val="edge"/>
          <c:x val="0.16890288713910762"/>
          <c:y val="0.15733231262758821"/>
          <c:w val="0.69278543307086615"/>
          <c:h val="0.5131743948673082"/>
        </c:manualLayout>
      </c:layout>
      <c:pieChart>
        <c:varyColors val="1"/>
        <c:ser>
          <c:idx val="0"/>
          <c:order val="0"/>
          <c:dPt>
            <c:idx val="0"/>
            <c:bubble3D val="0"/>
          </c:dPt>
          <c:dPt>
            <c:idx val="1"/>
            <c:bubble3D val="0"/>
          </c:dPt>
          <c:dPt>
            <c:idx val="2"/>
            <c:bubble3D val="0"/>
            <c:spPr>
              <a:solidFill>
                <a:srgbClr val="25B14A"/>
              </a:solidFill>
              <a:ln w="25400">
                <a:noFill/>
              </a:ln>
              <a:effectLst>
                <a:outerShdw dist="35921" dir="2700000" algn="br">
                  <a:srgbClr val="000000"/>
                </a:outerShdw>
              </a:effectLst>
            </c:spPr>
          </c:dPt>
          <c:dPt>
            <c:idx val="3"/>
            <c:bubble3D val="0"/>
          </c:dPt>
          <c:dPt>
            <c:idx val="4"/>
            <c:bubble3D val="0"/>
          </c:dPt>
          <c:dPt>
            <c:idx val="5"/>
            <c:bubble3D val="0"/>
          </c:dPt>
          <c:dLbls>
            <c:numFmt formatCode="0%" sourceLinked="0"/>
            <c:spPr>
              <a:noFill/>
              <a:ln w="25400">
                <a:noFill/>
              </a:ln>
            </c:spPr>
            <c:txPr>
              <a:bodyPr/>
              <a:lstStyle/>
              <a:p>
                <a:pPr>
                  <a:defRPr sz="1000" b="1" i="0" u="none" strike="noStrike" baseline="0">
                    <a:solidFill>
                      <a:srgbClr val="000000"/>
                    </a:solidFill>
                    <a:latin typeface="Calibri"/>
                    <a:ea typeface="Calibri"/>
                    <a:cs typeface="Calibri"/>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Overview!$N$16:$N$23</c:f>
              <c:strCache>
                <c:ptCount val="7"/>
                <c:pt idx="0">
                  <c:v>iPhone</c:v>
                </c:pt>
                <c:pt idx="1">
                  <c:v>iPad</c:v>
                </c:pt>
                <c:pt idx="2">
                  <c:v>Macintosh</c:v>
                </c:pt>
                <c:pt idx="3">
                  <c:v>Services</c:v>
                </c:pt>
                <c:pt idx="4">
                  <c:v>Other Products</c:v>
                </c:pt>
                <c:pt idx="5">
                  <c:v>iPod</c:v>
                </c:pt>
                <c:pt idx="6">
                  <c:v>Software, service, and other sales</c:v>
                </c:pt>
              </c:strCache>
            </c:strRef>
          </c:cat>
          <c:val>
            <c:numRef>
              <c:f>[0]!salesPROD</c:f>
              <c:numCache>
                <c:formatCode>0</c:formatCode>
                <c:ptCount val="6"/>
                <c:pt idx="0">
                  <c:v>101991</c:v>
                </c:pt>
                <c:pt idx="1">
                  <c:v>30283</c:v>
                </c:pt>
                <c:pt idx="2">
                  <c:v>24079</c:v>
                </c:pt>
                <c:pt idx="3">
                  <c:v>18063</c:v>
                </c:pt>
                <c:pt idx="4">
                  <c:v>6093</c:v>
                </c:pt>
                <c:pt idx="5">
                  <c:v>2286</c:v>
                </c:pt>
              </c:numCache>
            </c:numRef>
          </c:val>
        </c:ser>
        <c:dLbls>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4.3522965879265088E-2"/>
          <c:y val="0.71242641999847101"/>
          <c:w val="0.89605216535433063"/>
          <c:h val="0.26839563743852413"/>
        </c:manualLayout>
      </c:layout>
      <c:overlay val="0"/>
      <c:txPr>
        <a:bodyPr/>
        <a:lstStyle/>
        <a:p>
          <a:pPr>
            <a:defRPr sz="1100" b="0" i="0" u="none" strike="noStrike" baseline="0">
              <a:solidFill>
                <a:srgbClr val="000000"/>
              </a:solidFill>
              <a:latin typeface="+mn-lt"/>
              <a:ea typeface="Arial"/>
              <a:cs typeface="Arial"/>
            </a:defRPr>
          </a:pPr>
          <a:endParaRPr lang="en-US"/>
        </a:p>
      </c:txPr>
    </c:legend>
    <c:plotVisOnly val="1"/>
    <c:dispBlanksAs val="zero"/>
    <c:showDLblsOverMax val="0"/>
  </c:chart>
  <c:spPr>
    <a:solidFill>
      <a:srgbClr val="F8F8F8"/>
    </a:solidFill>
    <a:ln w="12700">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b="1"/>
              <a:t>Geographic Segments</a:t>
            </a:r>
          </a:p>
        </c:rich>
      </c:tx>
      <c:layout/>
      <c:overlay val="0"/>
    </c:title>
    <c:autoTitleDeleted val="0"/>
    <c:plotArea>
      <c:layout>
        <c:manualLayout>
          <c:layoutTarget val="inner"/>
          <c:xMode val="edge"/>
          <c:yMode val="edge"/>
          <c:x val="0.17573556430446194"/>
          <c:y val="0.12413458734324877"/>
          <c:w val="0.70196161417322833"/>
          <c:h val="0.51997156605424322"/>
        </c:manualLayout>
      </c:layout>
      <c:pieChart>
        <c:varyColors val="1"/>
        <c:ser>
          <c:idx val="0"/>
          <c:order val="0"/>
          <c:dPt>
            <c:idx val="0"/>
            <c:bubble3D val="0"/>
          </c:dPt>
          <c:dPt>
            <c:idx val="1"/>
            <c:bubble3D val="0"/>
          </c:dPt>
          <c:dPt>
            <c:idx val="2"/>
            <c:bubble3D val="0"/>
          </c:dPt>
          <c:dPt>
            <c:idx val="3"/>
            <c:bubble3D val="0"/>
          </c:dPt>
          <c:dLbls>
            <c:numFmt formatCode="0%" sourceLinked="0"/>
            <c:spPr>
              <a:noFill/>
              <a:ln w="25400">
                <a:noFill/>
              </a:ln>
            </c:spPr>
            <c:txPr>
              <a:bodyPr/>
              <a:lstStyle/>
              <a:p>
                <a:pPr>
                  <a:defRPr sz="1000" b="1" i="0" u="none" strike="noStrike" baseline="0">
                    <a:solidFill>
                      <a:srgbClr val="000000"/>
                    </a:solidFill>
                    <a:latin typeface="Calibri"/>
                    <a:ea typeface="Calibri"/>
                    <a:cs typeface="Calibri"/>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Overview!$T$16:$T$23</c:f>
              <c:strCache>
                <c:ptCount val="5"/>
                <c:pt idx="0">
                  <c:v>Americas</c:v>
                </c:pt>
                <c:pt idx="1">
                  <c:v>Europe</c:v>
                </c:pt>
                <c:pt idx="2">
                  <c:v>Asia-Pacific (Australia &amp; Asia)</c:v>
                </c:pt>
                <c:pt idx="3">
                  <c:v>Japan</c:v>
                </c:pt>
                <c:pt idx="4">
                  <c:v>Retail (U.S., Canada, Japan, U.K.)</c:v>
                </c:pt>
              </c:strCache>
            </c:strRef>
          </c:cat>
          <c:val>
            <c:numRef>
              <c:f>[0]!salesGEOG</c:f>
              <c:numCache>
                <c:formatCode>0</c:formatCode>
                <c:ptCount val="4"/>
                <c:pt idx="0">
                  <c:v>80095</c:v>
                </c:pt>
                <c:pt idx="1">
                  <c:v>44285</c:v>
                </c:pt>
                <c:pt idx="2">
                  <c:v>43101</c:v>
                </c:pt>
                <c:pt idx="3">
                  <c:v>15314</c:v>
                </c:pt>
              </c:numCache>
            </c:numRef>
          </c:val>
        </c:ser>
        <c:dLbls>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5.3856627296587925E-2"/>
          <c:y val="0.72470835563030345"/>
          <c:w val="0.89071948818897639"/>
          <c:h val="0.25885329867747109"/>
        </c:manualLayout>
      </c:layout>
      <c:overlay val="0"/>
      <c:txPr>
        <a:bodyPr/>
        <a:lstStyle/>
        <a:p>
          <a:pPr>
            <a:defRPr sz="1100" b="0" i="0" u="none" strike="noStrike" baseline="0">
              <a:solidFill>
                <a:srgbClr val="000000"/>
              </a:solidFill>
              <a:latin typeface="+mn-lt"/>
              <a:ea typeface="Arial"/>
              <a:cs typeface="Arial"/>
            </a:defRPr>
          </a:pPr>
          <a:endParaRPr lang="en-US"/>
        </a:p>
      </c:txPr>
    </c:legend>
    <c:plotVisOnly val="1"/>
    <c:dispBlanksAs val="zero"/>
    <c:showDLblsOverMax val="0"/>
  </c:chart>
  <c:spPr>
    <a:solidFill>
      <a:srgbClr val="F8F8F8"/>
    </a:solid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ControlsH!$A$18</c:f>
          <c:strCache>
            <c:ptCount val="1"/>
            <c:pt idx="0">
              <c:v>AAPL US Price Volume Graph</c:v>
            </c:pt>
          </c:strCache>
        </c:strRef>
      </c:tx>
      <c:layout>
        <c:manualLayout>
          <c:xMode val="edge"/>
          <c:yMode val="edge"/>
          <c:x val="0.26171869141357329"/>
          <c:y val="1.6501653305421415E-2"/>
        </c:manualLayout>
      </c:layout>
      <c:overlay val="0"/>
      <c:spPr>
        <a:noFill/>
        <a:ln w="25400">
          <a:noFill/>
        </a:ln>
      </c:spPr>
      <c:txPr>
        <a:bodyPr/>
        <a:lstStyle/>
        <a:p>
          <a:pPr>
            <a:defRPr sz="1050" b="1" i="0" u="none" strike="noStrike" baseline="0">
              <a:solidFill>
                <a:srgbClr val="000000"/>
              </a:solidFill>
              <a:latin typeface="+mn-lt"/>
              <a:ea typeface="Arial"/>
              <a:cs typeface="Arial"/>
            </a:defRPr>
          </a:pPr>
          <a:endParaRPr lang="en-US"/>
        </a:p>
      </c:txPr>
    </c:title>
    <c:autoTitleDeleted val="0"/>
    <c:plotArea>
      <c:layout>
        <c:manualLayout>
          <c:layoutTarget val="inner"/>
          <c:xMode val="edge"/>
          <c:yMode val="edge"/>
          <c:x val="5.6640625E-2"/>
          <c:y val="0.11221158277763632"/>
          <c:w val="0.83203125"/>
          <c:h val="0.70957324403505317"/>
        </c:manualLayout>
      </c:layout>
      <c:barChart>
        <c:barDir val="col"/>
        <c:grouping val="clustered"/>
        <c:varyColors val="0"/>
        <c:ser>
          <c:idx val="1"/>
          <c:order val="1"/>
          <c:tx>
            <c:strRef>
              <c:f>Indices!$V$9</c:f>
              <c:strCache>
                <c:ptCount val="1"/>
                <c:pt idx="0">
                  <c:v>Volume</c:v>
                </c:pt>
              </c:strCache>
            </c:strRef>
          </c:tx>
          <c:spPr>
            <a:solidFill>
              <a:srgbClr val="F2673C"/>
            </a:solidFill>
            <a:ln w="25400">
              <a:noFill/>
            </a:ln>
          </c:spPr>
          <c:invertIfNegative val="0"/>
          <c:cat>
            <c:numRef>
              <c:f>[0]!Chart_Date_Size</c:f>
              <c:numCache>
                <c:formatCode>m/d/yyyy</c:formatCode>
                <c:ptCount val="69"/>
                <c:pt idx="0">
                  <c:v>42006</c:v>
                </c:pt>
                <c:pt idx="1">
                  <c:v>42009</c:v>
                </c:pt>
                <c:pt idx="2">
                  <c:v>42010</c:v>
                </c:pt>
                <c:pt idx="3">
                  <c:v>42011</c:v>
                </c:pt>
                <c:pt idx="4">
                  <c:v>42012</c:v>
                </c:pt>
                <c:pt idx="5">
                  <c:v>42013</c:v>
                </c:pt>
                <c:pt idx="6">
                  <c:v>42016</c:v>
                </c:pt>
                <c:pt idx="7">
                  <c:v>42017</c:v>
                </c:pt>
                <c:pt idx="8">
                  <c:v>42018</c:v>
                </c:pt>
                <c:pt idx="9">
                  <c:v>42019</c:v>
                </c:pt>
                <c:pt idx="10">
                  <c:v>42020</c:v>
                </c:pt>
                <c:pt idx="11">
                  <c:v>42024</c:v>
                </c:pt>
                <c:pt idx="12">
                  <c:v>42025</c:v>
                </c:pt>
                <c:pt idx="13">
                  <c:v>42026</c:v>
                </c:pt>
                <c:pt idx="14">
                  <c:v>42027</c:v>
                </c:pt>
                <c:pt idx="15">
                  <c:v>42030</c:v>
                </c:pt>
                <c:pt idx="16">
                  <c:v>42031</c:v>
                </c:pt>
                <c:pt idx="17">
                  <c:v>42032</c:v>
                </c:pt>
                <c:pt idx="18">
                  <c:v>42033</c:v>
                </c:pt>
                <c:pt idx="19">
                  <c:v>42034</c:v>
                </c:pt>
                <c:pt idx="20">
                  <c:v>42037</c:v>
                </c:pt>
                <c:pt idx="21">
                  <c:v>42038</c:v>
                </c:pt>
                <c:pt idx="22">
                  <c:v>42039</c:v>
                </c:pt>
                <c:pt idx="23">
                  <c:v>42040</c:v>
                </c:pt>
                <c:pt idx="24">
                  <c:v>42041</c:v>
                </c:pt>
                <c:pt idx="25">
                  <c:v>42044</c:v>
                </c:pt>
                <c:pt idx="26">
                  <c:v>42045</c:v>
                </c:pt>
                <c:pt idx="27">
                  <c:v>42046</c:v>
                </c:pt>
                <c:pt idx="28">
                  <c:v>42047</c:v>
                </c:pt>
                <c:pt idx="29">
                  <c:v>42048</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42079</c:v>
                </c:pt>
                <c:pt idx="50">
                  <c:v>42080</c:v>
                </c:pt>
                <c:pt idx="51">
                  <c:v>42081</c:v>
                </c:pt>
                <c:pt idx="52">
                  <c:v>42082</c:v>
                </c:pt>
                <c:pt idx="53">
                  <c:v>42083</c:v>
                </c:pt>
                <c:pt idx="54">
                  <c:v>42086</c:v>
                </c:pt>
                <c:pt idx="55">
                  <c:v>42087</c:v>
                </c:pt>
                <c:pt idx="56">
                  <c:v>42088</c:v>
                </c:pt>
                <c:pt idx="57">
                  <c:v>42089</c:v>
                </c:pt>
                <c:pt idx="58">
                  <c:v>42090</c:v>
                </c:pt>
                <c:pt idx="59">
                  <c:v>42093</c:v>
                </c:pt>
                <c:pt idx="60">
                  <c:v>42094</c:v>
                </c:pt>
                <c:pt idx="61">
                  <c:v>42095</c:v>
                </c:pt>
                <c:pt idx="62">
                  <c:v>42096</c:v>
                </c:pt>
                <c:pt idx="63">
                  <c:v>42100</c:v>
                </c:pt>
                <c:pt idx="64">
                  <c:v>42101</c:v>
                </c:pt>
                <c:pt idx="65">
                  <c:v>42102</c:v>
                </c:pt>
                <c:pt idx="66">
                  <c:v>42103</c:v>
                </c:pt>
                <c:pt idx="67">
                  <c:v>42104</c:v>
                </c:pt>
                <c:pt idx="68">
                  <c:v>42107</c:v>
                </c:pt>
              </c:numCache>
            </c:numRef>
          </c:cat>
          <c:val>
            <c:numRef>
              <c:f>[0]!Chart_Volume_Size</c:f>
              <c:numCache>
                <c:formatCode>#,##0</c:formatCode>
                <c:ptCount val="69"/>
                <c:pt idx="0">
                  <c:v>53204626</c:v>
                </c:pt>
                <c:pt idx="1">
                  <c:v>64285491</c:v>
                </c:pt>
                <c:pt idx="2">
                  <c:v>65797116</c:v>
                </c:pt>
                <c:pt idx="3">
                  <c:v>40105934</c:v>
                </c:pt>
                <c:pt idx="4">
                  <c:v>59364547</c:v>
                </c:pt>
                <c:pt idx="5">
                  <c:v>53699527</c:v>
                </c:pt>
                <c:pt idx="6">
                  <c:v>49650790</c:v>
                </c:pt>
                <c:pt idx="7">
                  <c:v>67091928</c:v>
                </c:pt>
                <c:pt idx="8">
                  <c:v>48956588</c:v>
                </c:pt>
                <c:pt idx="9">
                  <c:v>60013996</c:v>
                </c:pt>
                <c:pt idx="10">
                  <c:v>78513345</c:v>
                </c:pt>
                <c:pt idx="11">
                  <c:v>49899907</c:v>
                </c:pt>
                <c:pt idx="12">
                  <c:v>48575897</c:v>
                </c:pt>
                <c:pt idx="13">
                  <c:v>53796409</c:v>
                </c:pt>
                <c:pt idx="14">
                  <c:v>46464828</c:v>
                </c:pt>
                <c:pt idx="15">
                  <c:v>55614979</c:v>
                </c:pt>
                <c:pt idx="16">
                  <c:v>95568749</c:v>
                </c:pt>
                <c:pt idx="17">
                  <c:v>146477063</c:v>
                </c:pt>
                <c:pt idx="18">
                  <c:v>84436432</c:v>
                </c:pt>
                <c:pt idx="19">
                  <c:v>83745461</c:v>
                </c:pt>
                <c:pt idx="20">
                  <c:v>62739100</c:v>
                </c:pt>
                <c:pt idx="21">
                  <c:v>51915749</c:v>
                </c:pt>
                <c:pt idx="22">
                  <c:v>70149743</c:v>
                </c:pt>
                <c:pt idx="23">
                  <c:v>42246245</c:v>
                </c:pt>
                <c:pt idx="24">
                  <c:v>43706567</c:v>
                </c:pt>
                <c:pt idx="25">
                  <c:v>38889797</c:v>
                </c:pt>
                <c:pt idx="26">
                  <c:v>62008506</c:v>
                </c:pt>
                <c:pt idx="27">
                  <c:v>73561797</c:v>
                </c:pt>
                <c:pt idx="28">
                  <c:v>74474466</c:v>
                </c:pt>
                <c:pt idx="29">
                  <c:v>54272219</c:v>
                </c:pt>
                <c:pt idx="30">
                  <c:v>63152405</c:v>
                </c:pt>
                <c:pt idx="31">
                  <c:v>44891737</c:v>
                </c:pt>
                <c:pt idx="32">
                  <c:v>37362381</c:v>
                </c:pt>
                <c:pt idx="33">
                  <c:v>48948419</c:v>
                </c:pt>
                <c:pt idx="34">
                  <c:v>70974110</c:v>
                </c:pt>
                <c:pt idx="35">
                  <c:v>69228130</c:v>
                </c:pt>
                <c:pt idx="36">
                  <c:v>74711746</c:v>
                </c:pt>
                <c:pt idx="37">
                  <c:v>91287529</c:v>
                </c:pt>
                <c:pt idx="38">
                  <c:v>62014847</c:v>
                </c:pt>
                <c:pt idx="39">
                  <c:v>48096663</c:v>
                </c:pt>
                <c:pt idx="40">
                  <c:v>37816283</c:v>
                </c:pt>
                <c:pt idx="41">
                  <c:v>31666340</c:v>
                </c:pt>
                <c:pt idx="42">
                  <c:v>56517146</c:v>
                </c:pt>
                <c:pt idx="43">
                  <c:v>72842060</c:v>
                </c:pt>
                <c:pt idx="44">
                  <c:v>88528487</c:v>
                </c:pt>
                <c:pt idx="45">
                  <c:v>68856582</c:v>
                </c:pt>
                <c:pt idx="46">
                  <c:v>68938974</c:v>
                </c:pt>
                <c:pt idx="47">
                  <c:v>48362719</c:v>
                </c:pt>
                <c:pt idx="48">
                  <c:v>51827283</c:v>
                </c:pt>
                <c:pt idx="49">
                  <c:v>35874300</c:v>
                </c:pt>
                <c:pt idx="50">
                  <c:v>51023104</c:v>
                </c:pt>
                <c:pt idx="51">
                  <c:v>65270945</c:v>
                </c:pt>
                <c:pt idx="52">
                  <c:v>45809490</c:v>
                </c:pt>
                <c:pt idx="53">
                  <c:v>68695136</c:v>
                </c:pt>
                <c:pt idx="54">
                  <c:v>37709674</c:v>
                </c:pt>
                <c:pt idx="55">
                  <c:v>32842304</c:v>
                </c:pt>
                <c:pt idx="56">
                  <c:v>51655177</c:v>
                </c:pt>
                <c:pt idx="57">
                  <c:v>47572869</c:v>
                </c:pt>
                <c:pt idx="58">
                  <c:v>39546151</c:v>
                </c:pt>
                <c:pt idx="59">
                  <c:v>47099670</c:v>
                </c:pt>
                <c:pt idx="60">
                  <c:v>42090553</c:v>
                </c:pt>
                <c:pt idx="61">
                  <c:v>40621437</c:v>
                </c:pt>
                <c:pt idx="62">
                  <c:v>32220131</c:v>
                </c:pt>
                <c:pt idx="63">
                  <c:v>37193975</c:v>
                </c:pt>
                <c:pt idx="64">
                  <c:v>35012268</c:v>
                </c:pt>
                <c:pt idx="65">
                  <c:v>37329243</c:v>
                </c:pt>
                <c:pt idx="66">
                  <c:v>32483974</c:v>
                </c:pt>
                <c:pt idx="67">
                  <c:v>40187953</c:v>
                </c:pt>
                <c:pt idx="68">
                  <c:v>36365123</c:v>
                </c:pt>
              </c:numCache>
            </c:numRef>
          </c:val>
        </c:ser>
        <c:dLbls>
          <c:showLegendKey val="0"/>
          <c:showVal val="0"/>
          <c:showCatName val="0"/>
          <c:showSerName val="0"/>
          <c:showPercent val="0"/>
          <c:showBubbleSize val="0"/>
        </c:dLbls>
        <c:gapWidth val="150"/>
        <c:axId val="216170496"/>
        <c:axId val="216172032"/>
      </c:barChart>
      <c:lineChart>
        <c:grouping val="standard"/>
        <c:varyColors val="0"/>
        <c:ser>
          <c:idx val="0"/>
          <c:order val="0"/>
          <c:tx>
            <c:strRef>
              <c:f>Indices!$B$7</c:f>
              <c:strCache>
                <c:ptCount val="1"/>
                <c:pt idx="0">
                  <c:v>APPLE INC</c:v>
                </c:pt>
              </c:strCache>
            </c:strRef>
          </c:tx>
          <c:spPr>
            <a:ln w="25400">
              <a:solidFill>
                <a:srgbClr val="477AB7"/>
              </a:solidFill>
              <a:prstDash val="solid"/>
            </a:ln>
          </c:spPr>
          <c:marker>
            <c:symbol val="none"/>
          </c:marker>
          <c:cat>
            <c:numRef>
              <c:f>[0]!Chart_Date_Size</c:f>
              <c:numCache>
                <c:formatCode>m/d/yyyy</c:formatCode>
                <c:ptCount val="69"/>
                <c:pt idx="0">
                  <c:v>42006</c:v>
                </c:pt>
                <c:pt idx="1">
                  <c:v>42009</c:v>
                </c:pt>
                <c:pt idx="2">
                  <c:v>42010</c:v>
                </c:pt>
                <c:pt idx="3">
                  <c:v>42011</c:v>
                </c:pt>
                <c:pt idx="4">
                  <c:v>42012</c:v>
                </c:pt>
                <c:pt idx="5">
                  <c:v>42013</c:v>
                </c:pt>
                <c:pt idx="6">
                  <c:v>42016</c:v>
                </c:pt>
                <c:pt idx="7">
                  <c:v>42017</c:v>
                </c:pt>
                <c:pt idx="8">
                  <c:v>42018</c:v>
                </c:pt>
                <c:pt idx="9">
                  <c:v>42019</c:v>
                </c:pt>
                <c:pt idx="10">
                  <c:v>42020</c:v>
                </c:pt>
                <c:pt idx="11">
                  <c:v>42024</c:v>
                </c:pt>
                <c:pt idx="12">
                  <c:v>42025</c:v>
                </c:pt>
                <c:pt idx="13">
                  <c:v>42026</c:v>
                </c:pt>
                <c:pt idx="14">
                  <c:v>42027</c:v>
                </c:pt>
                <c:pt idx="15">
                  <c:v>42030</c:v>
                </c:pt>
                <c:pt idx="16">
                  <c:v>42031</c:v>
                </c:pt>
                <c:pt idx="17">
                  <c:v>42032</c:v>
                </c:pt>
                <c:pt idx="18">
                  <c:v>42033</c:v>
                </c:pt>
                <c:pt idx="19">
                  <c:v>42034</c:v>
                </c:pt>
                <c:pt idx="20">
                  <c:v>42037</c:v>
                </c:pt>
                <c:pt idx="21">
                  <c:v>42038</c:v>
                </c:pt>
                <c:pt idx="22">
                  <c:v>42039</c:v>
                </c:pt>
                <c:pt idx="23">
                  <c:v>42040</c:v>
                </c:pt>
                <c:pt idx="24">
                  <c:v>42041</c:v>
                </c:pt>
                <c:pt idx="25">
                  <c:v>42044</c:v>
                </c:pt>
                <c:pt idx="26">
                  <c:v>42045</c:v>
                </c:pt>
                <c:pt idx="27">
                  <c:v>42046</c:v>
                </c:pt>
                <c:pt idx="28">
                  <c:v>42047</c:v>
                </c:pt>
                <c:pt idx="29">
                  <c:v>42048</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42079</c:v>
                </c:pt>
                <c:pt idx="50">
                  <c:v>42080</c:v>
                </c:pt>
                <c:pt idx="51">
                  <c:v>42081</c:v>
                </c:pt>
                <c:pt idx="52">
                  <c:v>42082</c:v>
                </c:pt>
                <c:pt idx="53">
                  <c:v>42083</c:v>
                </c:pt>
                <c:pt idx="54">
                  <c:v>42086</c:v>
                </c:pt>
                <c:pt idx="55">
                  <c:v>42087</c:v>
                </c:pt>
                <c:pt idx="56">
                  <c:v>42088</c:v>
                </c:pt>
                <c:pt idx="57">
                  <c:v>42089</c:v>
                </c:pt>
                <c:pt idx="58">
                  <c:v>42090</c:v>
                </c:pt>
                <c:pt idx="59">
                  <c:v>42093</c:v>
                </c:pt>
                <c:pt idx="60">
                  <c:v>42094</c:v>
                </c:pt>
                <c:pt idx="61">
                  <c:v>42095</c:v>
                </c:pt>
                <c:pt idx="62">
                  <c:v>42096</c:v>
                </c:pt>
                <c:pt idx="63">
                  <c:v>42100</c:v>
                </c:pt>
                <c:pt idx="64">
                  <c:v>42101</c:v>
                </c:pt>
                <c:pt idx="65">
                  <c:v>42102</c:v>
                </c:pt>
                <c:pt idx="66">
                  <c:v>42103</c:v>
                </c:pt>
                <c:pt idx="67">
                  <c:v>42104</c:v>
                </c:pt>
                <c:pt idx="68">
                  <c:v>42107</c:v>
                </c:pt>
              </c:numCache>
            </c:numRef>
          </c:cat>
          <c:val>
            <c:numRef>
              <c:f>[0]!Chart_Price_Size</c:f>
              <c:numCache>
                <c:formatCode>0.00</c:formatCode>
                <c:ptCount val="69"/>
                <c:pt idx="0">
                  <c:v>109.33</c:v>
                </c:pt>
                <c:pt idx="1">
                  <c:v>106.25</c:v>
                </c:pt>
                <c:pt idx="2">
                  <c:v>106.26</c:v>
                </c:pt>
                <c:pt idx="3">
                  <c:v>107.75</c:v>
                </c:pt>
                <c:pt idx="4">
                  <c:v>111.89</c:v>
                </c:pt>
                <c:pt idx="5">
                  <c:v>112.01</c:v>
                </c:pt>
                <c:pt idx="6">
                  <c:v>109.25</c:v>
                </c:pt>
                <c:pt idx="7">
                  <c:v>110.22</c:v>
                </c:pt>
                <c:pt idx="8">
                  <c:v>109.8</c:v>
                </c:pt>
                <c:pt idx="9">
                  <c:v>106.82</c:v>
                </c:pt>
                <c:pt idx="10">
                  <c:v>105.99</c:v>
                </c:pt>
                <c:pt idx="11">
                  <c:v>108.72</c:v>
                </c:pt>
                <c:pt idx="12">
                  <c:v>109.55</c:v>
                </c:pt>
                <c:pt idx="13">
                  <c:v>112.4</c:v>
                </c:pt>
                <c:pt idx="14">
                  <c:v>112.98</c:v>
                </c:pt>
                <c:pt idx="15">
                  <c:v>113.1</c:v>
                </c:pt>
                <c:pt idx="16">
                  <c:v>109.14</c:v>
                </c:pt>
                <c:pt idx="17">
                  <c:v>115.31</c:v>
                </c:pt>
                <c:pt idx="18">
                  <c:v>118.9</c:v>
                </c:pt>
                <c:pt idx="19">
                  <c:v>117.16</c:v>
                </c:pt>
                <c:pt idx="20">
                  <c:v>118.63</c:v>
                </c:pt>
                <c:pt idx="21">
                  <c:v>118.65</c:v>
                </c:pt>
                <c:pt idx="22">
                  <c:v>119.56</c:v>
                </c:pt>
                <c:pt idx="23">
                  <c:v>119.94</c:v>
                </c:pt>
                <c:pt idx="24">
                  <c:v>118.93</c:v>
                </c:pt>
                <c:pt idx="25">
                  <c:v>119.72</c:v>
                </c:pt>
                <c:pt idx="26">
                  <c:v>122.02</c:v>
                </c:pt>
                <c:pt idx="27">
                  <c:v>124.88</c:v>
                </c:pt>
                <c:pt idx="28">
                  <c:v>126.46</c:v>
                </c:pt>
                <c:pt idx="29">
                  <c:v>127.08</c:v>
                </c:pt>
                <c:pt idx="30">
                  <c:v>127.83</c:v>
                </c:pt>
                <c:pt idx="31">
                  <c:v>128.715</c:v>
                </c:pt>
                <c:pt idx="32">
                  <c:v>128.44999999999999</c:v>
                </c:pt>
                <c:pt idx="33">
                  <c:v>129.495</c:v>
                </c:pt>
                <c:pt idx="34">
                  <c:v>133</c:v>
                </c:pt>
                <c:pt idx="35">
                  <c:v>132.16999999999999</c:v>
                </c:pt>
                <c:pt idx="36">
                  <c:v>128.79</c:v>
                </c:pt>
                <c:pt idx="37">
                  <c:v>130.41499999999999</c:v>
                </c:pt>
                <c:pt idx="38">
                  <c:v>128.46</c:v>
                </c:pt>
                <c:pt idx="39">
                  <c:v>129.09</c:v>
                </c:pt>
                <c:pt idx="40">
                  <c:v>129.36000000000001</c:v>
                </c:pt>
                <c:pt idx="41">
                  <c:v>128.54</c:v>
                </c:pt>
                <c:pt idx="42">
                  <c:v>126.41</c:v>
                </c:pt>
                <c:pt idx="43">
                  <c:v>126.6</c:v>
                </c:pt>
                <c:pt idx="44">
                  <c:v>127.14</c:v>
                </c:pt>
                <c:pt idx="45">
                  <c:v>124.51</c:v>
                </c:pt>
                <c:pt idx="46">
                  <c:v>122.24</c:v>
                </c:pt>
                <c:pt idx="47">
                  <c:v>124.45</c:v>
                </c:pt>
                <c:pt idx="48">
                  <c:v>123.59</c:v>
                </c:pt>
                <c:pt idx="49">
                  <c:v>124.95</c:v>
                </c:pt>
                <c:pt idx="50">
                  <c:v>127.04</c:v>
                </c:pt>
                <c:pt idx="51">
                  <c:v>128.47</c:v>
                </c:pt>
                <c:pt idx="52">
                  <c:v>127.495</c:v>
                </c:pt>
                <c:pt idx="53">
                  <c:v>125.9</c:v>
                </c:pt>
                <c:pt idx="54">
                  <c:v>127.21</c:v>
                </c:pt>
                <c:pt idx="55">
                  <c:v>126.69</c:v>
                </c:pt>
                <c:pt idx="56">
                  <c:v>123.38</c:v>
                </c:pt>
                <c:pt idx="57">
                  <c:v>124.24</c:v>
                </c:pt>
                <c:pt idx="58">
                  <c:v>123.25</c:v>
                </c:pt>
                <c:pt idx="59">
                  <c:v>126.37</c:v>
                </c:pt>
                <c:pt idx="60">
                  <c:v>124.43</c:v>
                </c:pt>
                <c:pt idx="61">
                  <c:v>124.25</c:v>
                </c:pt>
                <c:pt idx="62">
                  <c:v>125.32</c:v>
                </c:pt>
                <c:pt idx="63">
                  <c:v>127.35</c:v>
                </c:pt>
                <c:pt idx="64">
                  <c:v>126.01</c:v>
                </c:pt>
                <c:pt idx="65">
                  <c:v>125.6</c:v>
                </c:pt>
                <c:pt idx="66">
                  <c:v>126.56</c:v>
                </c:pt>
                <c:pt idx="67">
                  <c:v>127.1</c:v>
                </c:pt>
                <c:pt idx="68">
                  <c:v>126.85</c:v>
                </c:pt>
              </c:numCache>
            </c:numRef>
          </c:val>
          <c:smooth val="0"/>
        </c:ser>
        <c:dLbls>
          <c:showLegendKey val="0"/>
          <c:showVal val="0"/>
          <c:showCatName val="0"/>
          <c:showSerName val="0"/>
          <c:showPercent val="0"/>
          <c:showBubbleSize val="0"/>
        </c:dLbls>
        <c:marker val="1"/>
        <c:smooth val="0"/>
        <c:axId val="216154880"/>
        <c:axId val="216156416"/>
      </c:lineChart>
      <c:dateAx>
        <c:axId val="216154880"/>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a:defRPr sz="625" b="0" i="0" u="none" strike="noStrike" baseline="0">
                <a:solidFill>
                  <a:srgbClr val="000000"/>
                </a:solidFill>
                <a:latin typeface="Arial"/>
                <a:ea typeface="Arial"/>
                <a:cs typeface="Arial"/>
              </a:defRPr>
            </a:pPr>
            <a:endParaRPr lang="en-US"/>
          </a:p>
        </c:txPr>
        <c:crossAx val="216156416"/>
        <c:crosses val="autoZero"/>
        <c:auto val="0"/>
        <c:lblOffset val="100"/>
        <c:baseTimeUnit val="days"/>
        <c:majorUnit val="1"/>
        <c:majorTimeUnit val="months"/>
        <c:minorUnit val="1"/>
        <c:minorTimeUnit val="months"/>
      </c:dateAx>
      <c:valAx>
        <c:axId val="216156416"/>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216154880"/>
        <c:crosses val="autoZero"/>
        <c:crossBetween val="between"/>
      </c:valAx>
      <c:dateAx>
        <c:axId val="216170496"/>
        <c:scaling>
          <c:orientation val="minMax"/>
        </c:scaling>
        <c:delete val="1"/>
        <c:axPos val="b"/>
        <c:numFmt formatCode="m/d/yyyy" sourceLinked="1"/>
        <c:majorTickMark val="out"/>
        <c:minorTickMark val="none"/>
        <c:tickLblPos val="nextTo"/>
        <c:crossAx val="216172032"/>
        <c:crosses val="autoZero"/>
        <c:auto val="1"/>
        <c:lblOffset val="100"/>
        <c:baseTimeUnit val="days"/>
      </c:dateAx>
      <c:valAx>
        <c:axId val="216172032"/>
        <c:scaling>
          <c:orientation val="minMax"/>
        </c:scaling>
        <c:delete val="0"/>
        <c:axPos val="r"/>
        <c:numFmt formatCode="0"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216170496"/>
        <c:crosses val="max"/>
        <c:crossBetween val="between"/>
      </c:valAx>
      <c:spPr>
        <a:solidFill>
          <a:srgbClr val="F8F8F8"/>
        </a:solidFill>
        <a:ln w="3175">
          <a:solidFill>
            <a:srgbClr val="E0E0E0"/>
          </a:solidFill>
          <a:prstDash val="sysDash"/>
        </a:ln>
      </c:spPr>
    </c:plotArea>
    <c:legend>
      <c:legendPos val="b"/>
      <c:overlay val="0"/>
      <c:spPr>
        <a:solidFill>
          <a:srgbClr val="FFFFFF"/>
        </a:solidFill>
        <a:ln w="25400">
          <a:noFill/>
        </a:ln>
      </c:spPr>
      <c:txPr>
        <a:bodyPr/>
        <a:lstStyle/>
        <a:p>
          <a:pPr>
            <a:defRPr sz="105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ControlsH!$A$17</c:f>
          <c:strCache>
            <c:ptCount val="1"/>
            <c:pt idx="0">
              <c:v>AAPL US Price versus Peers &amp; Benchmark (Normalized)</c:v>
            </c:pt>
          </c:strCache>
        </c:strRef>
      </c:tx>
      <c:layout>
        <c:manualLayout>
          <c:xMode val="edge"/>
          <c:yMode val="edge"/>
          <c:x val="0.11456317960254969"/>
          <c:y val="1.5974737532808401E-2"/>
        </c:manualLayout>
      </c:layout>
      <c:overlay val="0"/>
      <c:spPr>
        <a:noFill/>
        <a:ln w="25400">
          <a:noFill/>
        </a:ln>
      </c:spPr>
      <c:txPr>
        <a:bodyPr/>
        <a:lstStyle/>
        <a:p>
          <a:pPr>
            <a:defRPr sz="1050" b="1" i="0" u="none" strike="noStrike" baseline="0">
              <a:solidFill>
                <a:srgbClr val="000000"/>
              </a:solidFill>
              <a:latin typeface="+mn-lt"/>
              <a:ea typeface="Arial"/>
              <a:cs typeface="Arial"/>
            </a:defRPr>
          </a:pPr>
          <a:endParaRPr lang="en-US"/>
        </a:p>
      </c:txPr>
    </c:title>
    <c:autoTitleDeleted val="0"/>
    <c:plotArea>
      <c:layout>
        <c:manualLayout>
          <c:layoutTarget val="inner"/>
          <c:xMode val="edge"/>
          <c:yMode val="edge"/>
          <c:x val="6.0165975103734441E-2"/>
          <c:y val="0.11501615386655394"/>
          <c:w val="0.88381742738589208"/>
          <c:h val="0.71246117534004239"/>
        </c:manualLayout>
      </c:layout>
      <c:lineChart>
        <c:grouping val="standard"/>
        <c:varyColors val="0"/>
        <c:ser>
          <c:idx val="0"/>
          <c:order val="0"/>
          <c:tx>
            <c:strRef>
              <c:f>Indices!$B$7</c:f>
              <c:strCache>
                <c:ptCount val="1"/>
                <c:pt idx="0">
                  <c:v>APPLE INC</c:v>
                </c:pt>
              </c:strCache>
            </c:strRef>
          </c:tx>
          <c:spPr>
            <a:ln w="25400">
              <a:solidFill>
                <a:srgbClr val="477AB7"/>
              </a:solidFill>
              <a:prstDash val="solid"/>
            </a:ln>
          </c:spPr>
          <c:marker>
            <c:symbol val="none"/>
          </c:marker>
          <c:cat>
            <c:numRef>
              <c:f>[0]!Chart_Date_Size</c:f>
              <c:numCache>
                <c:formatCode>m/d/yyyy</c:formatCode>
                <c:ptCount val="69"/>
                <c:pt idx="0">
                  <c:v>42006</c:v>
                </c:pt>
                <c:pt idx="1">
                  <c:v>42009</c:v>
                </c:pt>
                <c:pt idx="2">
                  <c:v>42010</c:v>
                </c:pt>
                <c:pt idx="3">
                  <c:v>42011</c:v>
                </c:pt>
                <c:pt idx="4">
                  <c:v>42012</c:v>
                </c:pt>
                <c:pt idx="5">
                  <c:v>42013</c:v>
                </c:pt>
                <c:pt idx="6">
                  <c:v>42016</c:v>
                </c:pt>
                <c:pt idx="7">
                  <c:v>42017</c:v>
                </c:pt>
                <c:pt idx="8">
                  <c:v>42018</c:v>
                </c:pt>
                <c:pt idx="9">
                  <c:v>42019</c:v>
                </c:pt>
                <c:pt idx="10">
                  <c:v>42020</c:v>
                </c:pt>
                <c:pt idx="11">
                  <c:v>42024</c:v>
                </c:pt>
                <c:pt idx="12">
                  <c:v>42025</c:v>
                </c:pt>
                <c:pt idx="13">
                  <c:v>42026</c:v>
                </c:pt>
                <c:pt idx="14">
                  <c:v>42027</c:v>
                </c:pt>
                <c:pt idx="15">
                  <c:v>42030</c:v>
                </c:pt>
                <c:pt idx="16">
                  <c:v>42031</c:v>
                </c:pt>
                <c:pt idx="17">
                  <c:v>42032</c:v>
                </c:pt>
                <c:pt idx="18">
                  <c:v>42033</c:v>
                </c:pt>
                <c:pt idx="19">
                  <c:v>42034</c:v>
                </c:pt>
                <c:pt idx="20">
                  <c:v>42037</c:v>
                </c:pt>
                <c:pt idx="21">
                  <c:v>42038</c:v>
                </c:pt>
                <c:pt idx="22">
                  <c:v>42039</c:v>
                </c:pt>
                <c:pt idx="23">
                  <c:v>42040</c:v>
                </c:pt>
                <c:pt idx="24">
                  <c:v>42041</c:v>
                </c:pt>
                <c:pt idx="25">
                  <c:v>42044</c:v>
                </c:pt>
                <c:pt idx="26">
                  <c:v>42045</c:v>
                </c:pt>
                <c:pt idx="27">
                  <c:v>42046</c:v>
                </c:pt>
                <c:pt idx="28">
                  <c:v>42047</c:v>
                </c:pt>
                <c:pt idx="29">
                  <c:v>42048</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42079</c:v>
                </c:pt>
                <c:pt idx="50">
                  <c:v>42080</c:v>
                </c:pt>
                <c:pt idx="51">
                  <c:v>42081</c:v>
                </c:pt>
                <c:pt idx="52">
                  <c:v>42082</c:v>
                </c:pt>
                <c:pt idx="53">
                  <c:v>42083</c:v>
                </c:pt>
                <c:pt idx="54">
                  <c:v>42086</c:v>
                </c:pt>
                <c:pt idx="55">
                  <c:v>42087</c:v>
                </c:pt>
                <c:pt idx="56">
                  <c:v>42088</c:v>
                </c:pt>
                <c:pt idx="57">
                  <c:v>42089</c:v>
                </c:pt>
                <c:pt idx="58">
                  <c:v>42090</c:v>
                </c:pt>
                <c:pt idx="59">
                  <c:v>42093</c:v>
                </c:pt>
                <c:pt idx="60">
                  <c:v>42094</c:v>
                </c:pt>
                <c:pt idx="61">
                  <c:v>42095</c:v>
                </c:pt>
                <c:pt idx="62">
                  <c:v>42096</c:v>
                </c:pt>
                <c:pt idx="63">
                  <c:v>42100</c:v>
                </c:pt>
                <c:pt idx="64">
                  <c:v>42101</c:v>
                </c:pt>
                <c:pt idx="65">
                  <c:v>42102</c:v>
                </c:pt>
                <c:pt idx="66">
                  <c:v>42103</c:v>
                </c:pt>
                <c:pt idx="67">
                  <c:v>42104</c:v>
                </c:pt>
                <c:pt idx="68">
                  <c:v>42107</c:v>
                </c:pt>
              </c:numCache>
            </c:numRef>
          </c:cat>
          <c:val>
            <c:numRef>
              <c:f>[0]!Chart_Price_100_Size</c:f>
              <c:numCache>
                <c:formatCode>0.00</c:formatCode>
                <c:ptCount val="69"/>
                <c:pt idx="0">
                  <c:v>100</c:v>
                </c:pt>
                <c:pt idx="1">
                  <c:v>97.18284094027257</c:v>
                </c:pt>
                <c:pt idx="2">
                  <c:v>97.191987560596374</c:v>
                </c:pt>
                <c:pt idx="3">
                  <c:v>98.554833988841125</c:v>
                </c:pt>
                <c:pt idx="4">
                  <c:v>102.34153480289035</c:v>
                </c:pt>
                <c:pt idx="5">
                  <c:v>102.45129424677582</c:v>
                </c:pt>
                <c:pt idx="6">
                  <c:v>99.92682703740968</c:v>
                </c:pt>
                <c:pt idx="7">
                  <c:v>100.81404920881734</c:v>
                </c:pt>
                <c:pt idx="8">
                  <c:v>100.42989115521814</c:v>
                </c:pt>
                <c:pt idx="9">
                  <c:v>97.704198298728613</c:v>
                </c:pt>
                <c:pt idx="10">
                  <c:v>96.945028811854016</c:v>
                </c:pt>
                <c:pt idx="11">
                  <c:v>99.442056160248796</c:v>
                </c:pt>
                <c:pt idx="12">
                  <c:v>100.20122564712339</c:v>
                </c:pt>
                <c:pt idx="13">
                  <c:v>102.80801243940365</c:v>
                </c:pt>
                <c:pt idx="14">
                  <c:v>103.33851641818347</c:v>
                </c:pt>
                <c:pt idx="15">
                  <c:v>103.44827586206897</c:v>
                </c:pt>
                <c:pt idx="16">
                  <c:v>99.82621421384799</c:v>
                </c:pt>
                <c:pt idx="17">
                  <c:v>105.46967895362664</c:v>
                </c:pt>
                <c:pt idx="18">
                  <c:v>108.75331564986739</c:v>
                </c:pt>
                <c:pt idx="19">
                  <c:v>107.16180371352786</c:v>
                </c:pt>
                <c:pt idx="20">
                  <c:v>108.50635690112502</c:v>
                </c:pt>
                <c:pt idx="21">
                  <c:v>108.52465014177261</c:v>
                </c:pt>
                <c:pt idx="22">
                  <c:v>109.35699259123754</c:v>
                </c:pt>
                <c:pt idx="23">
                  <c:v>109.70456416354158</c:v>
                </c:pt>
                <c:pt idx="24">
                  <c:v>108.78075551083874</c:v>
                </c:pt>
                <c:pt idx="25">
                  <c:v>109.50333851641818</c:v>
                </c:pt>
                <c:pt idx="26">
                  <c:v>111.60706119088997</c:v>
                </c:pt>
                <c:pt idx="27">
                  <c:v>114.22299460349402</c:v>
                </c:pt>
                <c:pt idx="28">
                  <c:v>115.66816061465288</c:v>
                </c:pt>
                <c:pt idx="29">
                  <c:v>116.2352510747279</c:v>
                </c:pt>
                <c:pt idx="30">
                  <c:v>116.92124759901216</c:v>
                </c:pt>
                <c:pt idx="31">
                  <c:v>117.73072349766763</c:v>
                </c:pt>
                <c:pt idx="32">
                  <c:v>117.48833805908716</c:v>
                </c:pt>
                <c:pt idx="33">
                  <c:v>118.44415988292327</c:v>
                </c:pt>
                <c:pt idx="34">
                  <c:v>121.65005030641179</c:v>
                </c:pt>
                <c:pt idx="35">
                  <c:v>120.89088081953716</c:v>
                </c:pt>
                <c:pt idx="36">
                  <c:v>117.79932315009603</c:v>
                </c:pt>
                <c:pt idx="37">
                  <c:v>119.28564895271197</c:v>
                </c:pt>
                <c:pt idx="38">
                  <c:v>117.49748467941097</c:v>
                </c:pt>
                <c:pt idx="39">
                  <c:v>118.07372175980974</c:v>
                </c:pt>
                <c:pt idx="40">
                  <c:v>118.32068050855212</c:v>
                </c:pt>
                <c:pt idx="41">
                  <c:v>117.57065764200128</c:v>
                </c:pt>
                <c:pt idx="42">
                  <c:v>115.62242751303393</c:v>
                </c:pt>
                <c:pt idx="43">
                  <c:v>115.79621329918595</c:v>
                </c:pt>
                <c:pt idx="44">
                  <c:v>116.29013079667064</c:v>
                </c:pt>
                <c:pt idx="45">
                  <c:v>113.88456965151377</c:v>
                </c:pt>
                <c:pt idx="46">
                  <c:v>111.80828683801336</c:v>
                </c:pt>
                <c:pt idx="47">
                  <c:v>113.82968992957103</c:v>
                </c:pt>
                <c:pt idx="48">
                  <c:v>113.04308058172505</c:v>
                </c:pt>
                <c:pt idx="49">
                  <c:v>114.28702094576056</c:v>
                </c:pt>
                <c:pt idx="50">
                  <c:v>116.19866459343274</c:v>
                </c:pt>
                <c:pt idx="51">
                  <c:v>117.50663129973475</c:v>
                </c:pt>
                <c:pt idx="52">
                  <c:v>116.61483581816519</c:v>
                </c:pt>
                <c:pt idx="53">
                  <c:v>115.15594987652062</c:v>
                </c:pt>
                <c:pt idx="54">
                  <c:v>116.35415713893715</c:v>
                </c:pt>
                <c:pt idx="55">
                  <c:v>115.87853288210006</c:v>
                </c:pt>
                <c:pt idx="56">
                  <c:v>112.85100155492545</c:v>
                </c:pt>
                <c:pt idx="57">
                  <c:v>113.63761090277143</c:v>
                </c:pt>
                <c:pt idx="58">
                  <c:v>112.73209549071619</c:v>
                </c:pt>
                <c:pt idx="59">
                  <c:v>115.58584103173877</c:v>
                </c:pt>
                <c:pt idx="60">
                  <c:v>113.81139668892347</c:v>
                </c:pt>
                <c:pt idx="61">
                  <c:v>113.6467575230952</c:v>
                </c:pt>
                <c:pt idx="62">
                  <c:v>114.62544589774078</c:v>
                </c:pt>
                <c:pt idx="63">
                  <c:v>116.48220982347021</c:v>
                </c:pt>
                <c:pt idx="64">
                  <c:v>115.25656270008233</c:v>
                </c:pt>
                <c:pt idx="65">
                  <c:v>114.88155126680691</c:v>
                </c:pt>
                <c:pt idx="66">
                  <c:v>115.7596268178908</c:v>
                </c:pt>
                <c:pt idx="67">
                  <c:v>116.25354431537546</c:v>
                </c:pt>
                <c:pt idx="68">
                  <c:v>116.0248788072807</c:v>
                </c:pt>
              </c:numCache>
            </c:numRef>
          </c:val>
          <c:smooth val="0"/>
        </c:ser>
        <c:ser>
          <c:idx val="1"/>
          <c:order val="1"/>
          <c:tx>
            <c:strRef>
              <c:f>Indices!$R$9</c:f>
              <c:strCache>
                <c:ptCount val="1"/>
                <c:pt idx="0">
                  <c:v>Peer Index</c:v>
                </c:pt>
              </c:strCache>
            </c:strRef>
          </c:tx>
          <c:spPr>
            <a:ln w="25400">
              <a:solidFill>
                <a:srgbClr val="00AEEF"/>
              </a:solidFill>
              <a:prstDash val="solid"/>
            </a:ln>
          </c:spPr>
          <c:marker>
            <c:symbol val="none"/>
          </c:marker>
          <c:cat>
            <c:numRef>
              <c:f>[0]!Chart_Date_Size</c:f>
              <c:numCache>
                <c:formatCode>m/d/yyyy</c:formatCode>
                <c:ptCount val="69"/>
                <c:pt idx="0">
                  <c:v>42006</c:v>
                </c:pt>
                <c:pt idx="1">
                  <c:v>42009</c:v>
                </c:pt>
                <c:pt idx="2">
                  <c:v>42010</c:v>
                </c:pt>
                <c:pt idx="3">
                  <c:v>42011</c:v>
                </c:pt>
                <c:pt idx="4">
                  <c:v>42012</c:v>
                </c:pt>
                <c:pt idx="5">
                  <c:v>42013</c:v>
                </c:pt>
                <c:pt idx="6">
                  <c:v>42016</c:v>
                </c:pt>
                <c:pt idx="7">
                  <c:v>42017</c:v>
                </c:pt>
                <c:pt idx="8">
                  <c:v>42018</c:v>
                </c:pt>
                <c:pt idx="9">
                  <c:v>42019</c:v>
                </c:pt>
                <c:pt idx="10">
                  <c:v>42020</c:v>
                </c:pt>
                <c:pt idx="11">
                  <c:v>42024</c:v>
                </c:pt>
                <c:pt idx="12">
                  <c:v>42025</c:v>
                </c:pt>
                <c:pt idx="13">
                  <c:v>42026</c:v>
                </c:pt>
                <c:pt idx="14">
                  <c:v>42027</c:v>
                </c:pt>
                <c:pt idx="15">
                  <c:v>42030</c:v>
                </c:pt>
                <c:pt idx="16">
                  <c:v>42031</c:v>
                </c:pt>
                <c:pt idx="17">
                  <c:v>42032</c:v>
                </c:pt>
                <c:pt idx="18">
                  <c:v>42033</c:v>
                </c:pt>
                <c:pt idx="19">
                  <c:v>42034</c:v>
                </c:pt>
                <c:pt idx="20">
                  <c:v>42037</c:v>
                </c:pt>
                <c:pt idx="21">
                  <c:v>42038</c:v>
                </c:pt>
                <c:pt idx="22">
                  <c:v>42039</c:v>
                </c:pt>
                <c:pt idx="23">
                  <c:v>42040</c:v>
                </c:pt>
                <c:pt idx="24">
                  <c:v>42041</c:v>
                </c:pt>
                <c:pt idx="25">
                  <c:v>42044</c:v>
                </c:pt>
                <c:pt idx="26">
                  <c:v>42045</c:v>
                </c:pt>
                <c:pt idx="27">
                  <c:v>42046</c:v>
                </c:pt>
                <c:pt idx="28">
                  <c:v>42047</c:v>
                </c:pt>
                <c:pt idx="29">
                  <c:v>42048</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42079</c:v>
                </c:pt>
                <c:pt idx="50">
                  <c:v>42080</c:v>
                </c:pt>
                <c:pt idx="51">
                  <c:v>42081</c:v>
                </c:pt>
                <c:pt idx="52">
                  <c:v>42082</c:v>
                </c:pt>
                <c:pt idx="53">
                  <c:v>42083</c:v>
                </c:pt>
                <c:pt idx="54">
                  <c:v>42086</c:v>
                </c:pt>
                <c:pt idx="55">
                  <c:v>42087</c:v>
                </c:pt>
                <c:pt idx="56">
                  <c:v>42088</c:v>
                </c:pt>
                <c:pt idx="57">
                  <c:v>42089</c:v>
                </c:pt>
                <c:pt idx="58">
                  <c:v>42090</c:v>
                </c:pt>
                <c:pt idx="59">
                  <c:v>42093</c:v>
                </c:pt>
                <c:pt idx="60">
                  <c:v>42094</c:v>
                </c:pt>
                <c:pt idx="61">
                  <c:v>42095</c:v>
                </c:pt>
                <c:pt idx="62">
                  <c:v>42096</c:v>
                </c:pt>
                <c:pt idx="63">
                  <c:v>42100</c:v>
                </c:pt>
                <c:pt idx="64">
                  <c:v>42101</c:v>
                </c:pt>
                <c:pt idx="65">
                  <c:v>42102</c:v>
                </c:pt>
                <c:pt idx="66">
                  <c:v>42103</c:v>
                </c:pt>
                <c:pt idx="67">
                  <c:v>42104</c:v>
                </c:pt>
                <c:pt idx="68">
                  <c:v>42107</c:v>
                </c:pt>
              </c:numCache>
            </c:numRef>
          </c:cat>
          <c:val>
            <c:numRef>
              <c:f>[0]!Chart_Peer_100_Size</c:f>
              <c:numCache>
                <c:formatCode>0.00</c:formatCode>
                <c:ptCount val="69"/>
              </c:numCache>
            </c:numRef>
          </c:val>
          <c:smooth val="0"/>
        </c:ser>
        <c:ser>
          <c:idx val="2"/>
          <c:order val="2"/>
          <c:tx>
            <c:strRef>
              <c:f>Indices!$S$9</c:f>
              <c:strCache>
                <c:ptCount val="1"/>
                <c:pt idx="0">
                  <c:v>SPX</c:v>
                </c:pt>
              </c:strCache>
            </c:strRef>
          </c:tx>
          <c:spPr>
            <a:ln w="25400">
              <a:solidFill>
                <a:srgbClr val="F2673C"/>
              </a:solidFill>
              <a:prstDash val="solid"/>
            </a:ln>
          </c:spPr>
          <c:marker>
            <c:symbol val="none"/>
          </c:marker>
          <c:cat>
            <c:numRef>
              <c:f>[0]!Chart_Date_Size</c:f>
              <c:numCache>
                <c:formatCode>m/d/yyyy</c:formatCode>
                <c:ptCount val="69"/>
                <c:pt idx="0">
                  <c:v>42006</c:v>
                </c:pt>
                <c:pt idx="1">
                  <c:v>42009</c:v>
                </c:pt>
                <c:pt idx="2">
                  <c:v>42010</c:v>
                </c:pt>
                <c:pt idx="3">
                  <c:v>42011</c:v>
                </c:pt>
                <c:pt idx="4">
                  <c:v>42012</c:v>
                </c:pt>
                <c:pt idx="5">
                  <c:v>42013</c:v>
                </c:pt>
                <c:pt idx="6">
                  <c:v>42016</c:v>
                </c:pt>
                <c:pt idx="7">
                  <c:v>42017</c:v>
                </c:pt>
                <c:pt idx="8">
                  <c:v>42018</c:v>
                </c:pt>
                <c:pt idx="9">
                  <c:v>42019</c:v>
                </c:pt>
                <c:pt idx="10">
                  <c:v>42020</c:v>
                </c:pt>
                <c:pt idx="11">
                  <c:v>42024</c:v>
                </c:pt>
                <c:pt idx="12">
                  <c:v>42025</c:v>
                </c:pt>
                <c:pt idx="13">
                  <c:v>42026</c:v>
                </c:pt>
                <c:pt idx="14">
                  <c:v>42027</c:v>
                </c:pt>
                <c:pt idx="15">
                  <c:v>42030</c:v>
                </c:pt>
                <c:pt idx="16">
                  <c:v>42031</c:v>
                </c:pt>
                <c:pt idx="17">
                  <c:v>42032</c:v>
                </c:pt>
                <c:pt idx="18">
                  <c:v>42033</c:v>
                </c:pt>
                <c:pt idx="19">
                  <c:v>42034</c:v>
                </c:pt>
                <c:pt idx="20">
                  <c:v>42037</c:v>
                </c:pt>
                <c:pt idx="21">
                  <c:v>42038</c:v>
                </c:pt>
                <c:pt idx="22">
                  <c:v>42039</c:v>
                </c:pt>
                <c:pt idx="23">
                  <c:v>42040</c:v>
                </c:pt>
                <c:pt idx="24">
                  <c:v>42041</c:v>
                </c:pt>
                <c:pt idx="25">
                  <c:v>42044</c:v>
                </c:pt>
                <c:pt idx="26">
                  <c:v>42045</c:v>
                </c:pt>
                <c:pt idx="27">
                  <c:v>42046</c:v>
                </c:pt>
                <c:pt idx="28">
                  <c:v>42047</c:v>
                </c:pt>
                <c:pt idx="29">
                  <c:v>42048</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42079</c:v>
                </c:pt>
                <c:pt idx="50">
                  <c:v>42080</c:v>
                </c:pt>
                <c:pt idx="51">
                  <c:v>42081</c:v>
                </c:pt>
                <c:pt idx="52">
                  <c:v>42082</c:v>
                </c:pt>
                <c:pt idx="53">
                  <c:v>42083</c:v>
                </c:pt>
                <c:pt idx="54">
                  <c:v>42086</c:v>
                </c:pt>
                <c:pt idx="55">
                  <c:v>42087</c:v>
                </c:pt>
                <c:pt idx="56">
                  <c:v>42088</c:v>
                </c:pt>
                <c:pt idx="57">
                  <c:v>42089</c:v>
                </c:pt>
                <c:pt idx="58">
                  <c:v>42090</c:v>
                </c:pt>
                <c:pt idx="59">
                  <c:v>42093</c:v>
                </c:pt>
                <c:pt idx="60">
                  <c:v>42094</c:v>
                </c:pt>
                <c:pt idx="61">
                  <c:v>42095</c:v>
                </c:pt>
                <c:pt idx="62">
                  <c:v>42096</c:v>
                </c:pt>
                <c:pt idx="63">
                  <c:v>42100</c:v>
                </c:pt>
                <c:pt idx="64">
                  <c:v>42101</c:v>
                </c:pt>
                <c:pt idx="65">
                  <c:v>42102</c:v>
                </c:pt>
                <c:pt idx="66">
                  <c:v>42103</c:v>
                </c:pt>
                <c:pt idx="67">
                  <c:v>42104</c:v>
                </c:pt>
                <c:pt idx="68">
                  <c:v>42107</c:v>
                </c:pt>
              </c:numCache>
            </c:numRef>
          </c:cat>
          <c:val>
            <c:numRef>
              <c:f>[0]!Chart_Benchmark_100_Size</c:f>
              <c:numCache>
                <c:formatCode>0.00</c:formatCode>
                <c:ptCount val="69"/>
                <c:pt idx="0">
                  <c:v>100</c:v>
                </c:pt>
                <c:pt idx="1">
                  <c:v>98.172189291614032</c:v>
                </c:pt>
                <c:pt idx="2">
                  <c:v>97.299096297735886</c:v>
                </c:pt>
                <c:pt idx="3">
                  <c:v>98.430667573608019</c:v>
                </c:pt>
                <c:pt idx="4">
                  <c:v>100.19142940433387</c:v>
                </c:pt>
                <c:pt idx="5">
                  <c:v>99.349431542124194</c:v>
                </c:pt>
                <c:pt idx="6">
                  <c:v>98.545330871635414</c:v>
                </c:pt>
                <c:pt idx="7">
                  <c:v>98.291225342532314</c:v>
                </c:pt>
                <c:pt idx="8">
                  <c:v>97.719852298124593</c:v>
                </c:pt>
                <c:pt idx="9">
                  <c:v>96.81615003401032</c:v>
                </c:pt>
                <c:pt idx="10">
                  <c:v>98.115829365464975</c:v>
                </c:pt>
                <c:pt idx="11">
                  <c:v>98.267903993780976</c:v>
                </c:pt>
                <c:pt idx="12">
                  <c:v>98.732873384510739</c:v>
                </c:pt>
                <c:pt idx="13">
                  <c:v>100.24050140899816</c:v>
                </c:pt>
                <c:pt idx="14">
                  <c:v>99.690020406180167</c:v>
                </c:pt>
                <c:pt idx="15">
                  <c:v>99.946069381012549</c:v>
                </c:pt>
                <c:pt idx="16">
                  <c:v>98.608006996404626</c:v>
                </c:pt>
                <c:pt idx="17">
                  <c:v>97.27723253328152</c:v>
                </c:pt>
                <c:pt idx="18">
                  <c:v>98.204742007579455</c:v>
                </c:pt>
                <c:pt idx="19">
                  <c:v>96.928869886308433</c:v>
                </c:pt>
                <c:pt idx="20">
                  <c:v>98.185307550286666</c:v>
                </c:pt>
                <c:pt idx="21">
                  <c:v>99.603051209794984</c:v>
                </c:pt>
                <c:pt idx="22">
                  <c:v>99.189097269458756</c:v>
                </c:pt>
                <c:pt idx="23">
                  <c:v>100.20989213876203</c:v>
                </c:pt>
                <c:pt idx="24">
                  <c:v>99.867359828976774</c:v>
                </c:pt>
                <c:pt idx="25">
                  <c:v>99.443202798561856</c:v>
                </c:pt>
                <c:pt idx="26">
                  <c:v>100.50481002817997</c:v>
                </c:pt>
                <c:pt idx="27">
                  <c:v>100.50189485958607</c:v>
                </c:pt>
                <c:pt idx="28">
                  <c:v>101.47118841706346</c:v>
                </c:pt>
                <c:pt idx="29">
                  <c:v>101.88465649596733</c:v>
                </c:pt>
                <c:pt idx="30">
                  <c:v>102.04742007579439</c:v>
                </c:pt>
                <c:pt idx="31">
                  <c:v>102.01535322126129</c:v>
                </c:pt>
                <c:pt idx="32">
                  <c:v>101.90700612185404</c:v>
                </c:pt>
                <c:pt idx="33">
                  <c:v>102.53133806238463</c:v>
                </c:pt>
                <c:pt idx="34">
                  <c:v>102.50024293071615</c:v>
                </c:pt>
                <c:pt idx="35">
                  <c:v>102.78301428432613</c:v>
                </c:pt>
                <c:pt idx="36">
                  <c:v>102.70430473229038</c:v>
                </c:pt>
                <c:pt idx="37">
                  <c:v>102.55271596540668</c:v>
                </c:pt>
                <c:pt idx="38">
                  <c:v>102.24953843163931</c:v>
                </c:pt>
                <c:pt idx="39">
                  <c:v>102.87581381789914</c:v>
                </c:pt>
                <c:pt idx="40">
                  <c:v>102.40890098144011</c:v>
                </c:pt>
                <c:pt idx="41">
                  <c:v>101.95947915654457</c:v>
                </c:pt>
                <c:pt idx="42">
                  <c:v>102.08143037605674</c:v>
                </c:pt>
                <c:pt idx="43">
                  <c:v>100.63453503060929</c:v>
                </c:pt>
                <c:pt idx="44">
                  <c:v>101.0314838208143</c:v>
                </c:pt>
                <c:pt idx="45">
                  <c:v>99.317850549023433</c:v>
                </c:pt>
                <c:pt idx="46">
                  <c:v>99.127392867554192</c:v>
                </c:pt>
                <c:pt idx="47">
                  <c:v>100.37654261004762</c:v>
                </c:pt>
                <c:pt idx="48">
                  <c:v>99.766786512486647</c:v>
                </c:pt>
                <c:pt idx="49">
                  <c:v>101.11699543290256</c:v>
                </c:pt>
                <c:pt idx="50">
                  <c:v>100.78126518316979</c:v>
                </c:pt>
                <c:pt idx="51">
                  <c:v>102.00660771547956</c:v>
                </c:pt>
                <c:pt idx="52">
                  <c:v>101.50957147021671</c:v>
                </c:pt>
                <c:pt idx="53">
                  <c:v>102.42444854727432</c:v>
                </c:pt>
                <c:pt idx="54">
                  <c:v>102.24565154018075</c:v>
                </c:pt>
                <c:pt idx="55">
                  <c:v>101.61791856962394</c:v>
                </c:pt>
                <c:pt idx="56">
                  <c:v>100.13847050821107</c:v>
                </c:pt>
                <c:pt idx="57">
                  <c:v>99.900398406374507</c:v>
                </c:pt>
                <c:pt idx="58">
                  <c:v>100.1370129239141</c:v>
                </c:pt>
                <c:pt idx="59">
                  <c:v>101.36235545622387</c:v>
                </c:pt>
                <c:pt idx="60">
                  <c:v>100.47079972791759</c:v>
                </c:pt>
                <c:pt idx="61">
                  <c:v>100.07239335341562</c:v>
                </c:pt>
                <c:pt idx="62">
                  <c:v>100.42561461471189</c:v>
                </c:pt>
                <c:pt idx="63">
                  <c:v>101.08930133126033</c:v>
                </c:pt>
                <c:pt idx="64">
                  <c:v>100.88086677679526</c:v>
                </c:pt>
                <c:pt idx="65">
                  <c:v>101.15149159459725</c:v>
                </c:pt>
                <c:pt idx="66">
                  <c:v>101.60237100378973</c:v>
                </c:pt>
                <c:pt idx="67">
                  <c:v>102.13098824215334</c:v>
                </c:pt>
                <c:pt idx="68">
                  <c:v>101.66310368282964</c:v>
                </c:pt>
              </c:numCache>
            </c:numRef>
          </c:val>
          <c:smooth val="0"/>
        </c:ser>
        <c:dLbls>
          <c:showLegendKey val="0"/>
          <c:showVal val="0"/>
          <c:showCatName val="0"/>
          <c:showSerName val="0"/>
          <c:showPercent val="0"/>
          <c:showBubbleSize val="0"/>
        </c:dLbls>
        <c:marker val="1"/>
        <c:smooth val="0"/>
        <c:axId val="216198144"/>
        <c:axId val="218174208"/>
      </c:lineChart>
      <c:dateAx>
        <c:axId val="216198144"/>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218174208"/>
        <c:crosses val="autoZero"/>
        <c:auto val="1"/>
        <c:lblOffset val="100"/>
        <c:baseTimeUnit val="days"/>
        <c:majorUnit val="1"/>
        <c:majorTimeUnit val="months"/>
        <c:minorUnit val="1"/>
        <c:minorTimeUnit val="months"/>
      </c:dateAx>
      <c:valAx>
        <c:axId val="218174208"/>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216198144"/>
        <c:crosses val="autoZero"/>
        <c:crossBetween val="between"/>
      </c:valAx>
      <c:spPr>
        <a:solidFill>
          <a:srgbClr val="F8F8F8"/>
        </a:solidFill>
        <a:ln w="3175">
          <a:solidFill>
            <a:srgbClr val="E0E0E0"/>
          </a:solidFill>
          <a:prstDash val="sysDash"/>
        </a:ln>
      </c:spPr>
    </c:plotArea>
    <c:legend>
      <c:legendPos val="b"/>
      <c:overlay val="0"/>
      <c:spPr>
        <a:solidFill>
          <a:srgbClr val="FFFFFF"/>
        </a:solidFill>
        <a:ln w="25400">
          <a:noFill/>
        </a:ln>
      </c:spPr>
      <c:txPr>
        <a:bodyPr/>
        <a:lstStyle/>
        <a:p>
          <a:pPr>
            <a:defRPr sz="1050" b="0" i="0" u="none" strike="noStrike" baseline="0">
              <a:solidFill>
                <a:srgbClr val="000000"/>
              </a:solidFill>
              <a:latin typeface="Calibri" panose="020F0502020204030204" pitchFamily="34" charset="0"/>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mn-lt"/>
                <a:ea typeface="Arial"/>
                <a:cs typeface="Arial"/>
              </a:defRPr>
            </a:pPr>
            <a:r>
              <a:rPr lang="en-US" sz="1050">
                <a:latin typeface="+mn-lt"/>
              </a:rPr>
              <a:t>Buy and Sell Recommendations vs Price and Target Price</a:t>
            </a:r>
          </a:p>
        </c:rich>
      </c:tx>
      <c:layout>
        <c:manualLayout>
          <c:xMode val="edge"/>
          <c:yMode val="edge"/>
          <c:x val="0.2379369105000155"/>
          <c:y val="3.426798922861915E-2"/>
        </c:manualLayout>
      </c:layout>
      <c:overlay val="0"/>
      <c:spPr>
        <a:noFill/>
        <a:ln w="25400">
          <a:noFill/>
        </a:ln>
      </c:spPr>
    </c:title>
    <c:autoTitleDeleted val="0"/>
    <c:plotArea>
      <c:layout>
        <c:manualLayout>
          <c:layoutTarget val="inner"/>
          <c:xMode val="edge"/>
          <c:yMode val="edge"/>
          <c:x val="9.1514217445385168E-2"/>
          <c:y val="0.14018734237290198"/>
          <c:w val="0.81364458783260629"/>
          <c:h val="0.6978214375895565"/>
        </c:manualLayout>
      </c:layout>
      <c:barChart>
        <c:barDir val="col"/>
        <c:grouping val="percentStacked"/>
        <c:varyColors val="0"/>
        <c:ser>
          <c:idx val="0"/>
          <c:order val="0"/>
          <c:tx>
            <c:strRef>
              <c:f>Ratings!$D$26</c:f>
              <c:strCache>
                <c:ptCount val="1"/>
                <c:pt idx="0">
                  <c:v>Buy</c:v>
                </c:pt>
              </c:strCache>
            </c:strRef>
          </c:tx>
          <c:spPr>
            <a:solidFill>
              <a:srgbClr val="008080"/>
            </a:solidFill>
            <a:ln w="25400">
              <a:noFill/>
            </a:ln>
          </c:spPr>
          <c:invertIfNegative val="0"/>
          <c:dLbls>
            <c:spPr>
              <a:noFill/>
              <a:ln w="25400">
                <a:noFill/>
              </a:ln>
            </c:spPr>
            <c:txPr>
              <a:bodyPr/>
              <a:lstStyle/>
              <a:p>
                <a:pPr>
                  <a:defRPr sz="725" b="1" i="0" u="none" strike="noStrike" baseline="0">
                    <a:solidFill>
                      <a:srgbClr val="F8F8F8"/>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Ratings!$C$27:$C$38</c:f>
              <c:numCache>
                <c:formatCode>m/d/yyyy</c:formatCode>
                <c:ptCount val="12"/>
              </c:numCache>
            </c:numRef>
          </c:cat>
          <c:val>
            <c:numRef>
              <c:f>Ratings!$D$27:$D$38</c:f>
              <c:numCache>
                <c:formatCode>0%</c:formatCode>
                <c:ptCount val="12"/>
                <c:pt idx="0">
                  <c:v>0.70909090909090911</c:v>
                </c:pt>
                <c:pt idx="1">
                  <c:v>0.6964285714285714</c:v>
                </c:pt>
                <c:pt idx="2">
                  <c:v>0.6964285714285714</c:v>
                </c:pt>
                <c:pt idx="3">
                  <c:v>0.66666666666666663</c:v>
                </c:pt>
                <c:pt idx="4">
                  <c:v>0.7142857142857143</c:v>
                </c:pt>
                <c:pt idx="5">
                  <c:v>0.7068965517241379</c:v>
                </c:pt>
                <c:pt idx="6">
                  <c:v>0.71666666666666667</c:v>
                </c:pt>
                <c:pt idx="7">
                  <c:v>0.71666666666666667</c:v>
                </c:pt>
                <c:pt idx="8">
                  <c:v>0.72580645161290325</c:v>
                </c:pt>
                <c:pt idx="9">
                  <c:v>0.75409836065573765</c:v>
                </c:pt>
                <c:pt idx="10">
                  <c:v>0.74193548387096775</c:v>
                </c:pt>
                <c:pt idx="11">
                  <c:v>0.75806451612903225</c:v>
                </c:pt>
              </c:numCache>
            </c:numRef>
          </c:val>
        </c:ser>
        <c:ser>
          <c:idx val="1"/>
          <c:order val="1"/>
          <c:tx>
            <c:strRef>
              <c:f>Ratings!$E$26</c:f>
              <c:strCache>
                <c:ptCount val="1"/>
                <c:pt idx="0">
                  <c:v>Hold</c:v>
                </c:pt>
              </c:strCache>
            </c:strRef>
          </c:tx>
          <c:spPr>
            <a:solidFill>
              <a:srgbClr val="FAB882"/>
            </a:solidFill>
            <a:ln w="12700">
              <a:noFill/>
              <a:prstDash val="solid"/>
            </a:ln>
          </c:spPr>
          <c:invertIfNegative val="0"/>
          <c:dLbls>
            <c:spPr>
              <a:noFill/>
              <a:ln w="25400">
                <a:noFill/>
              </a:ln>
            </c:spPr>
            <c:txPr>
              <a:bodyPr/>
              <a:lstStyle/>
              <a:p>
                <a:pPr>
                  <a:defRPr sz="72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Ratings!$C$27:$C$38</c:f>
              <c:numCache>
                <c:formatCode>m/d/yyyy</c:formatCode>
                <c:ptCount val="12"/>
              </c:numCache>
            </c:numRef>
          </c:cat>
          <c:val>
            <c:numRef>
              <c:f>Ratings!$E$27:$E$38</c:f>
              <c:numCache>
                <c:formatCode>0%</c:formatCode>
                <c:ptCount val="12"/>
                <c:pt idx="0">
                  <c:v>0.25454545454545452</c:v>
                </c:pt>
                <c:pt idx="1">
                  <c:v>0.26785714285714285</c:v>
                </c:pt>
                <c:pt idx="2">
                  <c:v>0.25</c:v>
                </c:pt>
                <c:pt idx="3">
                  <c:v>0.2982456140350877</c:v>
                </c:pt>
                <c:pt idx="4">
                  <c:v>0.25</c:v>
                </c:pt>
                <c:pt idx="5">
                  <c:v>0.25862068965517243</c:v>
                </c:pt>
                <c:pt idx="6">
                  <c:v>0.25</c:v>
                </c:pt>
                <c:pt idx="7">
                  <c:v>0.23333333333333334</c:v>
                </c:pt>
                <c:pt idx="8">
                  <c:v>0.20967741935483872</c:v>
                </c:pt>
                <c:pt idx="9">
                  <c:v>0.18032786885245902</c:v>
                </c:pt>
                <c:pt idx="10">
                  <c:v>0.20967741935483872</c:v>
                </c:pt>
                <c:pt idx="11">
                  <c:v>0.19354838709677419</c:v>
                </c:pt>
              </c:numCache>
            </c:numRef>
          </c:val>
        </c:ser>
        <c:ser>
          <c:idx val="2"/>
          <c:order val="2"/>
          <c:tx>
            <c:strRef>
              <c:f>Ratings!$F$26</c:f>
              <c:strCache>
                <c:ptCount val="1"/>
                <c:pt idx="0">
                  <c:v>Sell</c:v>
                </c:pt>
              </c:strCache>
            </c:strRef>
          </c:tx>
          <c:spPr>
            <a:solidFill>
              <a:srgbClr val="E34234"/>
            </a:solidFill>
            <a:ln w="12700">
              <a:noFill/>
              <a:prstDash val="solid"/>
            </a:ln>
          </c:spPr>
          <c:invertIfNegative val="0"/>
          <c:dLbls>
            <c:spPr>
              <a:noFill/>
              <a:ln w="25400">
                <a:noFill/>
              </a:ln>
            </c:spPr>
            <c:txPr>
              <a:bodyPr/>
              <a:lstStyle/>
              <a:p>
                <a:pPr>
                  <a:defRPr sz="72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Ratings!$C$27:$C$38</c:f>
              <c:numCache>
                <c:formatCode>m/d/yyyy</c:formatCode>
                <c:ptCount val="12"/>
              </c:numCache>
            </c:numRef>
          </c:cat>
          <c:val>
            <c:numRef>
              <c:f>Ratings!$F$27:$F$38</c:f>
              <c:numCache>
                <c:formatCode>0%</c:formatCode>
                <c:ptCount val="12"/>
                <c:pt idx="0">
                  <c:v>3.6363636363636362E-2</c:v>
                </c:pt>
                <c:pt idx="1">
                  <c:v>3.5714285714285712E-2</c:v>
                </c:pt>
                <c:pt idx="2">
                  <c:v>5.3571428571428568E-2</c:v>
                </c:pt>
                <c:pt idx="3">
                  <c:v>3.5087719298245612E-2</c:v>
                </c:pt>
                <c:pt idx="4">
                  <c:v>3.5714285714285712E-2</c:v>
                </c:pt>
                <c:pt idx="5">
                  <c:v>3.4482758620689655E-2</c:v>
                </c:pt>
                <c:pt idx="6">
                  <c:v>3.3333333333333333E-2</c:v>
                </c:pt>
                <c:pt idx="7">
                  <c:v>0.05</c:v>
                </c:pt>
                <c:pt idx="8">
                  <c:v>6.4516129032258063E-2</c:v>
                </c:pt>
                <c:pt idx="9">
                  <c:v>6.5573770491803282E-2</c:v>
                </c:pt>
                <c:pt idx="10">
                  <c:v>4.8387096774193547E-2</c:v>
                </c:pt>
                <c:pt idx="11">
                  <c:v>4.8387096774193547E-2</c:v>
                </c:pt>
              </c:numCache>
            </c:numRef>
          </c:val>
        </c:ser>
        <c:dLbls>
          <c:showLegendKey val="0"/>
          <c:showVal val="0"/>
          <c:showCatName val="0"/>
          <c:showSerName val="0"/>
          <c:showPercent val="0"/>
          <c:showBubbleSize val="0"/>
        </c:dLbls>
        <c:gapWidth val="50"/>
        <c:overlap val="100"/>
        <c:axId val="219280512"/>
        <c:axId val="219282048"/>
      </c:barChart>
      <c:lineChart>
        <c:grouping val="standard"/>
        <c:varyColors val="0"/>
        <c:ser>
          <c:idx val="3"/>
          <c:order val="3"/>
          <c:tx>
            <c:strRef>
              <c:f>Ratings!$J$26</c:f>
              <c:strCache>
                <c:ptCount val="1"/>
                <c:pt idx="0">
                  <c:v>Price</c:v>
                </c:pt>
              </c:strCache>
            </c:strRef>
          </c:tx>
          <c:spPr>
            <a:ln w="25400">
              <a:solidFill>
                <a:srgbClr val="000000"/>
              </a:solidFill>
              <a:prstDash val="solid"/>
            </a:ln>
          </c:spPr>
          <c:marker>
            <c:symbol val="none"/>
          </c:marker>
          <c:cat>
            <c:numRef>
              <c:f>Ratings!$H$27:$H$420</c:f>
              <c:numCache>
                <c:formatCode>m/d/yyyy</c:formatCode>
                <c:ptCount val="394"/>
                <c:pt idx="0">
                  <c:v>42228</c:v>
                </c:pt>
                <c:pt idx="1">
                  <c:v>42227</c:v>
                </c:pt>
                <c:pt idx="2">
                  <c:v>42226</c:v>
                </c:pt>
                <c:pt idx="3">
                  <c:v>42223</c:v>
                </c:pt>
                <c:pt idx="4">
                  <c:v>42222</c:v>
                </c:pt>
                <c:pt idx="5">
                  <c:v>42221</c:v>
                </c:pt>
                <c:pt idx="6">
                  <c:v>42220</c:v>
                </c:pt>
                <c:pt idx="7">
                  <c:v>42219</c:v>
                </c:pt>
                <c:pt idx="8">
                  <c:v>42216</c:v>
                </c:pt>
                <c:pt idx="9">
                  <c:v>42215</c:v>
                </c:pt>
                <c:pt idx="10">
                  <c:v>42214</c:v>
                </c:pt>
                <c:pt idx="11">
                  <c:v>42213</c:v>
                </c:pt>
                <c:pt idx="12">
                  <c:v>42212</c:v>
                </c:pt>
                <c:pt idx="13">
                  <c:v>42209</c:v>
                </c:pt>
                <c:pt idx="14">
                  <c:v>42208</c:v>
                </c:pt>
                <c:pt idx="15">
                  <c:v>42207</c:v>
                </c:pt>
                <c:pt idx="16">
                  <c:v>42206</c:v>
                </c:pt>
                <c:pt idx="17">
                  <c:v>42205</c:v>
                </c:pt>
                <c:pt idx="18">
                  <c:v>42202</c:v>
                </c:pt>
                <c:pt idx="19">
                  <c:v>42201</c:v>
                </c:pt>
                <c:pt idx="20">
                  <c:v>42200</c:v>
                </c:pt>
                <c:pt idx="21">
                  <c:v>42199</c:v>
                </c:pt>
                <c:pt idx="22">
                  <c:v>42198</c:v>
                </c:pt>
                <c:pt idx="23">
                  <c:v>42195</c:v>
                </c:pt>
                <c:pt idx="24">
                  <c:v>42194</c:v>
                </c:pt>
                <c:pt idx="25">
                  <c:v>42193</c:v>
                </c:pt>
                <c:pt idx="26">
                  <c:v>42192</c:v>
                </c:pt>
                <c:pt idx="27">
                  <c:v>42191</c:v>
                </c:pt>
                <c:pt idx="28">
                  <c:v>42188</c:v>
                </c:pt>
                <c:pt idx="29">
                  <c:v>42187</c:v>
                </c:pt>
                <c:pt idx="30">
                  <c:v>42186</c:v>
                </c:pt>
                <c:pt idx="31">
                  <c:v>42185</c:v>
                </c:pt>
                <c:pt idx="32">
                  <c:v>42184</c:v>
                </c:pt>
                <c:pt idx="33">
                  <c:v>42181</c:v>
                </c:pt>
                <c:pt idx="34">
                  <c:v>42180</c:v>
                </c:pt>
                <c:pt idx="35">
                  <c:v>42179</c:v>
                </c:pt>
                <c:pt idx="36">
                  <c:v>42178</c:v>
                </c:pt>
                <c:pt idx="37">
                  <c:v>42177</c:v>
                </c:pt>
                <c:pt idx="38">
                  <c:v>42174</c:v>
                </c:pt>
                <c:pt idx="39">
                  <c:v>42173</c:v>
                </c:pt>
                <c:pt idx="40">
                  <c:v>42172</c:v>
                </c:pt>
                <c:pt idx="41">
                  <c:v>42171</c:v>
                </c:pt>
                <c:pt idx="42">
                  <c:v>42170</c:v>
                </c:pt>
                <c:pt idx="43">
                  <c:v>42167</c:v>
                </c:pt>
                <c:pt idx="44">
                  <c:v>42166</c:v>
                </c:pt>
                <c:pt idx="45">
                  <c:v>42165</c:v>
                </c:pt>
                <c:pt idx="46">
                  <c:v>42164</c:v>
                </c:pt>
                <c:pt idx="47">
                  <c:v>42163</c:v>
                </c:pt>
                <c:pt idx="48">
                  <c:v>42160</c:v>
                </c:pt>
                <c:pt idx="49">
                  <c:v>42159</c:v>
                </c:pt>
                <c:pt idx="50">
                  <c:v>42158</c:v>
                </c:pt>
                <c:pt idx="51">
                  <c:v>42157</c:v>
                </c:pt>
                <c:pt idx="52">
                  <c:v>42156</c:v>
                </c:pt>
                <c:pt idx="53">
                  <c:v>42153</c:v>
                </c:pt>
                <c:pt idx="54">
                  <c:v>42152</c:v>
                </c:pt>
                <c:pt idx="55">
                  <c:v>42151</c:v>
                </c:pt>
                <c:pt idx="56">
                  <c:v>42150</c:v>
                </c:pt>
                <c:pt idx="57">
                  <c:v>42149</c:v>
                </c:pt>
                <c:pt idx="58">
                  <c:v>42146</c:v>
                </c:pt>
                <c:pt idx="59">
                  <c:v>42145</c:v>
                </c:pt>
                <c:pt idx="60">
                  <c:v>42144</c:v>
                </c:pt>
                <c:pt idx="61">
                  <c:v>42143</c:v>
                </c:pt>
                <c:pt idx="62">
                  <c:v>42142</c:v>
                </c:pt>
                <c:pt idx="63">
                  <c:v>42139</c:v>
                </c:pt>
                <c:pt idx="64">
                  <c:v>42138</c:v>
                </c:pt>
                <c:pt idx="65">
                  <c:v>42137</c:v>
                </c:pt>
                <c:pt idx="66">
                  <c:v>42136</c:v>
                </c:pt>
                <c:pt idx="67">
                  <c:v>42135</c:v>
                </c:pt>
                <c:pt idx="68">
                  <c:v>42132</c:v>
                </c:pt>
                <c:pt idx="69">
                  <c:v>42131</c:v>
                </c:pt>
                <c:pt idx="70">
                  <c:v>42130</c:v>
                </c:pt>
                <c:pt idx="71">
                  <c:v>42129</c:v>
                </c:pt>
                <c:pt idx="72">
                  <c:v>42128</c:v>
                </c:pt>
                <c:pt idx="73">
                  <c:v>42125</c:v>
                </c:pt>
                <c:pt idx="74">
                  <c:v>42124</c:v>
                </c:pt>
                <c:pt idx="75">
                  <c:v>42123</c:v>
                </c:pt>
                <c:pt idx="76">
                  <c:v>42122</c:v>
                </c:pt>
                <c:pt idx="77">
                  <c:v>42121</c:v>
                </c:pt>
                <c:pt idx="78">
                  <c:v>42118</c:v>
                </c:pt>
                <c:pt idx="79">
                  <c:v>42117</c:v>
                </c:pt>
                <c:pt idx="80">
                  <c:v>42116</c:v>
                </c:pt>
                <c:pt idx="81">
                  <c:v>42115</c:v>
                </c:pt>
                <c:pt idx="82">
                  <c:v>42114</c:v>
                </c:pt>
                <c:pt idx="83">
                  <c:v>42111</c:v>
                </c:pt>
                <c:pt idx="84">
                  <c:v>42110</c:v>
                </c:pt>
                <c:pt idx="85">
                  <c:v>42109</c:v>
                </c:pt>
                <c:pt idx="86">
                  <c:v>42108</c:v>
                </c:pt>
                <c:pt idx="87">
                  <c:v>42107</c:v>
                </c:pt>
                <c:pt idx="88">
                  <c:v>42104</c:v>
                </c:pt>
                <c:pt idx="89">
                  <c:v>42103</c:v>
                </c:pt>
                <c:pt idx="90">
                  <c:v>42102</c:v>
                </c:pt>
                <c:pt idx="91">
                  <c:v>42101</c:v>
                </c:pt>
                <c:pt idx="92">
                  <c:v>42100</c:v>
                </c:pt>
                <c:pt idx="93">
                  <c:v>42097</c:v>
                </c:pt>
                <c:pt idx="94">
                  <c:v>42096</c:v>
                </c:pt>
                <c:pt idx="95">
                  <c:v>42095</c:v>
                </c:pt>
                <c:pt idx="96">
                  <c:v>42094</c:v>
                </c:pt>
                <c:pt idx="97">
                  <c:v>42093</c:v>
                </c:pt>
                <c:pt idx="98">
                  <c:v>42090</c:v>
                </c:pt>
                <c:pt idx="99">
                  <c:v>42089</c:v>
                </c:pt>
                <c:pt idx="100">
                  <c:v>42088</c:v>
                </c:pt>
                <c:pt idx="101">
                  <c:v>42087</c:v>
                </c:pt>
                <c:pt idx="102">
                  <c:v>42086</c:v>
                </c:pt>
                <c:pt idx="103">
                  <c:v>42083</c:v>
                </c:pt>
                <c:pt idx="104">
                  <c:v>42082</c:v>
                </c:pt>
                <c:pt idx="105">
                  <c:v>42081</c:v>
                </c:pt>
                <c:pt idx="106">
                  <c:v>42080</c:v>
                </c:pt>
                <c:pt idx="107">
                  <c:v>42079</c:v>
                </c:pt>
                <c:pt idx="108">
                  <c:v>42076</c:v>
                </c:pt>
                <c:pt idx="109">
                  <c:v>42075</c:v>
                </c:pt>
                <c:pt idx="110">
                  <c:v>42074</c:v>
                </c:pt>
                <c:pt idx="111">
                  <c:v>42073</c:v>
                </c:pt>
                <c:pt idx="112">
                  <c:v>42072</c:v>
                </c:pt>
                <c:pt idx="113">
                  <c:v>42069</c:v>
                </c:pt>
                <c:pt idx="114">
                  <c:v>42068</c:v>
                </c:pt>
                <c:pt idx="115">
                  <c:v>42067</c:v>
                </c:pt>
                <c:pt idx="116">
                  <c:v>42066</c:v>
                </c:pt>
                <c:pt idx="117">
                  <c:v>42065</c:v>
                </c:pt>
                <c:pt idx="118">
                  <c:v>42062</c:v>
                </c:pt>
                <c:pt idx="119">
                  <c:v>42061</c:v>
                </c:pt>
                <c:pt idx="120">
                  <c:v>42060</c:v>
                </c:pt>
                <c:pt idx="121">
                  <c:v>42059</c:v>
                </c:pt>
                <c:pt idx="122">
                  <c:v>42058</c:v>
                </c:pt>
                <c:pt idx="123">
                  <c:v>42055</c:v>
                </c:pt>
                <c:pt idx="124">
                  <c:v>42054</c:v>
                </c:pt>
                <c:pt idx="125">
                  <c:v>42053</c:v>
                </c:pt>
                <c:pt idx="126">
                  <c:v>42052</c:v>
                </c:pt>
                <c:pt idx="127">
                  <c:v>42051</c:v>
                </c:pt>
                <c:pt idx="128">
                  <c:v>42048</c:v>
                </c:pt>
                <c:pt idx="129">
                  <c:v>42047</c:v>
                </c:pt>
                <c:pt idx="130">
                  <c:v>42046</c:v>
                </c:pt>
                <c:pt idx="131">
                  <c:v>42045</c:v>
                </c:pt>
                <c:pt idx="132">
                  <c:v>42044</c:v>
                </c:pt>
                <c:pt idx="133">
                  <c:v>42041</c:v>
                </c:pt>
                <c:pt idx="134">
                  <c:v>42040</c:v>
                </c:pt>
                <c:pt idx="135">
                  <c:v>42039</c:v>
                </c:pt>
                <c:pt idx="136">
                  <c:v>42038</c:v>
                </c:pt>
                <c:pt idx="137">
                  <c:v>42037</c:v>
                </c:pt>
                <c:pt idx="138">
                  <c:v>42034</c:v>
                </c:pt>
                <c:pt idx="139">
                  <c:v>42033</c:v>
                </c:pt>
                <c:pt idx="140">
                  <c:v>42032</c:v>
                </c:pt>
                <c:pt idx="141">
                  <c:v>42031</c:v>
                </c:pt>
                <c:pt idx="142">
                  <c:v>42030</c:v>
                </c:pt>
                <c:pt idx="143">
                  <c:v>42027</c:v>
                </c:pt>
                <c:pt idx="144">
                  <c:v>42026</c:v>
                </c:pt>
                <c:pt idx="145">
                  <c:v>42025</c:v>
                </c:pt>
                <c:pt idx="146">
                  <c:v>42024</c:v>
                </c:pt>
                <c:pt idx="147">
                  <c:v>42023</c:v>
                </c:pt>
                <c:pt idx="148">
                  <c:v>42020</c:v>
                </c:pt>
                <c:pt idx="149">
                  <c:v>42019</c:v>
                </c:pt>
                <c:pt idx="150">
                  <c:v>42018</c:v>
                </c:pt>
                <c:pt idx="151">
                  <c:v>42017</c:v>
                </c:pt>
                <c:pt idx="152">
                  <c:v>42016</c:v>
                </c:pt>
                <c:pt idx="153">
                  <c:v>42013</c:v>
                </c:pt>
                <c:pt idx="154">
                  <c:v>42012</c:v>
                </c:pt>
                <c:pt idx="155">
                  <c:v>42011</c:v>
                </c:pt>
                <c:pt idx="156">
                  <c:v>42010</c:v>
                </c:pt>
                <c:pt idx="157">
                  <c:v>42009</c:v>
                </c:pt>
                <c:pt idx="158">
                  <c:v>42006</c:v>
                </c:pt>
                <c:pt idx="159">
                  <c:v>42005</c:v>
                </c:pt>
                <c:pt idx="160">
                  <c:v>42004</c:v>
                </c:pt>
                <c:pt idx="161">
                  <c:v>42003</c:v>
                </c:pt>
                <c:pt idx="162">
                  <c:v>42002</c:v>
                </c:pt>
                <c:pt idx="163">
                  <c:v>41999</c:v>
                </c:pt>
                <c:pt idx="164">
                  <c:v>41998</c:v>
                </c:pt>
                <c:pt idx="165">
                  <c:v>41997</c:v>
                </c:pt>
                <c:pt idx="166">
                  <c:v>41996</c:v>
                </c:pt>
                <c:pt idx="167">
                  <c:v>41995</c:v>
                </c:pt>
                <c:pt idx="168">
                  <c:v>41992</c:v>
                </c:pt>
                <c:pt idx="169">
                  <c:v>41991</c:v>
                </c:pt>
                <c:pt idx="170">
                  <c:v>41990</c:v>
                </c:pt>
                <c:pt idx="171">
                  <c:v>41989</c:v>
                </c:pt>
                <c:pt idx="172">
                  <c:v>41988</c:v>
                </c:pt>
                <c:pt idx="173">
                  <c:v>41985</c:v>
                </c:pt>
                <c:pt idx="174">
                  <c:v>41984</c:v>
                </c:pt>
                <c:pt idx="175">
                  <c:v>41983</c:v>
                </c:pt>
                <c:pt idx="176">
                  <c:v>41982</c:v>
                </c:pt>
                <c:pt idx="177">
                  <c:v>41981</c:v>
                </c:pt>
                <c:pt idx="178">
                  <c:v>41978</c:v>
                </c:pt>
                <c:pt idx="179">
                  <c:v>41977</c:v>
                </c:pt>
                <c:pt idx="180">
                  <c:v>41976</c:v>
                </c:pt>
                <c:pt idx="181">
                  <c:v>41975</c:v>
                </c:pt>
                <c:pt idx="182">
                  <c:v>41974</c:v>
                </c:pt>
                <c:pt idx="183">
                  <c:v>41971</c:v>
                </c:pt>
                <c:pt idx="184">
                  <c:v>41970</c:v>
                </c:pt>
                <c:pt idx="185">
                  <c:v>41969</c:v>
                </c:pt>
                <c:pt idx="186">
                  <c:v>41968</c:v>
                </c:pt>
                <c:pt idx="187">
                  <c:v>41967</c:v>
                </c:pt>
                <c:pt idx="188">
                  <c:v>41964</c:v>
                </c:pt>
                <c:pt idx="189">
                  <c:v>41963</c:v>
                </c:pt>
                <c:pt idx="190">
                  <c:v>41962</c:v>
                </c:pt>
                <c:pt idx="191">
                  <c:v>41961</c:v>
                </c:pt>
                <c:pt idx="192">
                  <c:v>41960</c:v>
                </c:pt>
                <c:pt idx="193">
                  <c:v>41957</c:v>
                </c:pt>
                <c:pt idx="194">
                  <c:v>41956</c:v>
                </c:pt>
                <c:pt idx="195">
                  <c:v>41955</c:v>
                </c:pt>
                <c:pt idx="196">
                  <c:v>41954</c:v>
                </c:pt>
                <c:pt idx="197">
                  <c:v>41953</c:v>
                </c:pt>
                <c:pt idx="198">
                  <c:v>41950</c:v>
                </c:pt>
                <c:pt idx="199">
                  <c:v>41949</c:v>
                </c:pt>
                <c:pt idx="200">
                  <c:v>41948</c:v>
                </c:pt>
                <c:pt idx="201">
                  <c:v>41947</c:v>
                </c:pt>
                <c:pt idx="202">
                  <c:v>41946</c:v>
                </c:pt>
                <c:pt idx="203">
                  <c:v>41943</c:v>
                </c:pt>
                <c:pt idx="204">
                  <c:v>41942</c:v>
                </c:pt>
                <c:pt idx="205">
                  <c:v>41941</c:v>
                </c:pt>
                <c:pt idx="206">
                  <c:v>41940</c:v>
                </c:pt>
                <c:pt idx="207">
                  <c:v>41939</c:v>
                </c:pt>
                <c:pt idx="208">
                  <c:v>41936</c:v>
                </c:pt>
                <c:pt idx="209">
                  <c:v>41935</c:v>
                </c:pt>
                <c:pt idx="210">
                  <c:v>41934</c:v>
                </c:pt>
                <c:pt idx="211">
                  <c:v>41933</c:v>
                </c:pt>
                <c:pt idx="212">
                  <c:v>41932</c:v>
                </c:pt>
                <c:pt idx="213">
                  <c:v>41929</c:v>
                </c:pt>
                <c:pt idx="214">
                  <c:v>41928</c:v>
                </c:pt>
                <c:pt idx="215">
                  <c:v>41927</c:v>
                </c:pt>
                <c:pt idx="216">
                  <c:v>41926</c:v>
                </c:pt>
                <c:pt idx="217">
                  <c:v>41925</c:v>
                </c:pt>
                <c:pt idx="218">
                  <c:v>41922</c:v>
                </c:pt>
                <c:pt idx="219">
                  <c:v>41921</c:v>
                </c:pt>
                <c:pt idx="220">
                  <c:v>41920</c:v>
                </c:pt>
                <c:pt idx="221">
                  <c:v>41919</c:v>
                </c:pt>
                <c:pt idx="222">
                  <c:v>41918</c:v>
                </c:pt>
                <c:pt idx="223">
                  <c:v>41915</c:v>
                </c:pt>
                <c:pt idx="224">
                  <c:v>41914</c:v>
                </c:pt>
                <c:pt idx="225">
                  <c:v>41913</c:v>
                </c:pt>
                <c:pt idx="226">
                  <c:v>41912</c:v>
                </c:pt>
                <c:pt idx="227">
                  <c:v>41911</c:v>
                </c:pt>
                <c:pt idx="228">
                  <c:v>41908</c:v>
                </c:pt>
                <c:pt idx="229">
                  <c:v>41907</c:v>
                </c:pt>
                <c:pt idx="230">
                  <c:v>41906</c:v>
                </c:pt>
                <c:pt idx="231">
                  <c:v>41905</c:v>
                </c:pt>
                <c:pt idx="232">
                  <c:v>41904</c:v>
                </c:pt>
                <c:pt idx="233">
                  <c:v>41901</c:v>
                </c:pt>
                <c:pt idx="234">
                  <c:v>41900</c:v>
                </c:pt>
                <c:pt idx="235">
                  <c:v>41899</c:v>
                </c:pt>
                <c:pt idx="236">
                  <c:v>41898</c:v>
                </c:pt>
                <c:pt idx="237">
                  <c:v>41897</c:v>
                </c:pt>
                <c:pt idx="238">
                  <c:v>41894</c:v>
                </c:pt>
                <c:pt idx="239">
                  <c:v>41893</c:v>
                </c:pt>
                <c:pt idx="240">
                  <c:v>41892</c:v>
                </c:pt>
                <c:pt idx="241">
                  <c:v>41891</c:v>
                </c:pt>
                <c:pt idx="242">
                  <c:v>41890</c:v>
                </c:pt>
                <c:pt idx="243">
                  <c:v>41887</c:v>
                </c:pt>
                <c:pt idx="244">
                  <c:v>41886</c:v>
                </c:pt>
                <c:pt idx="245">
                  <c:v>41885</c:v>
                </c:pt>
                <c:pt idx="246">
                  <c:v>41884</c:v>
                </c:pt>
                <c:pt idx="247">
                  <c:v>41883</c:v>
                </c:pt>
                <c:pt idx="248">
                  <c:v>41880</c:v>
                </c:pt>
                <c:pt idx="249">
                  <c:v>41879</c:v>
                </c:pt>
                <c:pt idx="250">
                  <c:v>41878</c:v>
                </c:pt>
                <c:pt idx="251">
                  <c:v>41877</c:v>
                </c:pt>
                <c:pt idx="252">
                  <c:v>41876</c:v>
                </c:pt>
                <c:pt idx="253">
                  <c:v>41873</c:v>
                </c:pt>
                <c:pt idx="254">
                  <c:v>41872</c:v>
                </c:pt>
                <c:pt idx="255">
                  <c:v>41871</c:v>
                </c:pt>
                <c:pt idx="256">
                  <c:v>41870</c:v>
                </c:pt>
                <c:pt idx="257">
                  <c:v>41869</c:v>
                </c:pt>
                <c:pt idx="258">
                  <c:v>41866</c:v>
                </c:pt>
                <c:pt idx="259">
                  <c:v>41865</c:v>
                </c:pt>
                <c:pt idx="260">
                  <c:v>41864</c:v>
                </c:pt>
                <c:pt idx="261">
                  <c:v>41863</c:v>
                </c:pt>
                <c:pt idx="262">
                  <c:v>41862</c:v>
                </c:pt>
                <c:pt idx="263">
                  <c:v>41859</c:v>
                </c:pt>
                <c:pt idx="264">
                  <c:v>41858</c:v>
                </c:pt>
                <c:pt idx="265">
                  <c:v>41857</c:v>
                </c:pt>
                <c:pt idx="266">
                  <c:v>41856</c:v>
                </c:pt>
                <c:pt idx="267">
                  <c:v>41855</c:v>
                </c:pt>
                <c:pt idx="268">
                  <c:v>41852</c:v>
                </c:pt>
                <c:pt idx="269">
                  <c:v>41851</c:v>
                </c:pt>
                <c:pt idx="270">
                  <c:v>41850</c:v>
                </c:pt>
                <c:pt idx="271">
                  <c:v>41849</c:v>
                </c:pt>
                <c:pt idx="272">
                  <c:v>41848</c:v>
                </c:pt>
                <c:pt idx="273">
                  <c:v>41845</c:v>
                </c:pt>
                <c:pt idx="274">
                  <c:v>41844</c:v>
                </c:pt>
                <c:pt idx="275">
                  <c:v>41843</c:v>
                </c:pt>
                <c:pt idx="276">
                  <c:v>41842</c:v>
                </c:pt>
                <c:pt idx="277">
                  <c:v>41841</c:v>
                </c:pt>
                <c:pt idx="278">
                  <c:v>41838</c:v>
                </c:pt>
                <c:pt idx="279">
                  <c:v>41837</c:v>
                </c:pt>
                <c:pt idx="280">
                  <c:v>41836</c:v>
                </c:pt>
                <c:pt idx="281">
                  <c:v>41835</c:v>
                </c:pt>
                <c:pt idx="282">
                  <c:v>41834</c:v>
                </c:pt>
                <c:pt idx="283">
                  <c:v>41831</c:v>
                </c:pt>
                <c:pt idx="284">
                  <c:v>41830</c:v>
                </c:pt>
                <c:pt idx="285">
                  <c:v>41829</c:v>
                </c:pt>
                <c:pt idx="286">
                  <c:v>41828</c:v>
                </c:pt>
                <c:pt idx="287">
                  <c:v>41827</c:v>
                </c:pt>
                <c:pt idx="288">
                  <c:v>41824</c:v>
                </c:pt>
                <c:pt idx="289">
                  <c:v>41823</c:v>
                </c:pt>
                <c:pt idx="290">
                  <c:v>41822</c:v>
                </c:pt>
                <c:pt idx="291">
                  <c:v>41821</c:v>
                </c:pt>
                <c:pt idx="292">
                  <c:v>41820</c:v>
                </c:pt>
                <c:pt idx="293">
                  <c:v>41817</c:v>
                </c:pt>
                <c:pt idx="294">
                  <c:v>41816</c:v>
                </c:pt>
                <c:pt idx="295">
                  <c:v>41815</c:v>
                </c:pt>
                <c:pt idx="296">
                  <c:v>41814</c:v>
                </c:pt>
                <c:pt idx="297">
                  <c:v>41813</c:v>
                </c:pt>
                <c:pt idx="298">
                  <c:v>41810</c:v>
                </c:pt>
                <c:pt idx="299">
                  <c:v>41809</c:v>
                </c:pt>
                <c:pt idx="300">
                  <c:v>41808</c:v>
                </c:pt>
                <c:pt idx="301">
                  <c:v>41807</c:v>
                </c:pt>
                <c:pt idx="302">
                  <c:v>41806</c:v>
                </c:pt>
                <c:pt idx="303">
                  <c:v>41803</c:v>
                </c:pt>
                <c:pt idx="304">
                  <c:v>41802</c:v>
                </c:pt>
                <c:pt idx="305">
                  <c:v>41801</c:v>
                </c:pt>
                <c:pt idx="306">
                  <c:v>41800</c:v>
                </c:pt>
                <c:pt idx="307">
                  <c:v>41799</c:v>
                </c:pt>
                <c:pt idx="308">
                  <c:v>41796</c:v>
                </c:pt>
                <c:pt idx="309">
                  <c:v>41795</c:v>
                </c:pt>
                <c:pt idx="310">
                  <c:v>41794</c:v>
                </c:pt>
                <c:pt idx="311">
                  <c:v>41793</c:v>
                </c:pt>
                <c:pt idx="312">
                  <c:v>41792</c:v>
                </c:pt>
                <c:pt idx="313">
                  <c:v>41789</c:v>
                </c:pt>
                <c:pt idx="314">
                  <c:v>41788</c:v>
                </c:pt>
                <c:pt idx="315">
                  <c:v>41787</c:v>
                </c:pt>
                <c:pt idx="316">
                  <c:v>41786</c:v>
                </c:pt>
                <c:pt idx="317">
                  <c:v>41785</c:v>
                </c:pt>
                <c:pt idx="318">
                  <c:v>41782</c:v>
                </c:pt>
                <c:pt idx="319">
                  <c:v>41781</c:v>
                </c:pt>
                <c:pt idx="320">
                  <c:v>41780</c:v>
                </c:pt>
                <c:pt idx="321">
                  <c:v>41779</c:v>
                </c:pt>
                <c:pt idx="322">
                  <c:v>41778</c:v>
                </c:pt>
                <c:pt idx="323">
                  <c:v>41775</c:v>
                </c:pt>
                <c:pt idx="324">
                  <c:v>41774</c:v>
                </c:pt>
                <c:pt idx="325">
                  <c:v>41773</c:v>
                </c:pt>
                <c:pt idx="326">
                  <c:v>41772</c:v>
                </c:pt>
                <c:pt idx="327">
                  <c:v>41771</c:v>
                </c:pt>
                <c:pt idx="328">
                  <c:v>41768</c:v>
                </c:pt>
                <c:pt idx="329">
                  <c:v>41767</c:v>
                </c:pt>
                <c:pt idx="330">
                  <c:v>41766</c:v>
                </c:pt>
                <c:pt idx="331">
                  <c:v>41765</c:v>
                </c:pt>
                <c:pt idx="332">
                  <c:v>41764</c:v>
                </c:pt>
                <c:pt idx="333">
                  <c:v>41761</c:v>
                </c:pt>
                <c:pt idx="334">
                  <c:v>41760</c:v>
                </c:pt>
                <c:pt idx="335">
                  <c:v>41759</c:v>
                </c:pt>
                <c:pt idx="336">
                  <c:v>41758</c:v>
                </c:pt>
                <c:pt idx="337">
                  <c:v>41757</c:v>
                </c:pt>
                <c:pt idx="338">
                  <c:v>41754</c:v>
                </c:pt>
                <c:pt idx="339">
                  <c:v>41753</c:v>
                </c:pt>
                <c:pt idx="340">
                  <c:v>41752</c:v>
                </c:pt>
                <c:pt idx="341">
                  <c:v>41751</c:v>
                </c:pt>
                <c:pt idx="342">
                  <c:v>41750</c:v>
                </c:pt>
                <c:pt idx="343">
                  <c:v>41747</c:v>
                </c:pt>
                <c:pt idx="344">
                  <c:v>41746</c:v>
                </c:pt>
                <c:pt idx="345">
                  <c:v>41745</c:v>
                </c:pt>
                <c:pt idx="346">
                  <c:v>41744</c:v>
                </c:pt>
                <c:pt idx="347">
                  <c:v>41743</c:v>
                </c:pt>
                <c:pt idx="348">
                  <c:v>41740</c:v>
                </c:pt>
                <c:pt idx="349">
                  <c:v>41739</c:v>
                </c:pt>
                <c:pt idx="350">
                  <c:v>41738</c:v>
                </c:pt>
                <c:pt idx="351">
                  <c:v>41737</c:v>
                </c:pt>
                <c:pt idx="352">
                  <c:v>41736</c:v>
                </c:pt>
                <c:pt idx="353">
                  <c:v>41733</c:v>
                </c:pt>
                <c:pt idx="354">
                  <c:v>41732</c:v>
                </c:pt>
                <c:pt idx="355">
                  <c:v>41731</c:v>
                </c:pt>
                <c:pt idx="356">
                  <c:v>41730</c:v>
                </c:pt>
                <c:pt idx="357">
                  <c:v>41729</c:v>
                </c:pt>
                <c:pt idx="358">
                  <c:v>41726</c:v>
                </c:pt>
                <c:pt idx="359">
                  <c:v>41725</c:v>
                </c:pt>
                <c:pt idx="360">
                  <c:v>41724</c:v>
                </c:pt>
                <c:pt idx="361">
                  <c:v>41723</c:v>
                </c:pt>
                <c:pt idx="362">
                  <c:v>41722</c:v>
                </c:pt>
                <c:pt idx="363">
                  <c:v>41719</c:v>
                </c:pt>
                <c:pt idx="364">
                  <c:v>41718</c:v>
                </c:pt>
                <c:pt idx="365">
                  <c:v>41717</c:v>
                </c:pt>
                <c:pt idx="366">
                  <c:v>41716</c:v>
                </c:pt>
                <c:pt idx="367">
                  <c:v>41715</c:v>
                </c:pt>
                <c:pt idx="368">
                  <c:v>41712</c:v>
                </c:pt>
                <c:pt idx="369">
                  <c:v>41711</c:v>
                </c:pt>
                <c:pt idx="370">
                  <c:v>41710</c:v>
                </c:pt>
                <c:pt idx="371">
                  <c:v>41709</c:v>
                </c:pt>
                <c:pt idx="372">
                  <c:v>41708</c:v>
                </c:pt>
                <c:pt idx="373">
                  <c:v>41705</c:v>
                </c:pt>
                <c:pt idx="374">
                  <c:v>41704</c:v>
                </c:pt>
                <c:pt idx="375">
                  <c:v>41703</c:v>
                </c:pt>
                <c:pt idx="376">
                  <c:v>41702</c:v>
                </c:pt>
                <c:pt idx="377">
                  <c:v>41701</c:v>
                </c:pt>
                <c:pt idx="378">
                  <c:v>41698</c:v>
                </c:pt>
                <c:pt idx="379">
                  <c:v>41697</c:v>
                </c:pt>
                <c:pt idx="380">
                  <c:v>41696</c:v>
                </c:pt>
                <c:pt idx="381">
                  <c:v>41695</c:v>
                </c:pt>
                <c:pt idx="382">
                  <c:v>41694</c:v>
                </c:pt>
                <c:pt idx="383">
                  <c:v>41691</c:v>
                </c:pt>
                <c:pt idx="384">
                  <c:v>41690</c:v>
                </c:pt>
                <c:pt idx="385">
                  <c:v>41689</c:v>
                </c:pt>
                <c:pt idx="386">
                  <c:v>41688</c:v>
                </c:pt>
                <c:pt idx="387">
                  <c:v>41687</c:v>
                </c:pt>
                <c:pt idx="388">
                  <c:v>41684</c:v>
                </c:pt>
                <c:pt idx="389">
                  <c:v>41683</c:v>
                </c:pt>
                <c:pt idx="390">
                  <c:v>41682</c:v>
                </c:pt>
              </c:numCache>
            </c:numRef>
          </c:cat>
          <c:val>
            <c:numRef>
              <c:f>Ratings!$J$27:$J$420</c:f>
              <c:numCache>
                <c:formatCode>0.00</c:formatCode>
                <c:ptCount val="394"/>
                <c:pt idx="0">
                  <c:v>112.91</c:v>
                </c:pt>
                <c:pt idx="1">
                  <c:v>113.49</c:v>
                </c:pt>
                <c:pt idx="2">
                  <c:v>119.72</c:v>
                </c:pt>
                <c:pt idx="3">
                  <c:v>115.52</c:v>
                </c:pt>
                <c:pt idx="4">
                  <c:v>115.13</c:v>
                </c:pt>
                <c:pt idx="5">
                  <c:v>115.4</c:v>
                </c:pt>
                <c:pt idx="6">
                  <c:v>114.64</c:v>
                </c:pt>
                <c:pt idx="7">
                  <c:v>118.44</c:v>
                </c:pt>
                <c:pt idx="8">
                  <c:v>121.3</c:v>
                </c:pt>
                <c:pt idx="9">
                  <c:v>122.37</c:v>
                </c:pt>
                <c:pt idx="10">
                  <c:v>122.99</c:v>
                </c:pt>
                <c:pt idx="11">
                  <c:v>123.38</c:v>
                </c:pt>
                <c:pt idx="12">
                  <c:v>122.77</c:v>
                </c:pt>
                <c:pt idx="13">
                  <c:v>124.5</c:v>
                </c:pt>
                <c:pt idx="14">
                  <c:v>125.16</c:v>
                </c:pt>
                <c:pt idx="15">
                  <c:v>125.22</c:v>
                </c:pt>
                <c:pt idx="16">
                  <c:v>130.75</c:v>
                </c:pt>
                <c:pt idx="17">
                  <c:v>132.07</c:v>
                </c:pt>
                <c:pt idx="18">
                  <c:v>129.62</c:v>
                </c:pt>
                <c:pt idx="19">
                  <c:v>128.51</c:v>
                </c:pt>
                <c:pt idx="20">
                  <c:v>126.82</c:v>
                </c:pt>
                <c:pt idx="21">
                  <c:v>125.61</c:v>
                </c:pt>
                <c:pt idx="22">
                  <c:v>125.66</c:v>
                </c:pt>
                <c:pt idx="23">
                  <c:v>123.28</c:v>
                </c:pt>
                <c:pt idx="24">
                  <c:v>120.07</c:v>
                </c:pt>
                <c:pt idx="25">
                  <c:v>122.57</c:v>
                </c:pt>
                <c:pt idx="26">
                  <c:v>125.69</c:v>
                </c:pt>
                <c:pt idx="27">
                  <c:v>126</c:v>
                </c:pt>
                <c:pt idx="28">
                  <c:v>126.44</c:v>
                </c:pt>
                <c:pt idx="29">
                  <c:v>126.44</c:v>
                </c:pt>
                <c:pt idx="30">
                  <c:v>126.6</c:v>
                </c:pt>
                <c:pt idx="31">
                  <c:v>125.425</c:v>
                </c:pt>
                <c:pt idx="32">
                  <c:v>124.53</c:v>
                </c:pt>
                <c:pt idx="33">
                  <c:v>126.75</c:v>
                </c:pt>
                <c:pt idx="34">
                  <c:v>127.5</c:v>
                </c:pt>
                <c:pt idx="35">
                  <c:v>128.11000000000001</c:v>
                </c:pt>
                <c:pt idx="36">
                  <c:v>127.03</c:v>
                </c:pt>
                <c:pt idx="37">
                  <c:v>127.61</c:v>
                </c:pt>
                <c:pt idx="38">
                  <c:v>126.6</c:v>
                </c:pt>
                <c:pt idx="39">
                  <c:v>127.88</c:v>
                </c:pt>
                <c:pt idx="40">
                  <c:v>127.3</c:v>
                </c:pt>
                <c:pt idx="41">
                  <c:v>127.6</c:v>
                </c:pt>
                <c:pt idx="42">
                  <c:v>126.92</c:v>
                </c:pt>
                <c:pt idx="43">
                  <c:v>127.17</c:v>
                </c:pt>
                <c:pt idx="44">
                  <c:v>128.59</c:v>
                </c:pt>
                <c:pt idx="45">
                  <c:v>128.88</c:v>
                </c:pt>
                <c:pt idx="46">
                  <c:v>127.42</c:v>
                </c:pt>
                <c:pt idx="47">
                  <c:v>127.8</c:v>
                </c:pt>
                <c:pt idx="48">
                  <c:v>128.65</c:v>
                </c:pt>
                <c:pt idx="49">
                  <c:v>129.36000000000001</c:v>
                </c:pt>
                <c:pt idx="50">
                  <c:v>130.12</c:v>
                </c:pt>
                <c:pt idx="51">
                  <c:v>129.96</c:v>
                </c:pt>
                <c:pt idx="52">
                  <c:v>130.535</c:v>
                </c:pt>
                <c:pt idx="53">
                  <c:v>130.28</c:v>
                </c:pt>
                <c:pt idx="54">
                  <c:v>131.78</c:v>
                </c:pt>
                <c:pt idx="55">
                  <c:v>132.04499999999999</c:v>
                </c:pt>
                <c:pt idx="56">
                  <c:v>129.62</c:v>
                </c:pt>
                <c:pt idx="57">
                  <c:v>132.54</c:v>
                </c:pt>
                <c:pt idx="58">
                  <c:v>132.54</c:v>
                </c:pt>
                <c:pt idx="59">
                  <c:v>131.38999999999999</c:v>
                </c:pt>
                <c:pt idx="60">
                  <c:v>130.06</c:v>
                </c:pt>
                <c:pt idx="61">
                  <c:v>130.07</c:v>
                </c:pt>
                <c:pt idx="62">
                  <c:v>130.19</c:v>
                </c:pt>
                <c:pt idx="63">
                  <c:v>128.77000000000001</c:v>
                </c:pt>
                <c:pt idx="64">
                  <c:v>128.94999999999999</c:v>
                </c:pt>
                <c:pt idx="65">
                  <c:v>126.01</c:v>
                </c:pt>
                <c:pt idx="66">
                  <c:v>125.86499999999999</c:v>
                </c:pt>
                <c:pt idx="67">
                  <c:v>126.32</c:v>
                </c:pt>
                <c:pt idx="68">
                  <c:v>127.62</c:v>
                </c:pt>
                <c:pt idx="69">
                  <c:v>125.26</c:v>
                </c:pt>
                <c:pt idx="70">
                  <c:v>125.01</c:v>
                </c:pt>
                <c:pt idx="71">
                  <c:v>125.8</c:v>
                </c:pt>
                <c:pt idx="72">
                  <c:v>128.69999999999999</c:v>
                </c:pt>
                <c:pt idx="73">
                  <c:v>128.94999999999999</c:v>
                </c:pt>
                <c:pt idx="74">
                  <c:v>125.15</c:v>
                </c:pt>
                <c:pt idx="75">
                  <c:v>128.63999999999999</c:v>
                </c:pt>
                <c:pt idx="76">
                  <c:v>130.56</c:v>
                </c:pt>
                <c:pt idx="77">
                  <c:v>132.65</c:v>
                </c:pt>
                <c:pt idx="78">
                  <c:v>130.28</c:v>
                </c:pt>
                <c:pt idx="79">
                  <c:v>129.66999999999999</c:v>
                </c:pt>
                <c:pt idx="80">
                  <c:v>128.62</c:v>
                </c:pt>
                <c:pt idx="81">
                  <c:v>126.91</c:v>
                </c:pt>
                <c:pt idx="82">
                  <c:v>127.6</c:v>
                </c:pt>
                <c:pt idx="83">
                  <c:v>124.75</c:v>
                </c:pt>
                <c:pt idx="84">
                  <c:v>126.17</c:v>
                </c:pt>
                <c:pt idx="85">
                  <c:v>126.78</c:v>
                </c:pt>
                <c:pt idx="86">
                  <c:v>126.3</c:v>
                </c:pt>
                <c:pt idx="87">
                  <c:v>126.85</c:v>
                </c:pt>
                <c:pt idx="88">
                  <c:v>127.1</c:v>
                </c:pt>
                <c:pt idx="89">
                  <c:v>126.56</c:v>
                </c:pt>
                <c:pt idx="90">
                  <c:v>125.6</c:v>
                </c:pt>
                <c:pt idx="91">
                  <c:v>126.01</c:v>
                </c:pt>
                <c:pt idx="92">
                  <c:v>127.35</c:v>
                </c:pt>
                <c:pt idx="93">
                  <c:v>125.32</c:v>
                </c:pt>
                <c:pt idx="94">
                  <c:v>125.32</c:v>
                </c:pt>
                <c:pt idx="95">
                  <c:v>124.25</c:v>
                </c:pt>
                <c:pt idx="96">
                  <c:v>124.43</c:v>
                </c:pt>
                <c:pt idx="97">
                  <c:v>126.37</c:v>
                </c:pt>
                <c:pt idx="98">
                  <c:v>123.25</c:v>
                </c:pt>
                <c:pt idx="99">
                  <c:v>124.24</c:v>
                </c:pt>
                <c:pt idx="100">
                  <c:v>123.38</c:v>
                </c:pt>
                <c:pt idx="101">
                  <c:v>126.69</c:v>
                </c:pt>
                <c:pt idx="102">
                  <c:v>127.21</c:v>
                </c:pt>
                <c:pt idx="103">
                  <c:v>125.9</c:v>
                </c:pt>
                <c:pt idx="104">
                  <c:v>127.495</c:v>
                </c:pt>
                <c:pt idx="105">
                  <c:v>128.47</c:v>
                </c:pt>
                <c:pt idx="106">
                  <c:v>127.04</c:v>
                </c:pt>
                <c:pt idx="107">
                  <c:v>124.95</c:v>
                </c:pt>
                <c:pt idx="108">
                  <c:v>123.59</c:v>
                </c:pt>
                <c:pt idx="109">
                  <c:v>124.45</c:v>
                </c:pt>
                <c:pt idx="110">
                  <c:v>122.24</c:v>
                </c:pt>
                <c:pt idx="111">
                  <c:v>124.51</c:v>
                </c:pt>
                <c:pt idx="112">
                  <c:v>127.14</c:v>
                </c:pt>
                <c:pt idx="113">
                  <c:v>126.6</c:v>
                </c:pt>
                <c:pt idx="114">
                  <c:v>126.41</c:v>
                </c:pt>
                <c:pt idx="115">
                  <c:v>128.54</c:v>
                </c:pt>
                <c:pt idx="116">
                  <c:v>129.36000000000001</c:v>
                </c:pt>
                <c:pt idx="117">
                  <c:v>129.09</c:v>
                </c:pt>
                <c:pt idx="118">
                  <c:v>128.46</c:v>
                </c:pt>
                <c:pt idx="119">
                  <c:v>130.41499999999999</c:v>
                </c:pt>
                <c:pt idx="120">
                  <c:v>128.79</c:v>
                </c:pt>
                <c:pt idx="121">
                  <c:v>132.16999999999999</c:v>
                </c:pt>
                <c:pt idx="122">
                  <c:v>133</c:v>
                </c:pt>
                <c:pt idx="123">
                  <c:v>129.495</c:v>
                </c:pt>
                <c:pt idx="124">
                  <c:v>128.44999999999999</c:v>
                </c:pt>
                <c:pt idx="125">
                  <c:v>128.715</c:v>
                </c:pt>
                <c:pt idx="126">
                  <c:v>127.83</c:v>
                </c:pt>
                <c:pt idx="127">
                  <c:v>127.08</c:v>
                </c:pt>
                <c:pt idx="128">
                  <c:v>127.08</c:v>
                </c:pt>
                <c:pt idx="129">
                  <c:v>126.46</c:v>
                </c:pt>
                <c:pt idx="130">
                  <c:v>124.88</c:v>
                </c:pt>
                <c:pt idx="131">
                  <c:v>122.02</c:v>
                </c:pt>
                <c:pt idx="132">
                  <c:v>119.72</c:v>
                </c:pt>
                <c:pt idx="133">
                  <c:v>118.93</c:v>
                </c:pt>
                <c:pt idx="134">
                  <c:v>119.94</c:v>
                </c:pt>
                <c:pt idx="135">
                  <c:v>119.56</c:v>
                </c:pt>
                <c:pt idx="136">
                  <c:v>118.65</c:v>
                </c:pt>
                <c:pt idx="137">
                  <c:v>118.63</c:v>
                </c:pt>
                <c:pt idx="138">
                  <c:v>117.16</c:v>
                </c:pt>
                <c:pt idx="139">
                  <c:v>118.9</c:v>
                </c:pt>
                <c:pt idx="140">
                  <c:v>115.31</c:v>
                </c:pt>
                <c:pt idx="141">
                  <c:v>109.14</c:v>
                </c:pt>
                <c:pt idx="142">
                  <c:v>113.1</c:v>
                </c:pt>
                <c:pt idx="143">
                  <c:v>112.98</c:v>
                </c:pt>
                <c:pt idx="144">
                  <c:v>112.4</c:v>
                </c:pt>
                <c:pt idx="145">
                  <c:v>109.55</c:v>
                </c:pt>
                <c:pt idx="146">
                  <c:v>108.72</c:v>
                </c:pt>
                <c:pt idx="147">
                  <c:v>105.99</c:v>
                </c:pt>
                <c:pt idx="148">
                  <c:v>105.99</c:v>
                </c:pt>
                <c:pt idx="149">
                  <c:v>106.82</c:v>
                </c:pt>
                <c:pt idx="150">
                  <c:v>109.8</c:v>
                </c:pt>
                <c:pt idx="151">
                  <c:v>110.22</c:v>
                </c:pt>
                <c:pt idx="152">
                  <c:v>109.25</c:v>
                </c:pt>
                <c:pt idx="153">
                  <c:v>112.01</c:v>
                </c:pt>
                <c:pt idx="154">
                  <c:v>111.89</c:v>
                </c:pt>
                <c:pt idx="155">
                  <c:v>107.75</c:v>
                </c:pt>
                <c:pt idx="156">
                  <c:v>106.26</c:v>
                </c:pt>
                <c:pt idx="157">
                  <c:v>106.25</c:v>
                </c:pt>
                <c:pt idx="158">
                  <c:v>109.33</c:v>
                </c:pt>
                <c:pt idx="159">
                  <c:v>110.38</c:v>
                </c:pt>
                <c:pt idx="160">
                  <c:v>110.38</c:v>
                </c:pt>
                <c:pt idx="161">
                  <c:v>112.52</c:v>
                </c:pt>
                <c:pt idx="162">
                  <c:v>113.91</c:v>
                </c:pt>
                <c:pt idx="163">
                  <c:v>113.99</c:v>
                </c:pt>
                <c:pt idx="164">
                  <c:v>112.01</c:v>
                </c:pt>
                <c:pt idx="165">
                  <c:v>112.01</c:v>
                </c:pt>
                <c:pt idx="166">
                  <c:v>112.54</c:v>
                </c:pt>
                <c:pt idx="167">
                  <c:v>112.94</c:v>
                </c:pt>
                <c:pt idx="168">
                  <c:v>111.78</c:v>
                </c:pt>
                <c:pt idx="169">
                  <c:v>112.65</c:v>
                </c:pt>
                <c:pt idx="170">
                  <c:v>109.41</c:v>
                </c:pt>
                <c:pt idx="171">
                  <c:v>106.745</c:v>
                </c:pt>
                <c:pt idx="172">
                  <c:v>108.22499999999999</c:v>
                </c:pt>
                <c:pt idx="173">
                  <c:v>109.73</c:v>
                </c:pt>
                <c:pt idx="174">
                  <c:v>111.62</c:v>
                </c:pt>
                <c:pt idx="175">
                  <c:v>111.95</c:v>
                </c:pt>
                <c:pt idx="176">
                  <c:v>114.12</c:v>
                </c:pt>
                <c:pt idx="177">
                  <c:v>112.4</c:v>
                </c:pt>
                <c:pt idx="178">
                  <c:v>115</c:v>
                </c:pt>
                <c:pt idx="179">
                  <c:v>115.49</c:v>
                </c:pt>
                <c:pt idx="180">
                  <c:v>115.93</c:v>
                </c:pt>
                <c:pt idx="181">
                  <c:v>114.63</c:v>
                </c:pt>
                <c:pt idx="182">
                  <c:v>115.07</c:v>
                </c:pt>
                <c:pt idx="183">
                  <c:v>118.93</c:v>
                </c:pt>
                <c:pt idx="184">
                  <c:v>119</c:v>
                </c:pt>
                <c:pt idx="185">
                  <c:v>119</c:v>
                </c:pt>
                <c:pt idx="186">
                  <c:v>117.6</c:v>
                </c:pt>
                <c:pt idx="187">
                  <c:v>118.625</c:v>
                </c:pt>
                <c:pt idx="188">
                  <c:v>116.47</c:v>
                </c:pt>
                <c:pt idx="189">
                  <c:v>116.31</c:v>
                </c:pt>
                <c:pt idx="190">
                  <c:v>114.67</c:v>
                </c:pt>
                <c:pt idx="191">
                  <c:v>115.47</c:v>
                </c:pt>
                <c:pt idx="192">
                  <c:v>113.99</c:v>
                </c:pt>
                <c:pt idx="193">
                  <c:v>114.18</c:v>
                </c:pt>
                <c:pt idx="194">
                  <c:v>112.82</c:v>
                </c:pt>
                <c:pt idx="195">
                  <c:v>111.25</c:v>
                </c:pt>
                <c:pt idx="196">
                  <c:v>109.7</c:v>
                </c:pt>
                <c:pt idx="197">
                  <c:v>108.83</c:v>
                </c:pt>
                <c:pt idx="198">
                  <c:v>109.01</c:v>
                </c:pt>
                <c:pt idx="199">
                  <c:v>108.7</c:v>
                </c:pt>
                <c:pt idx="200">
                  <c:v>108.86</c:v>
                </c:pt>
                <c:pt idx="201">
                  <c:v>108.6</c:v>
                </c:pt>
                <c:pt idx="202">
                  <c:v>109.4</c:v>
                </c:pt>
                <c:pt idx="203">
                  <c:v>108</c:v>
                </c:pt>
                <c:pt idx="204">
                  <c:v>106.98</c:v>
                </c:pt>
                <c:pt idx="205">
                  <c:v>107.34</c:v>
                </c:pt>
                <c:pt idx="206">
                  <c:v>106.74</c:v>
                </c:pt>
                <c:pt idx="207">
                  <c:v>105.11</c:v>
                </c:pt>
                <c:pt idx="208">
                  <c:v>105.22</c:v>
                </c:pt>
                <c:pt idx="209">
                  <c:v>104.83</c:v>
                </c:pt>
                <c:pt idx="210">
                  <c:v>102.99</c:v>
                </c:pt>
                <c:pt idx="211">
                  <c:v>102.47</c:v>
                </c:pt>
                <c:pt idx="212">
                  <c:v>99.76</c:v>
                </c:pt>
                <c:pt idx="213">
                  <c:v>97.67</c:v>
                </c:pt>
                <c:pt idx="214">
                  <c:v>96.26</c:v>
                </c:pt>
                <c:pt idx="215">
                  <c:v>97.54</c:v>
                </c:pt>
                <c:pt idx="216">
                  <c:v>98.75</c:v>
                </c:pt>
                <c:pt idx="217">
                  <c:v>99.81</c:v>
                </c:pt>
                <c:pt idx="218">
                  <c:v>100.73</c:v>
                </c:pt>
                <c:pt idx="219">
                  <c:v>101.02</c:v>
                </c:pt>
                <c:pt idx="220">
                  <c:v>100.8</c:v>
                </c:pt>
                <c:pt idx="221">
                  <c:v>98.75</c:v>
                </c:pt>
                <c:pt idx="222">
                  <c:v>99.62</c:v>
                </c:pt>
                <c:pt idx="223">
                  <c:v>99.62</c:v>
                </c:pt>
                <c:pt idx="224">
                  <c:v>99.9</c:v>
                </c:pt>
                <c:pt idx="225">
                  <c:v>99.18</c:v>
                </c:pt>
                <c:pt idx="226">
                  <c:v>100.75</c:v>
                </c:pt>
                <c:pt idx="227">
                  <c:v>100.11</c:v>
                </c:pt>
                <c:pt idx="228">
                  <c:v>100.75</c:v>
                </c:pt>
                <c:pt idx="229">
                  <c:v>97.87</c:v>
                </c:pt>
                <c:pt idx="230">
                  <c:v>101.75</c:v>
                </c:pt>
                <c:pt idx="231">
                  <c:v>102.64</c:v>
                </c:pt>
                <c:pt idx="232">
                  <c:v>101.06</c:v>
                </c:pt>
                <c:pt idx="233">
                  <c:v>100.96</c:v>
                </c:pt>
                <c:pt idx="234">
                  <c:v>101.79</c:v>
                </c:pt>
                <c:pt idx="235">
                  <c:v>101.58</c:v>
                </c:pt>
                <c:pt idx="236">
                  <c:v>100.86</c:v>
                </c:pt>
                <c:pt idx="237">
                  <c:v>101.63</c:v>
                </c:pt>
                <c:pt idx="238">
                  <c:v>101.66</c:v>
                </c:pt>
                <c:pt idx="239">
                  <c:v>101.43</c:v>
                </c:pt>
                <c:pt idx="240">
                  <c:v>101</c:v>
                </c:pt>
                <c:pt idx="241">
                  <c:v>97.99</c:v>
                </c:pt>
                <c:pt idx="242">
                  <c:v>98.36</c:v>
                </c:pt>
                <c:pt idx="243">
                  <c:v>98.97</c:v>
                </c:pt>
                <c:pt idx="244">
                  <c:v>98.12</c:v>
                </c:pt>
                <c:pt idx="245">
                  <c:v>98.94</c:v>
                </c:pt>
                <c:pt idx="246">
                  <c:v>103.3</c:v>
                </c:pt>
                <c:pt idx="247">
                  <c:v>102.5</c:v>
                </c:pt>
                <c:pt idx="248">
                  <c:v>102.5</c:v>
                </c:pt>
                <c:pt idx="249">
                  <c:v>102.25</c:v>
                </c:pt>
                <c:pt idx="250">
                  <c:v>102.13</c:v>
                </c:pt>
                <c:pt idx="251">
                  <c:v>100.889</c:v>
                </c:pt>
                <c:pt idx="252">
                  <c:v>101.54</c:v>
                </c:pt>
                <c:pt idx="253">
                  <c:v>101.32</c:v>
                </c:pt>
                <c:pt idx="254">
                  <c:v>100.58</c:v>
                </c:pt>
                <c:pt idx="255">
                  <c:v>100.57</c:v>
                </c:pt>
                <c:pt idx="256">
                  <c:v>100.53</c:v>
                </c:pt>
                <c:pt idx="257">
                  <c:v>99.16</c:v>
                </c:pt>
                <c:pt idx="258">
                  <c:v>97.98</c:v>
                </c:pt>
                <c:pt idx="259">
                  <c:v>97.5</c:v>
                </c:pt>
                <c:pt idx="260">
                  <c:v>97.24</c:v>
                </c:pt>
                <c:pt idx="261">
                  <c:v>95.97</c:v>
                </c:pt>
                <c:pt idx="262">
                  <c:v>95.99</c:v>
                </c:pt>
                <c:pt idx="263">
                  <c:v>94.74</c:v>
                </c:pt>
                <c:pt idx="264">
                  <c:v>94.48</c:v>
                </c:pt>
                <c:pt idx="265">
                  <c:v>94.96</c:v>
                </c:pt>
                <c:pt idx="266">
                  <c:v>95.12</c:v>
                </c:pt>
                <c:pt idx="267">
                  <c:v>95.59</c:v>
                </c:pt>
                <c:pt idx="268">
                  <c:v>96.13</c:v>
                </c:pt>
                <c:pt idx="269">
                  <c:v>95.6</c:v>
                </c:pt>
                <c:pt idx="270">
                  <c:v>98.15</c:v>
                </c:pt>
                <c:pt idx="271">
                  <c:v>98.38</c:v>
                </c:pt>
                <c:pt idx="272">
                  <c:v>99.02</c:v>
                </c:pt>
                <c:pt idx="273">
                  <c:v>97.671000000000006</c:v>
                </c:pt>
                <c:pt idx="274">
                  <c:v>97.03</c:v>
                </c:pt>
                <c:pt idx="275">
                  <c:v>97.19</c:v>
                </c:pt>
                <c:pt idx="276">
                  <c:v>94.72</c:v>
                </c:pt>
                <c:pt idx="277">
                  <c:v>93.938999999999993</c:v>
                </c:pt>
                <c:pt idx="278">
                  <c:v>94.43</c:v>
                </c:pt>
                <c:pt idx="279">
                  <c:v>93.0899</c:v>
                </c:pt>
                <c:pt idx="280">
                  <c:v>94.78</c:v>
                </c:pt>
                <c:pt idx="281">
                  <c:v>95.32</c:v>
                </c:pt>
                <c:pt idx="282">
                  <c:v>96.45</c:v>
                </c:pt>
                <c:pt idx="283">
                  <c:v>95.22</c:v>
                </c:pt>
                <c:pt idx="284">
                  <c:v>95.034999999999997</c:v>
                </c:pt>
                <c:pt idx="285">
                  <c:v>95.39</c:v>
                </c:pt>
                <c:pt idx="286">
                  <c:v>95.35</c:v>
                </c:pt>
                <c:pt idx="287">
                  <c:v>95.968000000000004</c:v>
                </c:pt>
                <c:pt idx="288">
                  <c:v>94.03</c:v>
                </c:pt>
                <c:pt idx="289">
                  <c:v>94.03</c:v>
                </c:pt>
                <c:pt idx="290">
                  <c:v>93.48</c:v>
                </c:pt>
                <c:pt idx="291">
                  <c:v>93.52</c:v>
                </c:pt>
                <c:pt idx="292">
                  <c:v>92.93</c:v>
                </c:pt>
                <c:pt idx="293">
                  <c:v>91.98</c:v>
                </c:pt>
                <c:pt idx="294">
                  <c:v>90.9</c:v>
                </c:pt>
                <c:pt idx="295">
                  <c:v>90.36</c:v>
                </c:pt>
                <c:pt idx="296">
                  <c:v>90.28</c:v>
                </c:pt>
                <c:pt idx="297">
                  <c:v>90.83</c:v>
                </c:pt>
                <c:pt idx="298">
                  <c:v>90.91</c:v>
                </c:pt>
                <c:pt idx="299">
                  <c:v>91.86</c:v>
                </c:pt>
                <c:pt idx="300">
                  <c:v>92.18</c:v>
                </c:pt>
                <c:pt idx="301">
                  <c:v>92.08</c:v>
                </c:pt>
                <c:pt idx="302">
                  <c:v>92.2</c:v>
                </c:pt>
                <c:pt idx="303">
                  <c:v>91.28</c:v>
                </c:pt>
                <c:pt idx="304">
                  <c:v>92.29</c:v>
                </c:pt>
                <c:pt idx="305">
                  <c:v>93.86</c:v>
                </c:pt>
                <c:pt idx="306">
                  <c:v>94.25</c:v>
                </c:pt>
                <c:pt idx="307">
                  <c:v>93.7</c:v>
                </c:pt>
                <c:pt idx="308">
                  <c:v>92.224299999999999</c:v>
                </c:pt>
                <c:pt idx="309">
                  <c:v>92.4786</c:v>
                </c:pt>
                <c:pt idx="310">
                  <c:v>92.117099999999994</c:v>
                </c:pt>
                <c:pt idx="311">
                  <c:v>91.077100000000002</c:v>
                </c:pt>
                <c:pt idx="312">
                  <c:v>89.807100000000005</c:v>
                </c:pt>
                <c:pt idx="313">
                  <c:v>90.428600000000003</c:v>
                </c:pt>
                <c:pt idx="314">
                  <c:v>90.768600000000006</c:v>
                </c:pt>
                <c:pt idx="315">
                  <c:v>89.144300000000001</c:v>
                </c:pt>
                <c:pt idx="316">
                  <c:v>89.375699999999995</c:v>
                </c:pt>
                <c:pt idx="317">
                  <c:v>87.732900000000001</c:v>
                </c:pt>
                <c:pt idx="318">
                  <c:v>87.732900000000001</c:v>
                </c:pt>
                <c:pt idx="319">
                  <c:v>86.752899999999997</c:v>
                </c:pt>
                <c:pt idx="320">
                  <c:v>86.615700000000004</c:v>
                </c:pt>
                <c:pt idx="321">
                  <c:v>86.387100000000004</c:v>
                </c:pt>
                <c:pt idx="322">
                  <c:v>86.37</c:v>
                </c:pt>
                <c:pt idx="323">
                  <c:v>85.358599999999996</c:v>
                </c:pt>
                <c:pt idx="324">
                  <c:v>84.117099999999994</c:v>
                </c:pt>
                <c:pt idx="325">
                  <c:v>84.8386</c:v>
                </c:pt>
                <c:pt idx="326">
                  <c:v>84.822900000000004</c:v>
                </c:pt>
                <c:pt idx="327">
                  <c:v>84.69</c:v>
                </c:pt>
                <c:pt idx="328">
                  <c:v>83.648899999999998</c:v>
                </c:pt>
                <c:pt idx="329">
                  <c:v>83.998599999999996</c:v>
                </c:pt>
                <c:pt idx="330">
                  <c:v>84.618600000000001</c:v>
                </c:pt>
                <c:pt idx="331">
                  <c:v>84.915700000000001</c:v>
                </c:pt>
                <c:pt idx="332">
                  <c:v>85.851399999999998</c:v>
                </c:pt>
                <c:pt idx="333">
                  <c:v>84.654300000000006</c:v>
                </c:pt>
                <c:pt idx="334">
                  <c:v>84.497100000000003</c:v>
                </c:pt>
                <c:pt idx="335">
                  <c:v>84.298599999999993</c:v>
                </c:pt>
                <c:pt idx="336">
                  <c:v>84.618600000000001</c:v>
                </c:pt>
                <c:pt idx="337">
                  <c:v>84.87</c:v>
                </c:pt>
                <c:pt idx="338">
                  <c:v>81.705699999999993</c:v>
                </c:pt>
                <c:pt idx="339">
                  <c:v>81.11</c:v>
                </c:pt>
                <c:pt idx="340">
                  <c:v>74.964299999999994</c:v>
                </c:pt>
                <c:pt idx="341">
                  <c:v>75.956999999999994</c:v>
                </c:pt>
                <c:pt idx="342">
                  <c:v>75.881399999999999</c:v>
                </c:pt>
                <c:pt idx="343">
                  <c:v>74.991399999999999</c:v>
                </c:pt>
                <c:pt idx="344">
                  <c:v>74.991399999999999</c:v>
                </c:pt>
                <c:pt idx="345">
                  <c:v>74.144300000000001</c:v>
                </c:pt>
                <c:pt idx="346">
                  <c:v>73.994299999999996</c:v>
                </c:pt>
                <c:pt idx="347">
                  <c:v>74.525700000000001</c:v>
                </c:pt>
                <c:pt idx="348">
                  <c:v>74.23</c:v>
                </c:pt>
                <c:pt idx="349">
                  <c:v>74.782899999999998</c:v>
                </c:pt>
                <c:pt idx="350">
                  <c:v>75.760000000000005</c:v>
                </c:pt>
                <c:pt idx="351">
                  <c:v>74.777100000000004</c:v>
                </c:pt>
                <c:pt idx="352">
                  <c:v>74.781400000000005</c:v>
                </c:pt>
                <c:pt idx="353">
                  <c:v>75.974299999999999</c:v>
                </c:pt>
                <c:pt idx="354">
                  <c:v>76.97</c:v>
                </c:pt>
                <c:pt idx="355">
                  <c:v>77.507099999999994</c:v>
                </c:pt>
                <c:pt idx="356">
                  <c:v>77.378600000000006</c:v>
                </c:pt>
                <c:pt idx="357">
                  <c:v>76.677099999999996</c:v>
                </c:pt>
                <c:pt idx="358">
                  <c:v>76.694299999999998</c:v>
                </c:pt>
                <c:pt idx="359">
                  <c:v>76.78</c:v>
                </c:pt>
                <c:pt idx="360">
                  <c:v>77.111400000000003</c:v>
                </c:pt>
                <c:pt idx="361">
                  <c:v>77.855699999999999</c:v>
                </c:pt>
                <c:pt idx="362">
                  <c:v>77.027100000000004</c:v>
                </c:pt>
                <c:pt idx="363">
                  <c:v>76.124300000000005</c:v>
                </c:pt>
                <c:pt idx="364">
                  <c:v>75.528599999999997</c:v>
                </c:pt>
                <c:pt idx="365">
                  <c:v>75.894300000000001</c:v>
                </c:pt>
                <c:pt idx="366">
                  <c:v>75.914299999999997</c:v>
                </c:pt>
                <c:pt idx="367">
                  <c:v>75.248599999999996</c:v>
                </c:pt>
                <c:pt idx="368">
                  <c:v>74.955699999999993</c:v>
                </c:pt>
                <c:pt idx="369">
                  <c:v>75.807100000000005</c:v>
                </c:pt>
                <c:pt idx="370">
                  <c:v>76.658600000000007</c:v>
                </c:pt>
                <c:pt idx="371">
                  <c:v>76.584299999999999</c:v>
                </c:pt>
                <c:pt idx="372">
                  <c:v>75.845699999999994</c:v>
                </c:pt>
                <c:pt idx="373">
                  <c:v>75.777100000000004</c:v>
                </c:pt>
                <c:pt idx="374">
                  <c:v>75.821399999999997</c:v>
                </c:pt>
                <c:pt idx="375">
                  <c:v>76.051400000000001</c:v>
                </c:pt>
                <c:pt idx="376">
                  <c:v>75.891400000000004</c:v>
                </c:pt>
                <c:pt idx="377">
                  <c:v>75.394300000000001</c:v>
                </c:pt>
                <c:pt idx="378">
                  <c:v>75.177099999999996</c:v>
                </c:pt>
                <c:pt idx="379">
                  <c:v>75.381399999999999</c:v>
                </c:pt>
                <c:pt idx="380">
                  <c:v>73.9071</c:v>
                </c:pt>
                <c:pt idx="381">
                  <c:v>74.58</c:v>
                </c:pt>
                <c:pt idx="382">
                  <c:v>75.3643</c:v>
                </c:pt>
                <c:pt idx="383">
                  <c:v>75.035700000000006</c:v>
                </c:pt>
                <c:pt idx="384">
                  <c:v>75.878600000000006</c:v>
                </c:pt>
                <c:pt idx="385">
                  <c:v>76.767099999999999</c:v>
                </c:pt>
                <c:pt idx="386">
                  <c:v>77.998599999999996</c:v>
                </c:pt>
                <c:pt idx="387">
                  <c:v>77.712900000000005</c:v>
                </c:pt>
                <c:pt idx="388">
                  <c:v>77.712900000000005</c:v>
                </c:pt>
                <c:pt idx="389">
                  <c:v>77.775700000000001</c:v>
                </c:pt>
                <c:pt idx="390">
                  <c:v>76.56</c:v>
                </c:pt>
              </c:numCache>
            </c:numRef>
          </c:val>
          <c:smooth val="0"/>
        </c:ser>
        <c:ser>
          <c:idx val="4"/>
          <c:order val="4"/>
          <c:tx>
            <c:strRef>
              <c:f>Ratings!$K$26</c:f>
              <c:strCache>
                <c:ptCount val="1"/>
                <c:pt idx="0">
                  <c:v>Target</c:v>
                </c:pt>
              </c:strCache>
            </c:strRef>
          </c:tx>
          <c:spPr>
            <a:ln w="25400">
              <a:solidFill>
                <a:srgbClr val="800000"/>
              </a:solidFill>
              <a:prstDash val="solid"/>
            </a:ln>
          </c:spPr>
          <c:marker>
            <c:symbol val="none"/>
          </c:marker>
          <c:cat>
            <c:numRef>
              <c:f>Ratings!$H$27:$H$420</c:f>
              <c:numCache>
                <c:formatCode>m/d/yyyy</c:formatCode>
                <c:ptCount val="394"/>
                <c:pt idx="0">
                  <c:v>42228</c:v>
                </c:pt>
                <c:pt idx="1">
                  <c:v>42227</c:v>
                </c:pt>
                <c:pt idx="2">
                  <c:v>42226</c:v>
                </c:pt>
                <c:pt idx="3">
                  <c:v>42223</c:v>
                </c:pt>
                <c:pt idx="4">
                  <c:v>42222</c:v>
                </c:pt>
                <c:pt idx="5">
                  <c:v>42221</c:v>
                </c:pt>
                <c:pt idx="6">
                  <c:v>42220</c:v>
                </c:pt>
                <c:pt idx="7">
                  <c:v>42219</c:v>
                </c:pt>
                <c:pt idx="8">
                  <c:v>42216</c:v>
                </c:pt>
                <c:pt idx="9">
                  <c:v>42215</c:v>
                </c:pt>
                <c:pt idx="10">
                  <c:v>42214</c:v>
                </c:pt>
                <c:pt idx="11">
                  <c:v>42213</c:v>
                </c:pt>
                <c:pt idx="12">
                  <c:v>42212</c:v>
                </c:pt>
                <c:pt idx="13">
                  <c:v>42209</c:v>
                </c:pt>
                <c:pt idx="14">
                  <c:v>42208</c:v>
                </c:pt>
                <c:pt idx="15">
                  <c:v>42207</c:v>
                </c:pt>
                <c:pt idx="16">
                  <c:v>42206</c:v>
                </c:pt>
                <c:pt idx="17">
                  <c:v>42205</c:v>
                </c:pt>
                <c:pt idx="18">
                  <c:v>42202</c:v>
                </c:pt>
                <c:pt idx="19">
                  <c:v>42201</c:v>
                </c:pt>
                <c:pt idx="20">
                  <c:v>42200</c:v>
                </c:pt>
                <c:pt idx="21">
                  <c:v>42199</c:v>
                </c:pt>
                <c:pt idx="22">
                  <c:v>42198</c:v>
                </c:pt>
                <c:pt idx="23">
                  <c:v>42195</c:v>
                </c:pt>
                <c:pt idx="24">
                  <c:v>42194</c:v>
                </c:pt>
                <c:pt idx="25">
                  <c:v>42193</c:v>
                </c:pt>
                <c:pt idx="26">
                  <c:v>42192</c:v>
                </c:pt>
                <c:pt idx="27">
                  <c:v>42191</c:v>
                </c:pt>
                <c:pt idx="28">
                  <c:v>42188</c:v>
                </c:pt>
                <c:pt idx="29">
                  <c:v>42187</c:v>
                </c:pt>
                <c:pt idx="30">
                  <c:v>42186</c:v>
                </c:pt>
                <c:pt idx="31">
                  <c:v>42185</c:v>
                </c:pt>
                <c:pt idx="32">
                  <c:v>42184</c:v>
                </c:pt>
                <c:pt idx="33">
                  <c:v>42181</c:v>
                </c:pt>
                <c:pt idx="34">
                  <c:v>42180</c:v>
                </c:pt>
                <c:pt idx="35">
                  <c:v>42179</c:v>
                </c:pt>
                <c:pt idx="36">
                  <c:v>42178</c:v>
                </c:pt>
                <c:pt idx="37">
                  <c:v>42177</c:v>
                </c:pt>
                <c:pt idx="38">
                  <c:v>42174</c:v>
                </c:pt>
                <c:pt idx="39">
                  <c:v>42173</c:v>
                </c:pt>
                <c:pt idx="40">
                  <c:v>42172</c:v>
                </c:pt>
                <c:pt idx="41">
                  <c:v>42171</c:v>
                </c:pt>
                <c:pt idx="42">
                  <c:v>42170</c:v>
                </c:pt>
                <c:pt idx="43">
                  <c:v>42167</c:v>
                </c:pt>
                <c:pt idx="44">
                  <c:v>42166</c:v>
                </c:pt>
                <c:pt idx="45">
                  <c:v>42165</c:v>
                </c:pt>
                <c:pt idx="46">
                  <c:v>42164</c:v>
                </c:pt>
                <c:pt idx="47">
                  <c:v>42163</c:v>
                </c:pt>
                <c:pt idx="48">
                  <c:v>42160</c:v>
                </c:pt>
                <c:pt idx="49">
                  <c:v>42159</c:v>
                </c:pt>
                <c:pt idx="50">
                  <c:v>42158</c:v>
                </c:pt>
                <c:pt idx="51">
                  <c:v>42157</c:v>
                </c:pt>
                <c:pt idx="52">
                  <c:v>42156</c:v>
                </c:pt>
                <c:pt idx="53">
                  <c:v>42153</c:v>
                </c:pt>
                <c:pt idx="54">
                  <c:v>42152</c:v>
                </c:pt>
                <c:pt idx="55">
                  <c:v>42151</c:v>
                </c:pt>
                <c:pt idx="56">
                  <c:v>42150</c:v>
                </c:pt>
                <c:pt idx="57">
                  <c:v>42149</c:v>
                </c:pt>
                <c:pt idx="58">
                  <c:v>42146</c:v>
                </c:pt>
                <c:pt idx="59">
                  <c:v>42145</c:v>
                </c:pt>
                <c:pt idx="60">
                  <c:v>42144</c:v>
                </c:pt>
                <c:pt idx="61">
                  <c:v>42143</c:v>
                </c:pt>
                <c:pt idx="62">
                  <c:v>42142</c:v>
                </c:pt>
                <c:pt idx="63">
                  <c:v>42139</c:v>
                </c:pt>
                <c:pt idx="64">
                  <c:v>42138</c:v>
                </c:pt>
                <c:pt idx="65">
                  <c:v>42137</c:v>
                </c:pt>
                <c:pt idx="66">
                  <c:v>42136</c:v>
                </c:pt>
                <c:pt idx="67">
                  <c:v>42135</c:v>
                </c:pt>
                <c:pt idx="68">
                  <c:v>42132</c:v>
                </c:pt>
                <c:pt idx="69">
                  <c:v>42131</c:v>
                </c:pt>
                <c:pt idx="70">
                  <c:v>42130</c:v>
                </c:pt>
                <c:pt idx="71">
                  <c:v>42129</c:v>
                </c:pt>
                <c:pt idx="72">
                  <c:v>42128</c:v>
                </c:pt>
                <c:pt idx="73">
                  <c:v>42125</c:v>
                </c:pt>
                <c:pt idx="74">
                  <c:v>42124</c:v>
                </c:pt>
                <c:pt idx="75">
                  <c:v>42123</c:v>
                </c:pt>
                <c:pt idx="76">
                  <c:v>42122</c:v>
                </c:pt>
                <c:pt idx="77">
                  <c:v>42121</c:v>
                </c:pt>
                <c:pt idx="78">
                  <c:v>42118</c:v>
                </c:pt>
                <c:pt idx="79">
                  <c:v>42117</c:v>
                </c:pt>
                <c:pt idx="80">
                  <c:v>42116</c:v>
                </c:pt>
                <c:pt idx="81">
                  <c:v>42115</c:v>
                </c:pt>
                <c:pt idx="82">
                  <c:v>42114</c:v>
                </c:pt>
                <c:pt idx="83">
                  <c:v>42111</c:v>
                </c:pt>
                <c:pt idx="84">
                  <c:v>42110</c:v>
                </c:pt>
                <c:pt idx="85">
                  <c:v>42109</c:v>
                </c:pt>
                <c:pt idx="86">
                  <c:v>42108</c:v>
                </c:pt>
                <c:pt idx="87">
                  <c:v>42107</c:v>
                </c:pt>
                <c:pt idx="88">
                  <c:v>42104</c:v>
                </c:pt>
                <c:pt idx="89">
                  <c:v>42103</c:v>
                </c:pt>
                <c:pt idx="90">
                  <c:v>42102</c:v>
                </c:pt>
                <c:pt idx="91">
                  <c:v>42101</c:v>
                </c:pt>
                <c:pt idx="92">
                  <c:v>42100</c:v>
                </c:pt>
                <c:pt idx="93">
                  <c:v>42097</c:v>
                </c:pt>
                <c:pt idx="94">
                  <c:v>42096</c:v>
                </c:pt>
                <c:pt idx="95">
                  <c:v>42095</c:v>
                </c:pt>
                <c:pt idx="96">
                  <c:v>42094</c:v>
                </c:pt>
                <c:pt idx="97">
                  <c:v>42093</c:v>
                </c:pt>
                <c:pt idx="98">
                  <c:v>42090</c:v>
                </c:pt>
                <c:pt idx="99">
                  <c:v>42089</c:v>
                </c:pt>
                <c:pt idx="100">
                  <c:v>42088</c:v>
                </c:pt>
                <c:pt idx="101">
                  <c:v>42087</c:v>
                </c:pt>
                <c:pt idx="102">
                  <c:v>42086</c:v>
                </c:pt>
                <c:pt idx="103">
                  <c:v>42083</c:v>
                </c:pt>
                <c:pt idx="104">
                  <c:v>42082</c:v>
                </c:pt>
                <c:pt idx="105">
                  <c:v>42081</c:v>
                </c:pt>
                <c:pt idx="106">
                  <c:v>42080</c:v>
                </c:pt>
                <c:pt idx="107">
                  <c:v>42079</c:v>
                </c:pt>
                <c:pt idx="108">
                  <c:v>42076</c:v>
                </c:pt>
                <c:pt idx="109">
                  <c:v>42075</c:v>
                </c:pt>
                <c:pt idx="110">
                  <c:v>42074</c:v>
                </c:pt>
                <c:pt idx="111">
                  <c:v>42073</c:v>
                </c:pt>
                <c:pt idx="112">
                  <c:v>42072</c:v>
                </c:pt>
                <c:pt idx="113">
                  <c:v>42069</c:v>
                </c:pt>
                <c:pt idx="114">
                  <c:v>42068</c:v>
                </c:pt>
                <c:pt idx="115">
                  <c:v>42067</c:v>
                </c:pt>
                <c:pt idx="116">
                  <c:v>42066</c:v>
                </c:pt>
                <c:pt idx="117">
                  <c:v>42065</c:v>
                </c:pt>
                <c:pt idx="118">
                  <c:v>42062</c:v>
                </c:pt>
                <c:pt idx="119">
                  <c:v>42061</c:v>
                </c:pt>
                <c:pt idx="120">
                  <c:v>42060</c:v>
                </c:pt>
                <c:pt idx="121">
                  <c:v>42059</c:v>
                </c:pt>
                <c:pt idx="122">
                  <c:v>42058</c:v>
                </c:pt>
                <c:pt idx="123">
                  <c:v>42055</c:v>
                </c:pt>
                <c:pt idx="124">
                  <c:v>42054</c:v>
                </c:pt>
                <c:pt idx="125">
                  <c:v>42053</c:v>
                </c:pt>
                <c:pt idx="126">
                  <c:v>42052</c:v>
                </c:pt>
                <c:pt idx="127">
                  <c:v>42051</c:v>
                </c:pt>
                <c:pt idx="128">
                  <c:v>42048</c:v>
                </c:pt>
                <c:pt idx="129">
                  <c:v>42047</c:v>
                </c:pt>
                <c:pt idx="130">
                  <c:v>42046</c:v>
                </c:pt>
                <c:pt idx="131">
                  <c:v>42045</c:v>
                </c:pt>
                <c:pt idx="132">
                  <c:v>42044</c:v>
                </c:pt>
                <c:pt idx="133">
                  <c:v>42041</c:v>
                </c:pt>
                <c:pt idx="134">
                  <c:v>42040</c:v>
                </c:pt>
                <c:pt idx="135">
                  <c:v>42039</c:v>
                </c:pt>
                <c:pt idx="136">
                  <c:v>42038</c:v>
                </c:pt>
                <c:pt idx="137">
                  <c:v>42037</c:v>
                </c:pt>
                <c:pt idx="138">
                  <c:v>42034</c:v>
                </c:pt>
                <c:pt idx="139">
                  <c:v>42033</c:v>
                </c:pt>
                <c:pt idx="140">
                  <c:v>42032</c:v>
                </c:pt>
                <c:pt idx="141">
                  <c:v>42031</c:v>
                </c:pt>
                <c:pt idx="142">
                  <c:v>42030</c:v>
                </c:pt>
                <c:pt idx="143">
                  <c:v>42027</c:v>
                </c:pt>
                <c:pt idx="144">
                  <c:v>42026</c:v>
                </c:pt>
                <c:pt idx="145">
                  <c:v>42025</c:v>
                </c:pt>
                <c:pt idx="146">
                  <c:v>42024</c:v>
                </c:pt>
                <c:pt idx="147">
                  <c:v>42023</c:v>
                </c:pt>
                <c:pt idx="148">
                  <c:v>42020</c:v>
                </c:pt>
                <c:pt idx="149">
                  <c:v>42019</c:v>
                </c:pt>
                <c:pt idx="150">
                  <c:v>42018</c:v>
                </c:pt>
                <c:pt idx="151">
                  <c:v>42017</c:v>
                </c:pt>
                <c:pt idx="152">
                  <c:v>42016</c:v>
                </c:pt>
                <c:pt idx="153">
                  <c:v>42013</c:v>
                </c:pt>
                <c:pt idx="154">
                  <c:v>42012</c:v>
                </c:pt>
                <c:pt idx="155">
                  <c:v>42011</c:v>
                </c:pt>
                <c:pt idx="156">
                  <c:v>42010</c:v>
                </c:pt>
                <c:pt idx="157">
                  <c:v>42009</c:v>
                </c:pt>
                <c:pt idx="158">
                  <c:v>42006</c:v>
                </c:pt>
                <c:pt idx="159">
                  <c:v>42005</c:v>
                </c:pt>
                <c:pt idx="160">
                  <c:v>42004</c:v>
                </c:pt>
                <c:pt idx="161">
                  <c:v>42003</c:v>
                </c:pt>
                <c:pt idx="162">
                  <c:v>42002</c:v>
                </c:pt>
                <c:pt idx="163">
                  <c:v>41999</c:v>
                </c:pt>
                <c:pt idx="164">
                  <c:v>41998</c:v>
                </c:pt>
                <c:pt idx="165">
                  <c:v>41997</c:v>
                </c:pt>
                <c:pt idx="166">
                  <c:v>41996</c:v>
                </c:pt>
                <c:pt idx="167">
                  <c:v>41995</c:v>
                </c:pt>
                <c:pt idx="168">
                  <c:v>41992</c:v>
                </c:pt>
                <c:pt idx="169">
                  <c:v>41991</c:v>
                </c:pt>
                <c:pt idx="170">
                  <c:v>41990</c:v>
                </c:pt>
                <c:pt idx="171">
                  <c:v>41989</c:v>
                </c:pt>
                <c:pt idx="172">
                  <c:v>41988</c:v>
                </c:pt>
                <c:pt idx="173">
                  <c:v>41985</c:v>
                </c:pt>
                <c:pt idx="174">
                  <c:v>41984</c:v>
                </c:pt>
                <c:pt idx="175">
                  <c:v>41983</c:v>
                </c:pt>
                <c:pt idx="176">
                  <c:v>41982</c:v>
                </c:pt>
                <c:pt idx="177">
                  <c:v>41981</c:v>
                </c:pt>
                <c:pt idx="178">
                  <c:v>41978</c:v>
                </c:pt>
                <c:pt idx="179">
                  <c:v>41977</c:v>
                </c:pt>
                <c:pt idx="180">
                  <c:v>41976</c:v>
                </c:pt>
                <c:pt idx="181">
                  <c:v>41975</c:v>
                </c:pt>
                <c:pt idx="182">
                  <c:v>41974</c:v>
                </c:pt>
                <c:pt idx="183">
                  <c:v>41971</c:v>
                </c:pt>
                <c:pt idx="184">
                  <c:v>41970</c:v>
                </c:pt>
                <c:pt idx="185">
                  <c:v>41969</c:v>
                </c:pt>
                <c:pt idx="186">
                  <c:v>41968</c:v>
                </c:pt>
                <c:pt idx="187">
                  <c:v>41967</c:v>
                </c:pt>
                <c:pt idx="188">
                  <c:v>41964</c:v>
                </c:pt>
                <c:pt idx="189">
                  <c:v>41963</c:v>
                </c:pt>
                <c:pt idx="190">
                  <c:v>41962</c:v>
                </c:pt>
                <c:pt idx="191">
                  <c:v>41961</c:v>
                </c:pt>
                <c:pt idx="192">
                  <c:v>41960</c:v>
                </c:pt>
                <c:pt idx="193">
                  <c:v>41957</c:v>
                </c:pt>
                <c:pt idx="194">
                  <c:v>41956</c:v>
                </c:pt>
                <c:pt idx="195">
                  <c:v>41955</c:v>
                </c:pt>
                <c:pt idx="196">
                  <c:v>41954</c:v>
                </c:pt>
                <c:pt idx="197">
                  <c:v>41953</c:v>
                </c:pt>
                <c:pt idx="198">
                  <c:v>41950</c:v>
                </c:pt>
                <c:pt idx="199">
                  <c:v>41949</c:v>
                </c:pt>
                <c:pt idx="200">
                  <c:v>41948</c:v>
                </c:pt>
                <c:pt idx="201">
                  <c:v>41947</c:v>
                </c:pt>
                <c:pt idx="202">
                  <c:v>41946</c:v>
                </c:pt>
                <c:pt idx="203">
                  <c:v>41943</c:v>
                </c:pt>
                <c:pt idx="204">
                  <c:v>41942</c:v>
                </c:pt>
                <c:pt idx="205">
                  <c:v>41941</c:v>
                </c:pt>
                <c:pt idx="206">
                  <c:v>41940</c:v>
                </c:pt>
                <c:pt idx="207">
                  <c:v>41939</c:v>
                </c:pt>
                <c:pt idx="208">
                  <c:v>41936</c:v>
                </c:pt>
                <c:pt idx="209">
                  <c:v>41935</c:v>
                </c:pt>
                <c:pt idx="210">
                  <c:v>41934</c:v>
                </c:pt>
                <c:pt idx="211">
                  <c:v>41933</c:v>
                </c:pt>
                <c:pt idx="212">
                  <c:v>41932</c:v>
                </c:pt>
                <c:pt idx="213">
                  <c:v>41929</c:v>
                </c:pt>
                <c:pt idx="214">
                  <c:v>41928</c:v>
                </c:pt>
                <c:pt idx="215">
                  <c:v>41927</c:v>
                </c:pt>
                <c:pt idx="216">
                  <c:v>41926</c:v>
                </c:pt>
                <c:pt idx="217">
                  <c:v>41925</c:v>
                </c:pt>
                <c:pt idx="218">
                  <c:v>41922</c:v>
                </c:pt>
                <c:pt idx="219">
                  <c:v>41921</c:v>
                </c:pt>
                <c:pt idx="220">
                  <c:v>41920</c:v>
                </c:pt>
                <c:pt idx="221">
                  <c:v>41919</c:v>
                </c:pt>
                <c:pt idx="222">
                  <c:v>41918</c:v>
                </c:pt>
                <c:pt idx="223">
                  <c:v>41915</c:v>
                </c:pt>
                <c:pt idx="224">
                  <c:v>41914</c:v>
                </c:pt>
                <c:pt idx="225">
                  <c:v>41913</c:v>
                </c:pt>
                <c:pt idx="226">
                  <c:v>41912</c:v>
                </c:pt>
                <c:pt idx="227">
                  <c:v>41911</c:v>
                </c:pt>
                <c:pt idx="228">
                  <c:v>41908</c:v>
                </c:pt>
                <c:pt idx="229">
                  <c:v>41907</c:v>
                </c:pt>
                <c:pt idx="230">
                  <c:v>41906</c:v>
                </c:pt>
                <c:pt idx="231">
                  <c:v>41905</c:v>
                </c:pt>
                <c:pt idx="232">
                  <c:v>41904</c:v>
                </c:pt>
                <c:pt idx="233">
                  <c:v>41901</c:v>
                </c:pt>
                <c:pt idx="234">
                  <c:v>41900</c:v>
                </c:pt>
                <c:pt idx="235">
                  <c:v>41899</c:v>
                </c:pt>
                <c:pt idx="236">
                  <c:v>41898</c:v>
                </c:pt>
                <c:pt idx="237">
                  <c:v>41897</c:v>
                </c:pt>
                <c:pt idx="238">
                  <c:v>41894</c:v>
                </c:pt>
                <c:pt idx="239">
                  <c:v>41893</c:v>
                </c:pt>
                <c:pt idx="240">
                  <c:v>41892</c:v>
                </c:pt>
                <c:pt idx="241">
                  <c:v>41891</c:v>
                </c:pt>
                <c:pt idx="242">
                  <c:v>41890</c:v>
                </c:pt>
                <c:pt idx="243">
                  <c:v>41887</c:v>
                </c:pt>
                <c:pt idx="244">
                  <c:v>41886</c:v>
                </c:pt>
                <c:pt idx="245">
                  <c:v>41885</c:v>
                </c:pt>
                <c:pt idx="246">
                  <c:v>41884</c:v>
                </c:pt>
                <c:pt idx="247">
                  <c:v>41883</c:v>
                </c:pt>
                <c:pt idx="248">
                  <c:v>41880</c:v>
                </c:pt>
                <c:pt idx="249">
                  <c:v>41879</c:v>
                </c:pt>
                <c:pt idx="250">
                  <c:v>41878</c:v>
                </c:pt>
                <c:pt idx="251">
                  <c:v>41877</c:v>
                </c:pt>
                <c:pt idx="252">
                  <c:v>41876</c:v>
                </c:pt>
                <c:pt idx="253">
                  <c:v>41873</c:v>
                </c:pt>
                <c:pt idx="254">
                  <c:v>41872</c:v>
                </c:pt>
                <c:pt idx="255">
                  <c:v>41871</c:v>
                </c:pt>
                <c:pt idx="256">
                  <c:v>41870</c:v>
                </c:pt>
                <c:pt idx="257">
                  <c:v>41869</c:v>
                </c:pt>
                <c:pt idx="258">
                  <c:v>41866</c:v>
                </c:pt>
                <c:pt idx="259">
                  <c:v>41865</c:v>
                </c:pt>
                <c:pt idx="260">
                  <c:v>41864</c:v>
                </c:pt>
                <c:pt idx="261">
                  <c:v>41863</c:v>
                </c:pt>
                <c:pt idx="262">
                  <c:v>41862</c:v>
                </c:pt>
                <c:pt idx="263">
                  <c:v>41859</c:v>
                </c:pt>
                <c:pt idx="264">
                  <c:v>41858</c:v>
                </c:pt>
                <c:pt idx="265">
                  <c:v>41857</c:v>
                </c:pt>
                <c:pt idx="266">
                  <c:v>41856</c:v>
                </c:pt>
                <c:pt idx="267">
                  <c:v>41855</c:v>
                </c:pt>
                <c:pt idx="268">
                  <c:v>41852</c:v>
                </c:pt>
                <c:pt idx="269">
                  <c:v>41851</c:v>
                </c:pt>
                <c:pt idx="270">
                  <c:v>41850</c:v>
                </c:pt>
                <c:pt idx="271">
                  <c:v>41849</c:v>
                </c:pt>
                <c:pt idx="272">
                  <c:v>41848</c:v>
                </c:pt>
                <c:pt idx="273">
                  <c:v>41845</c:v>
                </c:pt>
                <c:pt idx="274">
                  <c:v>41844</c:v>
                </c:pt>
                <c:pt idx="275">
                  <c:v>41843</c:v>
                </c:pt>
                <c:pt idx="276">
                  <c:v>41842</c:v>
                </c:pt>
                <c:pt idx="277">
                  <c:v>41841</c:v>
                </c:pt>
                <c:pt idx="278">
                  <c:v>41838</c:v>
                </c:pt>
                <c:pt idx="279">
                  <c:v>41837</c:v>
                </c:pt>
                <c:pt idx="280">
                  <c:v>41836</c:v>
                </c:pt>
                <c:pt idx="281">
                  <c:v>41835</c:v>
                </c:pt>
                <c:pt idx="282">
                  <c:v>41834</c:v>
                </c:pt>
                <c:pt idx="283">
                  <c:v>41831</c:v>
                </c:pt>
                <c:pt idx="284">
                  <c:v>41830</c:v>
                </c:pt>
                <c:pt idx="285">
                  <c:v>41829</c:v>
                </c:pt>
                <c:pt idx="286">
                  <c:v>41828</c:v>
                </c:pt>
                <c:pt idx="287">
                  <c:v>41827</c:v>
                </c:pt>
                <c:pt idx="288">
                  <c:v>41824</c:v>
                </c:pt>
                <c:pt idx="289">
                  <c:v>41823</c:v>
                </c:pt>
                <c:pt idx="290">
                  <c:v>41822</c:v>
                </c:pt>
                <c:pt idx="291">
                  <c:v>41821</c:v>
                </c:pt>
                <c:pt idx="292">
                  <c:v>41820</c:v>
                </c:pt>
                <c:pt idx="293">
                  <c:v>41817</c:v>
                </c:pt>
                <c:pt idx="294">
                  <c:v>41816</c:v>
                </c:pt>
                <c:pt idx="295">
                  <c:v>41815</c:v>
                </c:pt>
                <c:pt idx="296">
                  <c:v>41814</c:v>
                </c:pt>
                <c:pt idx="297">
                  <c:v>41813</c:v>
                </c:pt>
                <c:pt idx="298">
                  <c:v>41810</c:v>
                </c:pt>
                <c:pt idx="299">
                  <c:v>41809</c:v>
                </c:pt>
                <c:pt idx="300">
                  <c:v>41808</c:v>
                </c:pt>
                <c:pt idx="301">
                  <c:v>41807</c:v>
                </c:pt>
                <c:pt idx="302">
                  <c:v>41806</c:v>
                </c:pt>
                <c:pt idx="303">
                  <c:v>41803</c:v>
                </c:pt>
                <c:pt idx="304">
                  <c:v>41802</c:v>
                </c:pt>
                <c:pt idx="305">
                  <c:v>41801</c:v>
                </c:pt>
                <c:pt idx="306">
                  <c:v>41800</c:v>
                </c:pt>
                <c:pt idx="307">
                  <c:v>41799</c:v>
                </c:pt>
                <c:pt idx="308">
                  <c:v>41796</c:v>
                </c:pt>
                <c:pt idx="309">
                  <c:v>41795</c:v>
                </c:pt>
                <c:pt idx="310">
                  <c:v>41794</c:v>
                </c:pt>
                <c:pt idx="311">
                  <c:v>41793</c:v>
                </c:pt>
                <c:pt idx="312">
                  <c:v>41792</c:v>
                </c:pt>
                <c:pt idx="313">
                  <c:v>41789</c:v>
                </c:pt>
                <c:pt idx="314">
                  <c:v>41788</c:v>
                </c:pt>
                <c:pt idx="315">
                  <c:v>41787</c:v>
                </c:pt>
                <c:pt idx="316">
                  <c:v>41786</c:v>
                </c:pt>
                <c:pt idx="317">
                  <c:v>41785</c:v>
                </c:pt>
                <c:pt idx="318">
                  <c:v>41782</c:v>
                </c:pt>
                <c:pt idx="319">
                  <c:v>41781</c:v>
                </c:pt>
                <c:pt idx="320">
                  <c:v>41780</c:v>
                </c:pt>
                <c:pt idx="321">
                  <c:v>41779</c:v>
                </c:pt>
                <c:pt idx="322">
                  <c:v>41778</c:v>
                </c:pt>
                <c:pt idx="323">
                  <c:v>41775</c:v>
                </c:pt>
                <c:pt idx="324">
                  <c:v>41774</c:v>
                </c:pt>
                <c:pt idx="325">
                  <c:v>41773</c:v>
                </c:pt>
                <c:pt idx="326">
                  <c:v>41772</c:v>
                </c:pt>
                <c:pt idx="327">
                  <c:v>41771</c:v>
                </c:pt>
                <c:pt idx="328">
                  <c:v>41768</c:v>
                </c:pt>
                <c:pt idx="329">
                  <c:v>41767</c:v>
                </c:pt>
                <c:pt idx="330">
                  <c:v>41766</c:v>
                </c:pt>
                <c:pt idx="331">
                  <c:v>41765</c:v>
                </c:pt>
                <c:pt idx="332">
                  <c:v>41764</c:v>
                </c:pt>
                <c:pt idx="333">
                  <c:v>41761</c:v>
                </c:pt>
                <c:pt idx="334">
                  <c:v>41760</c:v>
                </c:pt>
                <c:pt idx="335">
                  <c:v>41759</c:v>
                </c:pt>
                <c:pt idx="336">
                  <c:v>41758</c:v>
                </c:pt>
                <c:pt idx="337">
                  <c:v>41757</c:v>
                </c:pt>
                <c:pt idx="338">
                  <c:v>41754</c:v>
                </c:pt>
                <c:pt idx="339">
                  <c:v>41753</c:v>
                </c:pt>
                <c:pt idx="340">
                  <c:v>41752</c:v>
                </c:pt>
                <c:pt idx="341">
                  <c:v>41751</c:v>
                </c:pt>
                <c:pt idx="342">
                  <c:v>41750</c:v>
                </c:pt>
                <c:pt idx="343">
                  <c:v>41747</c:v>
                </c:pt>
                <c:pt idx="344">
                  <c:v>41746</c:v>
                </c:pt>
                <c:pt idx="345">
                  <c:v>41745</c:v>
                </c:pt>
                <c:pt idx="346">
                  <c:v>41744</c:v>
                </c:pt>
                <c:pt idx="347">
                  <c:v>41743</c:v>
                </c:pt>
                <c:pt idx="348">
                  <c:v>41740</c:v>
                </c:pt>
                <c:pt idx="349">
                  <c:v>41739</c:v>
                </c:pt>
                <c:pt idx="350">
                  <c:v>41738</c:v>
                </c:pt>
                <c:pt idx="351">
                  <c:v>41737</c:v>
                </c:pt>
                <c:pt idx="352">
                  <c:v>41736</c:v>
                </c:pt>
                <c:pt idx="353">
                  <c:v>41733</c:v>
                </c:pt>
                <c:pt idx="354">
                  <c:v>41732</c:v>
                </c:pt>
                <c:pt idx="355">
                  <c:v>41731</c:v>
                </c:pt>
                <c:pt idx="356">
                  <c:v>41730</c:v>
                </c:pt>
                <c:pt idx="357">
                  <c:v>41729</c:v>
                </c:pt>
                <c:pt idx="358">
                  <c:v>41726</c:v>
                </c:pt>
                <c:pt idx="359">
                  <c:v>41725</c:v>
                </c:pt>
                <c:pt idx="360">
                  <c:v>41724</c:v>
                </c:pt>
                <c:pt idx="361">
                  <c:v>41723</c:v>
                </c:pt>
                <c:pt idx="362">
                  <c:v>41722</c:v>
                </c:pt>
                <c:pt idx="363">
                  <c:v>41719</c:v>
                </c:pt>
                <c:pt idx="364">
                  <c:v>41718</c:v>
                </c:pt>
                <c:pt idx="365">
                  <c:v>41717</c:v>
                </c:pt>
                <c:pt idx="366">
                  <c:v>41716</c:v>
                </c:pt>
                <c:pt idx="367">
                  <c:v>41715</c:v>
                </c:pt>
                <c:pt idx="368">
                  <c:v>41712</c:v>
                </c:pt>
                <c:pt idx="369">
                  <c:v>41711</c:v>
                </c:pt>
                <c:pt idx="370">
                  <c:v>41710</c:v>
                </c:pt>
                <c:pt idx="371">
                  <c:v>41709</c:v>
                </c:pt>
                <c:pt idx="372">
                  <c:v>41708</c:v>
                </c:pt>
                <c:pt idx="373">
                  <c:v>41705</c:v>
                </c:pt>
                <c:pt idx="374">
                  <c:v>41704</c:v>
                </c:pt>
                <c:pt idx="375">
                  <c:v>41703</c:v>
                </c:pt>
                <c:pt idx="376">
                  <c:v>41702</c:v>
                </c:pt>
                <c:pt idx="377">
                  <c:v>41701</c:v>
                </c:pt>
                <c:pt idx="378">
                  <c:v>41698</c:v>
                </c:pt>
                <c:pt idx="379">
                  <c:v>41697</c:v>
                </c:pt>
                <c:pt idx="380">
                  <c:v>41696</c:v>
                </c:pt>
                <c:pt idx="381">
                  <c:v>41695</c:v>
                </c:pt>
                <c:pt idx="382">
                  <c:v>41694</c:v>
                </c:pt>
                <c:pt idx="383">
                  <c:v>41691</c:v>
                </c:pt>
                <c:pt idx="384">
                  <c:v>41690</c:v>
                </c:pt>
                <c:pt idx="385">
                  <c:v>41689</c:v>
                </c:pt>
                <c:pt idx="386">
                  <c:v>41688</c:v>
                </c:pt>
                <c:pt idx="387">
                  <c:v>41687</c:v>
                </c:pt>
                <c:pt idx="388">
                  <c:v>41684</c:v>
                </c:pt>
                <c:pt idx="389">
                  <c:v>41683</c:v>
                </c:pt>
                <c:pt idx="390">
                  <c:v>41682</c:v>
                </c:pt>
              </c:numCache>
            </c:numRef>
          </c:cat>
          <c:val>
            <c:numRef>
              <c:f>Ratings!$K$27:$K$420</c:f>
              <c:numCache>
                <c:formatCode>0.00</c:formatCode>
                <c:ptCount val="394"/>
                <c:pt idx="0">
                  <c:v>147</c:v>
                </c:pt>
                <c:pt idx="1">
                  <c:v>147</c:v>
                </c:pt>
                <c:pt idx="2">
                  <c:v>146.92099999999999</c:v>
                </c:pt>
                <c:pt idx="3">
                  <c:v>147.053</c:v>
                </c:pt>
                <c:pt idx="4">
                  <c:v>147.459</c:v>
                </c:pt>
                <c:pt idx="5">
                  <c:v>147.459</c:v>
                </c:pt>
                <c:pt idx="6">
                  <c:v>147.78399999999999</c:v>
                </c:pt>
                <c:pt idx="7">
                  <c:v>147.78399999999999</c:v>
                </c:pt>
                <c:pt idx="8">
                  <c:v>147.5</c:v>
                </c:pt>
                <c:pt idx="9">
                  <c:v>147.5</c:v>
                </c:pt>
                <c:pt idx="10">
                  <c:v>147.56800000000001</c:v>
                </c:pt>
                <c:pt idx="11">
                  <c:v>147.97399999999999</c:v>
                </c:pt>
                <c:pt idx="12">
                  <c:v>147.97399999999999</c:v>
                </c:pt>
                <c:pt idx="13">
                  <c:v>147.97399999999999</c:v>
                </c:pt>
                <c:pt idx="14">
                  <c:v>147.97399999999999</c:v>
                </c:pt>
                <c:pt idx="15">
                  <c:v>147.97399999999999</c:v>
                </c:pt>
                <c:pt idx="16">
                  <c:v>149.60499999999999</c:v>
                </c:pt>
                <c:pt idx="17">
                  <c:v>149.47399999999999</c:v>
                </c:pt>
                <c:pt idx="18">
                  <c:v>149.47399999999999</c:v>
                </c:pt>
                <c:pt idx="19">
                  <c:v>149.47399999999999</c:v>
                </c:pt>
                <c:pt idx="20">
                  <c:v>149.47399999999999</c:v>
                </c:pt>
                <c:pt idx="21">
                  <c:v>149.05099999999999</c:v>
                </c:pt>
                <c:pt idx="22">
                  <c:v>149.05099999999999</c:v>
                </c:pt>
                <c:pt idx="23">
                  <c:v>149.05099999999999</c:v>
                </c:pt>
                <c:pt idx="24">
                  <c:v>149.05099999999999</c:v>
                </c:pt>
                <c:pt idx="25">
                  <c:v>149.05099999999999</c:v>
                </c:pt>
                <c:pt idx="26">
                  <c:v>149.05099999999999</c:v>
                </c:pt>
                <c:pt idx="27">
                  <c:v>149.05099999999999</c:v>
                </c:pt>
                <c:pt idx="28">
                  <c:v>149.05099999999999</c:v>
                </c:pt>
                <c:pt idx="29">
                  <c:v>149.05099999999999</c:v>
                </c:pt>
                <c:pt idx="30">
                  <c:v>149.05099999999999</c:v>
                </c:pt>
                <c:pt idx="31">
                  <c:v>149.05099999999999</c:v>
                </c:pt>
                <c:pt idx="32">
                  <c:v>149.05099999999999</c:v>
                </c:pt>
                <c:pt idx="33">
                  <c:v>149.05099999999999</c:v>
                </c:pt>
                <c:pt idx="34">
                  <c:v>149.05099999999999</c:v>
                </c:pt>
                <c:pt idx="35">
                  <c:v>149.05099999999999</c:v>
                </c:pt>
                <c:pt idx="36">
                  <c:v>149.05000000000001</c:v>
                </c:pt>
                <c:pt idx="37">
                  <c:v>149.05000000000001</c:v>
                </c:pt>
                <c:pt idx="38">
                  <c:v>149.05000000000001</c:v>
                </c:pt>
                <c:pt idx="39">
                  <c:v>149.05000000000001</c:v>
                </c:pt>
                <c:pt idx="40">
                  <c:v>149.05000000000001</c:v>
                </c:pt>
                <c:pt idx="41">
                  <c:v>149.05000000000001</c:v>
                </c:pt>
                <c:pt idx="42">
                  <c:v>149.05000000000001</c:v>
                </c:pt>
                <c:pt idx="43">
                  <c:v>149.05000000000001</c:v>
                </c:pt>
                <c:pt idx="44">
                  <c:v>149.05000000000001</c:v>
                </c:pt>
                <c:pt idx="45">
                  <c:v>148.95099999999999</c:v>
                </c:pt>
                <c:pt idx="46">
                  <c:v>148.95099999999999</c:v>
                </c:pt>
                <c:pt idx="47">
                  <c:v>148.95099999999999</c:v>
                </c:pt>
                <c:pt idx="48">
                  <c:v>148.95099999999999</c:v>
                </c:pt>
                <c:pt idx="49">
                  <c:v>148.82900000000001</c:v>
                </c:pt>
                <c:pt idx="50">
                  <c:v>148.82900000000001</c:v>
                </c:pt>
                <c:pt idx="51">
                  <c:v>148.82900000000001</c:v>
                </c:pt>
                <c:pt idx="52">
                  <c:v>148.82900000000001</c:v>
                </c:pt>
                <c:pt idx="53">
                  <c:v>148.82900000000001</c:v>
                </c:pt>
                <c:pt idx="54">
                  <c:v>148.82900000000001</c:v>
                </c:pt>
                <c:pt idx="55">
                  <c:v>148.82900000000001</c:v>
                </c:pt>
                <c:pt idx="56">
                  <c:v>148.82900000000001</c:v>
                </c:pt>
                <c:pt idx="57">
                  <c:v>148.70699999999999</c:v>
                </c:pt>
                <c:pt idx="58">
                  <c:v>148.70699999999999</c:v>
                </c:pt>
                <c:pt idx="59">
                  <c:v>148.70699999999999</c:v>
                </c:pt>
                <c:pt idx="60">
                  <c:v>148.70699999999999</c:v>
                </c:pt>
                <c:pt idx="61">
                  <c:v>148.70699999999999</c:v>
                </c:pt>
                <c:pt idx="62">
                  <c:v>148.70699999999999</c:v>
                </c:pt>
                <c:pt idx="63">
                  <c:v>148.70699999999999</c:v>
                </c:pt>
                <c:pt idx="64">
                  <c:v>148.70699999999999</c:v>
                </c:pt>
                <c:pt idx="65">
                  <c:v>148.738</c:v>
                </c:pt>
                <c:pt idx="66">
                  <c:v>148.738</c:v>
                </c:pt>
                <c:pt idx="67">
                  <c:v>148.738</c:v>
                </c:pt>
                <c:pt idx="68">
                  <c:v>148.619</c:v>
                </c:pt>
                <c:pt idx="69">
                  <c:v>148.619</c:v>
                </c:pt>
                <c:pt idx="70">
                  <c:v>148.619</c:v>
                </c:pt>
                <c:pt idx="71">
                  <c:v>148.39500000000001</c:v>
                </c:pt>
                <c:pt idx="72">
                  <c:v>148.39500000000001</c:v>
                </c:pt>
                <c:pt idx="73">
                  <c:v>148.39500000000001</c:v>
                </c:pt>
                <c:pt idx="74">
                  <c:v>148.36000000000001</c:v>
                </c:pt>
                <c:pt idx="75">
                  <c:v>148.36000000000001</c:v>
                </c:pt>
                <c:pt idx="76">
                  <c:v>147.82599999999999</c:v>
                </c:pt>
                <c:pt idx="77">
                  <c:v>144.12799999999999</c:v>
                </c:pt>
                <c:pt idx="78">
                  <c:v>142.869</c:v>
                </c:pt>
                <c:pt idx="79">
                  <c:v>142.702</c:v>
                </c:pt>
                <c:pt idx="80">
                  <c:v>142.345</c:v>
                </c:pt>
                <c:pt idx="81">
                  <c:v>142.345</c:v>
                </c:pt>
                <c:pt idx="82">
                  <c:v>142.345</c:v>
                </c:pt>
                <c:pt idx="83">
                  <c:v>142.345</c:v>
                </c:pt>
                <c:pt idx="84">
                  <c:v>142.345</c:v>
                </c:pt>
                <c:pt idx="85">
                  <c:v>141.274</c:v>
                </c:pt>
                <c:pt idx="86">
                  <c:v>141.20699999999999</c:v>
                </c:pt>
                <c:pt idx="87">
                  <c:v>140.84100000000001</c:v>
                </c:pt>
                <c:pt idx="88">
                  <c:v>140.84100000000001</c:v>
                </c:pt>
                <c:pt idx="89">
                  <c:v>140.44</c:v>
                </c:pt>
                <c:pt idx="90">
                  <c:v>140.321</c:v>
                </c:pt>
                <c:pt idx="91">
                  <c:v>140.321</c:v>
                </c:pt>
                <c:pt idx="92">
                  <c:v>140.321</c:v>
                </c:pt>
                <c:pt idx="93">
                  <c:v>140.321</c:v>
                </c:pt>
                <c:pt idx="94">
                  <c:v>140.321</c:v>
                </c:pt>
                <c:pt idx="95">
                  <c:v>140.321</c:v>
                </c:pt>
                <c:pt idx="96">
                  <c:v>140.779</c:v>
                </c:pt>
                <c:pt idx="97">
                  <c:v>140.733</c:v>
                </c:pt>
                <c:pt idx="98">
                  <c:v>140.733</c:v>
                </c:pt>
                <c:pt idx="99">
                  <c:v>140.94300000000001</c:v>
                </c:pt>
                <c:pt idx="100">
                  <c:v>140.83000000000001</c:v>
                </c:pt>
                <c:pt idx="101">
                  <c:v>140.83000000000001</c:v>
                </c:pt>
                <c:pt idx="102">
                  <c:v>140.83000000000001</c:v>
                </c:pt>
                <c:pt idx="103">
                  <c:v>139.511</c:v>
                </c:pt>
                <c:pt idx="104">
                  <c:v>139.511</c:v>
                </c:pt>
                <c:pt idx="105">
                  <c:v>139.511</c:v>
                </c:pt>
                <c:pt idx="106">
                  <c:v>139.511</c:v>
                </c:pt>
                <c:pt idx="107">
                  <c:v>139.375</c:v>
                </c:pt>
                <c:pt idx="108">
                  <c:v>139.375</c:v>
                </c:pt>
                <c:pt idx="109">
                  <c:v>139.05600000000001</c:v>
                </c:pt>
                <c:pt idx="110">
                  <c:v>138.5</c:v>
                </c:pt>
                <c:pt idx="111">
                  <c:v>138.5</c:v>
                </c:pt>
                <c:pt idx="112">
                  <c:v>137.42400000000001</c:v>
                </c:pt>
                <c:pt idx="113">
                  <c:v>136.489</c:v>
                </c:pt>
                <c:pt idx="114">
                  <c:v>136.489</c:v>
                </c:pt>
                <c:pt idx="115">
                  <c:v>136.489</c:v>
                </c:pt>
                <c:pt idx="116">
                  <c:v>136.489</c:v>
                </c:pt>
                <c:pt idx="117">
                  <c:v>135.946</c:v>
                </c:pt>
                <c:pt idx="118">
                  <c:v>135.35900000000001</c:v>
                </c:pt>
                <c:pt idx="119">
                  <c:v>135.35900000000001</c:v>
                </c:pt>
                <c:pt idx="120">
                  <c:v>135.35900000000001</c:v>
                </c:pt>
                <c:pt idx="121">
                  <c:v>135.35900000000001</c:v>
                </c:pt>
                <c:pt idx="122">
                  <c:v>134.92400000000001</c:v>
                </c:pt>
                <c:pt idx="123">
                  <c:v>134.911</c:v>
                </c:pt>
                <c:pt idx="124">
                  <c:v>134.911</c:v>
                </c:pt>
                <c:pt idx="125">
                  <c:v>134.35599999999999</c:v>
                </c:pt>
                <c:pt idx="126">
                  <c:v>134.35599999999999</c:v>
                </c:pt>
                <c:pt idx="127">
                  <c:v>134.35599999999999</c:v>
                </c:pt>
                <c:pt idx="128">
                  <c:v>133.80000000000001</c:v>
                </c:pt>
                <c:pt idx="129">
                  <c:v>133.35599999999999</c:v>
                </c:pt>
                <c:pt idx="130">
                  <c:v>132.39099999999999</c:v>
                </c:pt>
                <c:pt idx="131">
                  <c:v>132.28299999999999</c:v>
                </c:pt>
                <c:pt idx="132">
                  <c:v>132.28299999999999</c:v>
                </c:pt>
                <c:pt idx="133">
                  <c:v>131.84800000000001</c:v>
                </c:pt>
                <c:pt idx="134">
                  <c:v>131.84800000000001</c:v>
                </c:pt>
                <c:pt idx="135">
                  <c:v>131.46700000000001</c:v>
                </c:pt>
                <c:pt idx="136">
                  <c:v>131.46700000000001</c:v>
                </c:pt>
                <c:pt idx="137">
                  <c:v>131.04300000000001</c:v>
                </c:pt>
                <c:pt idx="138">
                  <c:v>130.702</c:v>
                </c:pt>
                <c:pt idx="139">
                  <c:v>130.38300000000001</c:v>
                </c:pt>
                <c:pt idx="140">
                  <c:v>129.64599999999999</c:v>
                </c:pt>
                <c:pt idx="141">
                  <c:v>124.429</c:v>
                </c:pt>
                <c:pt idx="142">
                  <c:v>123.791</c:v>
                </c:pt>
                <c:pt idx="143">
                  <c:v>124.071</c:v>
                </c:pt>
                <c:pt idx="144">
                  <c:v>124</c:v>
                </c:pt>
                <c:pt idx="145">
                  <c:v>123.553</c:v>
                </c:pt>
                <c:pt idx="146">
                  <c:v>123.553</c:v>
                </c:pt>
                <c:pt idx="147">
                  <c:v>123.413</c:v>
                </c:pt>
                <c:pt idx="148">
                  <c:v>123.413</c:v>
                </c:pt>
                <c:pt idx="149">
                  <c:v>123.02200000000001</c:v>
                </c:pt>
                <c:pt idx="150">
                  <c:v>123.02200000000001</c:v>
                </c:pt>
                <c:pt idx="151">
                  <c:v>123.02200000000001</c:v>
                </c:pt>
                <c:pt idx="152">
                  <c:v>122.587</c:v>
                </c:pt>
                <c:pt idx="153">
                  <c:v>122.587</c:v>
                </c:pt>
                <c:pt idx="154">
                  <c:v>122.54300000000001</c:v>
                </c:pt>
                <c:pt idx="155">
                  <c:v>122.54300000000001</c:v>
                </c:pt>
                <c:pt idx="156">
                  <c:v>122.596</c:v>
                </c:pt>
                <c:pt idx="157">
                  <c:v>122.596</c:v>
                </c:pt>
                <c:pt idx="158">
                  <c:v>122.596</c:v>
                </c:pt>
                <c:pt idx="159">
                  <c:v>122.489</c:v>
                </c:pt>
                <c:pt idx="160">
                  <c:v>122.489</c:v>
                </c:pt>
                <c:pt idx="161">
                  <c:v>122.489</c:v>
                </c:pt>
                <c:pt idx="162">
                  <c:v>122.489</c:v>
                </c:pt>
                <c:pt idx="163">
                  <c:v>122.489</c:v>
                </c:pt>
                <c:pt idx="164">
                  <c:v>122.761</c:v>
                </c:pt>
                <c:pt idx="165">
                  <c:v>122.761</c:v>
                </c:pt>
                <c:pt idx="166">
                  <c:v>122.761</c:v>
                </c:pt>
                <c:pt idx="167">
                  <c:v>122.761</c:v>
                </c:pt>
                <c:pt idx="168">
                  <c:v>122.91500000000001</c:v>
                </c:pt>
                <c:pt idx="169">
                  <c:v>122.83</c:v>
                </c:pt>
                <c:pt idx="170">
                  <c:v>122.83</c:v>
                </c:pt>
                <c:pt idx="171">
                  <c:v>122.83</c:v>
                </c:pt>
                <c:pt idx="172">
                  <c:v>122.83</c:v>
                </c:pt>
                <c:pt idx="173">
                  <c:v>122.83</c:v>
                </c:pt>
                <c:pt idx="174">
                  <c:v>122.83</c:v>
                </c:pt>
                <c:pt idx="175">
                  <c:v>122.83</c:v>
                </c:pt>
                <c:pt idx="176">
                  <c:v>122.83</c:v>
                </c:pt>
                <c:pt idx="177">
                  <c:v>122.83</c:v>
                </c:pt>
                <c:pt idx="178">
                  <c:v>122.298</c:v>
                </c:pt>
                <c:pt idx="179">
                  <c:v>122.298</c:v>
                </c:pt>
                <c:pt idx="180">
                  <c:v>122.298</c:v>
                </c:pt>
                <c:pt idx="181">
                  <c:v>121.979</c:v>
                </c:pt>
                <c:pt idx="182">
                  <c:v>121.76600000000001</c:v>
                </c:pt>
                <c:pt idx="183">
                  <c:v>120.702</c:v>
                </c:pt>
                <c:pt idx="184">
                  <c:v>120.702</c:v>
                </c:pt>
                <c:pt idx="185">
                  <c:v>120.702</c:v>
                </c:pt>
                <c:pt idx="186">
                  <c:v>120.34</c:v>
                </c:pt>
                <c:pt idx="187">
                  <c:v>120.34</c:v>
                </c:pt>
                <c:pt idx="188">
                  <c:v>119.702</c:v>
                </c:pt>
                <c:pt idx="189">
                  <c:v>119.702</c:v>
                </c:pt>
                <c:pt idx="190">
                  <c:v>119.383</c:v>
                </c:pt>
                <c:pt idx="191">
                  <c:v>118.93600000000001</c:v>
                </c:pt>
                <c:pt idx="192">
                  <c:v>117.60899999999999</c:v>
                </c:pt>
                <c:pt idx="193">
                  <c:v>117.5</c:v>
                </c:pt>
                <c:pt idx="194">
                  <c:v>117.5</c:v>
                </c:pt>
                <c:pt idx="195">
                  <c:v>117.283</c:v>
                </c:pt>
                <c:pt idx="196">
                  <c:v>117.283</c:v>
                </c:pt>
                <c:pt idx="197">
                  <c:v>117.13</c:v>
                </c:pt>
                <c:pt idx="198">
                  <c:v>116.913</c:v>
                </c:pt>
                <c:pt idx="199">
                  <c:v>116.913</c:v>
                </c:pt>
                <c:pt idx="200">
                  <c:v>116.913</c:v>
                </c:pt>
                <c:pt idx="201">
                  <c:v>116.804</c:v>
                </c:pt>
                <c:pt idx="202">
                  <c:v>116.804</c:v>
                </c:pt>
                <c:pt idx="203">
                  <c:v>116.804</c:v>
                </c:pt>
                <c:pt idx="204">
                  <c:v>116.383</c:v>
                </c:pt>
                <c:pt idx="205">
                  <c:v>116.383</c:v>
                </c:pt>
                <c:pt idx="206">
                  <c:v>116.383</c:v>
                </c:pt>
                <c:pt idx="207">
                  <c:v>116.149</c:v>
                </c:pt>
                <c:pt idx="208">
                  <c:v>116.149</c:v>
                </c:pt>
                <c:pt idx="209">
                  <c:v>116.149</c:v>
                </c:pt>
                <c:pt idx="210">
                  <c:v>116.149</c:v>
                </c:pt>
                <c:pt idx="211">
                  <c:v>116.10599999999999</c:v>
                </c:pt>
                <c:pt idx="212">
                  <c:v>112.89100000000001</c:v>
                </c:pt>
                <c:pt idx="213">
                  <c:v>112.413</c:v>
                </c:pt>
                <c:pt idx="214">
                  <c:v>112.413</c:v>
                </c:pt>
                <c:pt idx="215">
                  <c:v>112.413</c:v>
                </c:pt>
                <c:pt idx="216">
                  <c:v>112.413</c:v>
                </c:pt>
                <c:pt idx="217">
                  <c:v>111.783</c:v>
                </c:pt>
                <c:pt idx="218">
                  <c:v>111.739</c:v>
                </c:pt>
                <c:pt idx="219">
                  <c:v>111.739</c:v>
                </c:pt>
                <c:pt idx="220">
                  <c:v>111.667</c:v>
                </c:pt>
                <c:pt idx="221">
                  <c:v>111.667</c:v>
                </c:pt>
                <c:pt idx="222">
                  <c:v>111.364</c:v>
                </c:pt>
                <c:pt idx="223">
                  <c:v>111.136</c:v>
                </c:pt>
                <c:pt idx="224">
                  <c:v>111.136</c:v>
                </c:pt>
                <c:pt idx="225">
                  <c:v>111.22199999999999</c:v>
                </c:pt>
                <c:pt idx="226">
                  <c:v>110.652</c:v>
                </c:pt>
                <c:pt idx="227">
                  <c:v>110.444</c:v>
                </c:pt>
                <c:pt idx="228">
                  <c:v>110.217</c:v>
                </c:pt>
                <c:pt idx="229">
                  <c:v>110.217</c:v>
                </c:pt>
                <c:pt idx="230">
                  <c:v>110.13</c:v>
                </c:pt>
                <c:pt idx="231">
                  <c:v>110.13</c:v>
                </c:pt>
                <c:pt idx="232">
                  <c:v>110.13</c:v>
                </c:pt>
                <c:pt idx="233">
                  <c:v>110.065</c:v>
                </c:pt>
                <c:pt idx="234">
                  <c:v>109.97799999999999</c:v>
                </c:pt>
                <c:pt idx="235">
                  <c:v>109.97799999999999</c:v>
                </c:pt>
                <c:pt idx="236">
                  <c:v>109.761</c:v>
                </c:pt>
                <c:pt idx="237">
                  <c:v>109.913</c:v>
                </c:pt>
                <c:pt idx="238">
                  <c:v>109.261</c:v>
                </c:pt>
                <c:pt idx="239">
                  <c:v>109.261</c:v>
                </c:pt>
                <c:pt idx="240">
                  <c:v>109.087</c:v>
                </c:pt>
                <c:pt idx="241">
                  <c:v>108.02200000000001</c:v>
                </c:pt>
                <c:pt idx="242">
                  <c:v>107.61799999999999</c:v>
                </c:pt>
                <c:pt idx="243">
                  <c:v>107.521</c:v>
                </c:pt>
                <c:pt idx="244">
                  <c:v>107.521</c:v>
                </c:pt>
                <c:pt idx="245">
                  <c:v>107.31399999999999</c:v>
                </c:pt>
                <c:pt idx="246">
                  <c:v>107.31399999999999</c:v>
                </c:pt>
                <c:pt idx="247">
                  <c:v>106.988</c:v>
                </c:pt>
                <c:pt idx="248">
                  <c:v>106.792</c:v>
                </c:pt>
                <c:pt idx="249">
                  <c:v>106.792</c:v>
                </c:pt>
                <c:pt idx="250">
                  <c:v>106.754</c:v>
                </c:pt>
                <c:pt idx="251">
                  <c:v>106.754</c:v>
                </c:pt>
                <c:pt idx="252">
                  <c:v>106.754</c:v>
                </c:pt>
                <c:pt idx="253">
                  <c:v>106.754</c:v>
                </c:pt>
                <c:pt idx="254">
                  <c:v>106.754</c:v>
                </c:pt>
                <c:pt idx="255">
                  <c:v>106.754</c:v>
                </c:pt>
                <c:pt idx="256">
                  <c:v>106.754</c:v>
                </c:pt>
                <c:pt idx="257">
                  <c:v>106.63500000000001</c:v>
                </c:pt>
                <c:pt idx="258">
                  <c:v>106.63500000000001</c:v>
                </c:pt>
                <c:pt idx="259">
                  <c:v>106.63500000000001</c:v>
                </c:pt>
                <c:pt idx="260">
                  <c:v>106.63500000000001</c:v>
                </c:pt>
                <c:pt idx="261">
                  <c:v>106.63500000000001</c:v>
                </c:pt>
                <c:pt idx="262">
                  <c:v>106.63500000000001</c:v>
                </c:pt>
                <c:pt idx="263">
                  <c:v>106.63500000000001</c:v>
                </c:pt>
                <c:pt idx="264">
                  <c:v>106.63500000000001</c:v>
                </c:pt>
                <c:pt idx="265">
                  <c:v>106.63500000000001</c:v>
                </c:pt>
                <c:pt idx="266">
                  <c:v>106.63500000000001</c:v>
                </c:pt>
                <c:pt idx="267">
                  <c:v>106.63500000000001</c:v>
                </c:pt>
                <c:pt idx="268">
                  <c:v>106.63500000000001</c:v>
                </c:pt>
                <c:pt idx="269">
                  <c:v>106.63500000000001</c:v>
                </c:pt>
                <c:pt idx="270">
                  <c:v>106.63500000000001</c:v>
                </c:pt>
                <c:pt idx="271">
                  <c:v>106.63500000000001</c:v>
                </c:pt>
                <c:pt idx="272">
                  <c:v>106.55</c:v>
                </c:pt>
                <c:pt idx="273">
                  <c:v>106.55</c:v>
                </c:pt>
                <c:pt idx="274">
                  <c:v>106.55</c:v>
                </c:pt>
                <c:pt idx="275">
                  <c:v>106.55</c:v>
                </c:pt>
                <c:pt idx="276">
                  <c:v>104.012</c:v>
                </c:pt>
                <c:pt idx="277">
                  <c:v>103.821</c:v>
                </c:pt>
                <c:pt idx="278">
                  <c:v>102.32899999999999</c:v>
                </c:pt>
                <c:pt idx="279">
                  <c:v>102.32899999999999</c:v>
                </c:pt>
                <c:pt idx="280">
                  <c:v>101.956</c:v>
                </c:pt>
                <c:pt idx="281">
                  <c:v>101.422</c:v>
                </c:pt>
                <c:pt idx="282">
                  <c:v>100.977</c:v>
                </c:pt>
                <c:pt idx="283">
                  <c:v>100.376</c:v>
                </c:pt>
                <c:pt idx="284">
                  <c:v>100.376</c:v>
                </c:pt>
                <c:pt idx="285">
                  <c:v>100.149</c:v>
                </c:pt>
                <c:pt idx="286">
                  <c:v>99.792000000000002</c:v>
                </c:pt>
                <c:pt idx="287">
                  <c:v>99.231999999999999</c:v>
                </c:pt>
                <c:pt idx="288">
                  <c:v>99.081999999999994</c:v>
                </c:pt>
                <c:pt idx="289">
                  <c:v>99.081999999999994</c:v>
                </c:pt>
                <c:pt idx="290">
                  <c:v>98.710999999999999</c:v>
                </c:pt>
                <c:pt idx="291">
                  <c:v>98.385000000000005</c:v>
                </c:pt>
                <c:pt idx="292">
                  <c:v>97.593999999999994</c:v>
                </c:pt>
                <c:pt idx="293">
                  <c:v>97.593999999999994</c:v>
                </c:pt>
                <c:pt idx="294">
                  <c:v>97.593999999999994</c:v>
                </c:pt>
                <c:pt idx="295">
                  <c:v>97.593999999999994</c:v>
                </c:pt>
                <c:pt idx="296">
                  <c:v>97.646000000000001</c:v>
                </c:pt>
                <c:pt idx="297">
                  <c:v>95.539000000000001</c:v>
                </c:pt>
                <c:pt idx="298">
                  <c:v>95.539000000000001</c:v>
                </c:pt>
                <c:pt idx="299">
                  <c:v>95.539000000000001</c:v>
                </c:pt>
                <c:pt idx="300">
                  <c:v>95.539000000000001</c:v>
                </c:pt>
                <c:pt idx="301">
                  <c:v>95.539000000000001</c:v>
                </c:pt>
                <c:pt idx="302">
                  <c:v>94.781999999999996</c:v>
                </c:pt>
                <c:pt idx="303">
                  <c:v>94.781999999999996</c:v>
                </c:pt>
                <c:pt idx="304">
                  <c:v>94.546000000000006</c:v>
                </c:pt>
                <c:pt idx="305">
                  <c:v>94.132999999999996</c:v>
                </c:pt>
                <c:pt idx="306">
                  <c:v>93.001999999999995</c:v>
                </c:pt>
                <c:pt idx="307">
                  <c:v>92.614000000000004</c:v>
                </c:pt>
                <c:pt idx="308">
                  <c:v>90.364000000000004</c:v>
                </c:pt>
                <c:pt idx="309">
                  <c:v>89.96</c:v>
                </c:pt>
                <c:pt idx="310">
                  <c:v>89.96</c:v>
                </c:pt>
                <c:pt idx="311">
                  <c:v>89.727000000000004</c:v>
                </c:pt>
                <c:pt idx="312">
                  <c:v>90.811999999999998</c:v>
                </c:pt>
                <c:pt idx="313">
                  <c:v>90.626000000000005</c:v>
                </c:pt>
                <c:pt idx="314">
                  <c:v>90.2</c:v>
                </c:pt>
                <c:pt idx="315">
                  <c:v>89.013999999999996</c:v>
                </c:pt>
                <c:pt idx="316">
                  <c:v>88.245999999999995</c:v>
                </c:pt>
                <c:pt idx="317">
                  <c:v>88.245999999999995</c:v>
                </c:pt>
                <c:pt idx="318">
                  <c:v>88.245999999999995</c:v>
                </c:pt>
                <c:pt idx="319">
                  <c:v>88.245999999999995</c:v>
                </c:pt>
                <c:pt idx="320">
                  <c:v>88.245999999999995</c:v>
                </c:pt>
                <c:pt idx="321">
                  <c:v>88.245999999999995</c:v>
                </c:pt>
                <c:pt idx="322">
                  <c:v>88.245999999999995</c:v>
                </c:pt>
                <c:pt idx="323">
                  <c:v>88.245999999999995</c:v>
                </c:pt>
                <c:pt idx="324">
                  <c:v>88.245999999999995</c:v>
                </c:pt>
                <c:pt idx="325">
                  <c:v>88.245999999999995</c:v>
                </c:pt>
                <c:pt idx="326">
                  <c:v>88.102999999999994</c:v>
                </c:pt>
                <c:pt idx="327">
                  <c:v>88.102999999999994</c:v>
                </c:pt>
                <c:pt idx="328">
                  <c:v>88.119</c:v>
                </c:pt>
                <c:pt idx="329">
                  <c:v>87.881</c:v>
                </c:pt>
                <c:pt idx="330">
                  <c:v>87.881</c:v>
                </c:pt>
                <c:pt idx="331">
                  <c:v>87.721999999999994</c:v>
                </c:pt>
                <c:pt idx="332">
                  <c:v>87.721999999999994</c:v>
                </c:pt>
                <c:pt idx="333">
                  <c:v>87.659000000000006</c:v>
                </c:pt>
                <c:pt idx="334">
                  <c:v>87.42</c:v>
                </c:pt>
                <c:pt idx="335">
                  <c:v>87.42</c:v>
                </c:pt>
                <c:pt idx="336">
                  <c:v>86.805000000000007</c:v>
                </c:pt>
                <c:pt idx="337">
                  <c:v>86.567999999999998</c:v>
                </c:pt>
                <c:pt idx="338">
                  <c:v>86.567999999999998</c:v>
                </c:pt>
                <c:pt idx="339">
                  <c:v>86.567999999999998</c:v>
                </c:pt>
                <c:pt idx="340">
                  <c:v>85.552999999999997</c:v>
                </c:pt>
                <c:pt idx="341">
                  <c:v>85.296000000000006</c:v>
                </c:pt>
                <c:pt idx="342">
                  <c:v>85.296000000000006</c:v>
                </c:pt>
                <c:pt idx="343">
                  <c:v>85.296000000000006</c:v>
                </c:pt>
                <c:pt idx="344">
                  <c:v>85.296000000000006</c:v>
                </c:pt>
                <c:pt idx="345">
                  <c:v>85.296000000000006</c:v>
                </c:pt>
                <c:pt idx="346">
                  <c:v>85.296000000000006</c:v>
                </c:pt>
                <c:pt idx="347">
                  <c:v>85.296000000000006</c:v>
                </c:pt>
                <c:pt idx="348">
                  <c:v>85.296000000000006</c:v>
                </c:pt>
                <c:pt idx="349">
                  <c:v>85.21</c:v>
                </c:pt>
                <c:pt idx="350">
                  <c:v>85.054000000000002</c:v>
                </c:pt>
                <c:pt idx="351">
                  <c:v>85.054000000000002</c:v>
                </c:pt>
                <c:pt idx="352">
                  <c:v>85.054000000000002</c:v>
                </c:pt>
                <c:pt idx="353">
                  <c:v>85.054000000000002</c:v>
                </c:pt>
                <c:pt idx="354">
                  <c:v>85.039000000000001</c:v>
                </c:pt>
                <c:pt idx="355">
                  <c:v>85.039000000000001</c:v>
                </c:pt>
                <c:pt idx="356">
                  <c:v>85.039000000000001</c:v>
                </c:pt>
                <c:pt idx="357">
                  <c:v>85.039000000000001</c:v>
                </c:pt>
                <c:pt idx="358">
                  <c:v>85.039000000000001</c:v>
                </c:pt>
                <c:pt idx="359">
                  <c:v>85.039000000000001</c:v>
                </c:pt>
                <c:pt idx="360">
                  <c:v>85.039000000000001</c:v>
                </c:pt>
                <c:pt idx="361">
                  <c:v>85.039000000000001</c:v>
                </c:pt>
                <c:pt idx="362">
                  <c:v>85.039000000000001</c:v>
                </c:pt>
                <c:pt idx="363">
                  <c:v>85.039000000000001</c:v>
                </c:pt>
                <c:pt idx="364">
                  <c:v>84.936000000000007</c:v>
                </c:pt>
                <c:pt idx="365">
                  <c:v>84.966999999999999</c:v>
                </c:pt>
                <c:pt idx="366">
                  <c:v>84.966999999999999</c:v>
                </c:pt>
                <c:pt idx="367">
                  <c:v>84.966999999999999</c:v>
                </c:pt>
                <c:pt idx="368">
                  <c:v>84.966999999999999</c:v>
                </c:pt>
                <c:pt idx="369">
                  <c:v>84.966999999999999</c:v>
                </c:pt>
                <c:pt idx="370">
                  <c:v>84.966999999999999</c:v>
                </c:pt>
                <c:pt idx="371">
                  <c:v>84.966999999999999</c:v>
                </c:pt>
                <c:pt idx="372">
                  <c:v>84.846999999999994</c:v>
                </c:pt>
                <c:pt idx="373">
                  <c:v>84.846999999999994</c:v>
                </c:pt>
                <c:pt idx="374">
                  <c:v>84.846999999999994</c:v>
                </c:pt>
                <c:pt idx="375">
                  <c:v>84.846999999999994</c:v>
                </c:pt>
                <c:pt idx="376">
                  <c:v>84.846999999999994</c:v>
                </c:pt>
                <c:pt idx="377">
                  <c:v>84.846999999999994</c:v>
                </c:pt>
                <c:pt idx="378">
                  <c:v>84.757999999999996</c:v>
                </c:pt>
                <c:pt idx="379">
                  <c:v>84.757999999999996</c:v>
                </c:pt>
                <c:pt idx="380">
                  <c:v>84.757999999999996</c:v>
                </c:pt>
                <c:pt idx="381">
                  <c:v>84.757999999999996</c:v>
                </c:pt>
                <c:pt idx="382">
                  <c:v>84.757999999999996</c:v>
                </c:pt>
                <c:pt idx="383">
                  <c:v>84.757999999999996</c:v>
                </c:pt>
                <c:pt idx="384">
                  <c:v>84.757999999999996</c:v>
                </c:pt>
                <c:pt idx="385">
                  <c:v>84.757999999999996</c:v>
                </c:pt>
                <c:pt idx="386">
                  <c:v>84.757999999999996</c:v>
                </c:pt>
                <c:pt idx="387">
                  <c:v>84.757999999999996</c:v>
                </c:pt>
                <c:pt idx="388">
                  <c:v>84.757999999999996</c:v>
                </c:pt>
                <c:pt idx="389">
                  <c:v>84.712999999999994</c:v>
                </c:pt>
                <c:pt idx="390">
                  <c:v>84.712999999999994</c:v>
                </c:pt>
              </c:numCache>
            </c:numRef>
          </c:val>
          <c:smooth val="0"/>
        </c:ser>
        <c:dLbls>
          <c:showLegendKey val="0"/>
          <c:showVal val="0"/>
          <c:showCatName val="0"/>
          <c:showSerName val="0"/>
          <c:showPercent val="0"/>
          <c:showBubbleSize val="0"/>
        </c:dLbls>
        <c:marker val="1"/>
        <c:smooth val="0"/>
        <c:axId val="204214656"/>
        <c:axId val="204216192"/>
      </c:lineChart>
      <c:catAx>
        <c:axId val="219280512"/>
        <c:scaling>
          <c:orientation val="minMax"/>
        </c:scaling>
        <c:delete val="0"/>
        <c:axPos val="b"/>
        <c:numFmt formatCode="mmm\-yy"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9282048"/>
        <c:crosses val="autoZero"/>
        <c:auto val="1"/>
        <c:lblAlgn val="ctr"/>
        <c:lblOffset val="100"/>
        <c:tickLblSkip val="1"/>
        <c:tickMarkSkip val="1"/>
        <c:noMultiLvlLbl val="0"/>
      </c:catAx>
      <c:valAx>
        <c:axId val="219282048"/>
        <c:scaling>
          <c:orientation val="minMax"/>
          <c:max val="1.03"/>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19280512"/>
        <c:crosses val="autoZero"/>
        <c:crossBetween val="between"/>
      </c:valAx>
      <c:dateAx>
        <c:axId val="204214656"/>
        <c:scaling>
          <c:orientation val="minMax"/>
        </c:scaling>
        <c:delete val="0"/>
        <c:axPos val="b"/>
        <c:numFmt formatCode="m/d/yyyy" sourceLinked="1"/>
        <c:majorTickMark val="none"/>
        <c:minorTickMark val="none"/>
        <c:tickLblPos val="none"/>
        <c:spPr>
          <a:ln w="9525">
            <a:noFill/>
          </a:ln>
        </c:spPr>
        <c:crossAx val="204216192"/>
        <c:crosses val="autoZero"/>
        <c:auto val="1"/>
        <c:lblOffset val="100"/>
        <c:baseTimeUnit val="days"/>
      </c:dateAx>
      <c:valAx>
        <c:axId val="204216192"/>
        <c:scaling>
          <c:orientation val="minMax"/>
        </c:scaling>
        <c:delete val="0"/>
        <c:axPos val="r"/>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4214656"/>
        <c:crosses val="max"/>
        <c:crossBetween val="between"/>
      </c:valAx>
      <c:spPr>
        <a:solidFill>
          <a:srgbClr val="EEEEEE"/>
        </a:solidFill>
        <a:ln w="12700">
          <a:solidFill>
            <a:srgbClr val="7D7D7D"/>
          </a:solidFill>
          <a:prstDash val="solid"/>
        </a:ln>
      </c:spPr>
    </c:plotArea>
    <c:legend>
      <c:legendPos val="b"/>
      <c:layout>
        <c:manualLayout>
          <c:xMode val="edge"/>
          <c:yMode val="edge"/>
          <c:x val="9.3732743778022695E-2"/>
          <c:y val="0.92523366397382145"/>
          <c:w val="0.8075427671035218"/>
          <c:h val="6.5420458806285553E-2"/>
        </c:manualLayout>
      </c:layout>
      <c:overlay val="0"/>
      <c:spPr>
        <a:noFill/>
        <a:ln w="25400">
          <a:noFill/>
        </a:ln>
      </c:spPr>
      <c:txPr>
        <a:bodyPr/>
        <a:lstStyle/>
        <a:p>
          <a:pPr>
            <a:defRPr sz="1050" b="0" i="0" u="none" strike="noStrike" baseline="0">
              <a:solidFill>
                <a:srgbClr val="000000"/>
              </a:solidFill>
              <a:latin typeface="+mn-lt"/>
              <a:ea typeface="Arial"/>
              <a:cs typeface="Arial"/>
            </a:defRPr>
          </a:pPr>
          <a:endParaRPr lang="en-US"/>
        </a:p>
      </c:txPr>
    </c:legend>
    <c:plotVisOnly val="1"/>
    <c:dispBlanksAs val="gap"/>
    <c:showDLblsOverMax val="0"/>
  </c:chart>
  <c:spPr>
    <a:noFill/>
    <a:ln w="9525">
      <a:solidFill>
        <a:schemeClr val="tx1"/>
      </a:solid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mn-lt"/>
                <a:ea typeface="Arial"/>
                <a:cs typeface="Arial"/>
              </a:defRPr>
            </a:pPr>
            <a:r>
              <a:rPr lang="en-US" sz="1050">
                <a:latin typeface="+mn-lt"/>
              </a:rPr>
              <a:t>Brokers' Target Price</a:t>
            </a:r>
          </a:p>
        </c:rich>
      </c:tx>
      <c:layout>
        <c:manualLayout>
          <c:xMode val="edge"/>
          <c:yMode val="edge"/>
          <c:x val="0.4013725382229319"/>
          <c:y val="2.0080444489893309E-2"/>
        </c:manualLayout>
      </c:layout>
      <c:overlay val="0"/>
      <c:spPr>
        <a:noFill/>
        <a:ln w="25400">
          <a:noFill/>
        </a:ln>
      </c:spPr>
    </c:title>
    <c:autoTitleDeleted val="0"/>
    <c:plotArea>
      <c:layout>
        <c:manualLayout>
          <c:layoutTarget val="inner"/>
          <c:xMode val="edge"/>
          <c:yMode val="edge"/>
          <c:x val="5.6603820992426189E-2"/>
          <c:y val="0.13253064025884892"/>
          <c:w val="0.92281380890682696"/>
          <c:h val="0.52209040101970783"/>
        </c:manualLayout>
      </c:layout>
      <c:barChart>
        <c:barDir val="col"/>
        <c:grouping val="clustered"/>
        <c:varyColors val="0"/>
        <c:ser>
          <c:idx val="0"/>
          <c:order val="0"/>
          <c:tx>
            <c:v>Brokers Target Price</c:v>
          </c:tx>
          <c:spPr>
            <a:solidFill>
              <a:schemeClr val="tx2">
                <a:lumMod val="40000"/>
                <a:lumOff val="60000"/>
              </a:schemeClr>
            </a:solidFill>
            <a:ln w="12700">
              <a:solidFill>
                <a:srgbClr val="000000"/>
              </a:solidFill>
              <a:prstDash val="solid"/>
            </a:ln>
          </c:spPr>
          <c:invertIfNegative val="0"/>
          <c:cat>
            <c:strRef>
              <c:f>[0]!Broker_Name</c:f>
              <c:strCache>
                <c:ptCount val="54"/>
                <c:pt idx="0">
                  <c:v>Brean Capital LLC</c:v>
                </c:pt>
                <c:pt idx="1">
                  <c:v>Cross Research</c:v>
                </c:pt>
                <c:pt idx="2">
                  <c:v>UBS</c:v>
                </c:pt>
                <c:pt idx="3">
                  <c:v>Piper Jaffray</c:v>
                </c:pt>
                <c:pt idx="4">
                  <c:v>Jefferies</c:v>
                </c:pt>
                <c:pt idx="5">
                  <c:v>Robert W. Baird &amp; Co</c:v>
                </c:pt>
                <c:pt idx="6">
                  <c:v>Bernstein</c:v>
                </c:pt>
                <c:pt idx="7">
                  <c:v>Oppenheimer &amp; Co</c:v>
                </c:pt>
                <c:pt idx="8">
                  <c:v>Cowen and Company</c:v>
                </c:pt>
                <c:pt idx="9">
                  <c:v>Stifel</c:v>
                </c:pt>
                <c:pt idx="10">
                  <c:v>Macquarie</c:v>
                </c:pt>
                <c:pt idx="11">
                  <c:v>Daiwa Securities Co. Ltd.</c:v>
                </c:pt>
                <c:pt idx="12">
                  <c:v>Nomura</c:v>
                </c:pt>
                <c:pt idx="13">
                  <c:v>BMO Capital Markets</c:v>
                </c:pt>
                <c:pt idx="14">
                  <c:v>Morgan Stanley</c:v>
                </c:pt>
                <c:pt idx="15">
                  <c:v>FBR Capital Markets</c:v>
                </c:pt>
                <c:pt idx="16">
                  <c:v>Independent Research GmbH</c:v>
                </c:pt>
                <c:pt idx="17">
                  <c:v>RBC Capital Markets</c:v>
                </c:pt>
                <c:pt idx="18">
                  <c:v>Edward Jones</c:v>
                </c:pt>
                <c:pt idx="19">
                  <c:v>Morningstar, Inc</c:v>
                </c:pt>
                <c:pt idx="20">
                  <c:v>Argus Research Corp</c:v>
                </c:pt>
                <c:pt idx="21">
                  <c:v>First Shanghai Securities Ltd</c:v>
                </c:pt>
                <c:pt idx="22">
                  <c:v>BGC Partners</c:v>
                </c:pt>
                <c:pt idx="23">
                  <c:v>Wells Fargo Securities</c:v>
                </c:pt>
                <c:pt idx="24">
                  <c:v>Raymond James</c:v>
                </c:pt>
                <c:pt idx="25">
                  <c:v>Exane BNP Paribas</c:v>
                </c:pt>
                <c:pt idx="26">
                  <c:v>Societe Generale</c:v>
                </c:pt>
                <c:pt idx="27">
                  <c:v>ABG Sundal Collier</c:v>
                </c:pt>
                <c:pt idx="28">
                  <c:v>Credit Suisse</c:v>
                </c:pt>
                <c:pt idx="29">
                  <c:v>Hilliard Lyons</c:v>
                </c:pt>
                <c:pt idx="30">
                  <c:v>JPMorgan</c:v>
                </c:pt>
                <c:pt idx="31">
                  <c:v>Cantor Fitzgerald</c:v>
                </c:pt>
                <c:pt idx="32">
                  <c:v>Berenberg</c:v>
                </c:pt>
                <c:pt idx="33">
                  <c:v>JMP Securities</c:v>
                </c:pt>
                <c:pt idx="34">
                  <c:v>Maxim Group LLC</c:v>
                </c:pt>
                <c:pt idx="35">
                  <c:v>Susquehanna Financial Group</c:v>
                </c:pt>
                <c:pt idx="36">
                  <c:v>Atlantic Equities LLP</c:v>
                </c:pt>
                <c:pt idx="37">
                  <c:v>FBN Securities</c:v>
                </c:pt>
                <c:pt idx="38">
                  <c:v>Tigress Financial Partners</c:v>
                </c:pt>
                <c:pt idx="39">
                  <c:v>Pacific Crest Securities</c:v>
                </c:pt>
                <c:pt idx="40">
                  <c:v>William Blair &amp; Co</c:v>
                </c:pt>
                <c:pt idx="41">
                  <c:v>Canaccord Genuity</c:v>
                </c:pt>
                <c:pt idx="42">
                  <c:v>Mizuho Securities USA Inc</c:v>
                </c:pt>
                <c:pt idx="43">
                  <c:v>BTIG LLC</c:v>
                </c:pt>
                <c:pt idx="44">
                  <c:v>ITG Investment Research</c:v>
                </c:pt>
                <c:pt idx="45">
                  <c:v>EVA Dimensions</c:v>
                </c:pt>
                <c:pt idx="46">
                  <c:v>Ameriprise Advisor Services, Inc</c:v>
                </c:pt>
                <c:pt idx="47">
                  <c:v>Goldman Sachs</c:v>
                </c:pt>
                <c:pt idx="48">
                  <c:v>Hamburger Sparkasse</c:v>
                </c:pt>
                <c:pt idx="49">
                  <c:v>CM Research</c:v>
                </c:pt>
                <c:pt idx="50">
                  <c:v>Monness, Crespi, Hardt &amp; Co</c:v>
                </c:pt>
                <c:pt idx="51">
                  <c:v>Accountability Research Corp</c:v>
                </c:pt>
                <c:pt idx="52">
                  <c:v>Scotia Capital</c:v>
                </c:pt>
                <c:pt idx="53">
                  <c:v>Erste Group</c:v>
                </c:pt>
              </c:strCache>
            </c:strRef>
          </c:cat>
          <c:val>
            <c:numRef>
              <c:f>[0]!Target_Price</c:f>
              <c:numCache>
                <c:formatCode>0.00</c:formatCode>
                <c:ptCount val="54"/>
                <c:pt idx="0">
                  <c:v>170</c:v>
                </c:pt>
                <c:pt idx="1">
                  <c:v>150</c:v>
                </c:pt>
                <c:pt idx="2">
                  <c:v>150</c:v>
                </c:pt>
                <c:pt idx="3">
                  <c:v>172</c:v>
                </c:pt>
                <c:pt idx="4">
                  <c:v>130</c:v>
                </c:pt>
                <c:pt idx="5">
                  <c:v>155</c:v>
                </c:pt>
                <c:pt idx="6">
                  <c:v>142</c:v>
                </c:pt>
                <c:pt idx="7">
                  <c:v>155</c:v>
                </c:pt>
                <c:pt idx="8">
                  <c:v>130</c:v>
                </c:pt>
                <c:pt idx="9">
                  <c:v>150</c:v>
                </c:pt>
                <c:pt idx="10">
                  <c:v>140</c:v>
                </c:pt>
                <c:pt idx="11">
                  <c:v>132</c:v>
                </c:pt>
                <c:pt idx="12">
                  <c:v>145</c:v>
                </c:pt>
                <c:pt idx="13">
                  <c:v>145</c:v>
                </c:pt>
                <c:pt idx="14">
                  <c:v>155</c:v>
                </c:pt>
                <c:pt idx="15">
                  <c:v>175</c:v>
                </c:pt>
                <c:pt idx="16">
                  <c:v>145</c:v>
                </c:pt>
                <c:pt idx="17">
                  <c:v>150</c:v>
                </c:pt>
                <c:pt idx="20">
                  <c:v>145</c:v>
                </c:pt>
                <c:pt idx="21">
                  <c:v>165</c:v>
                </c:pt>
                <c:pt idx="22">
                  <c:v>115</c:v>
                </c:pt>
                <c:pt idx="25">
                  <c:v>150</c:v>
                </c:pt>
                <c:pt idx="26">
                  <c:v>140</c:v>
                </c:pt>
                <c:pt idx="27">
                  <c:v>65</c:v>
                </c:pt>
                <c:pt idx="28">
                  <c:v>145</c:v>
                </c:pt>
                <c:pt idx="29">
                  <c:v>154</c:v>
                </c:pt>
                <c:pt idx="30">
                  <c:v>145</c:v>
                </c:pt>
                <c:pt idx="31">
                  <c:v>195</c:v>
                </c:pt>
                <c:pt idx="32">
                  <c:v>85</c:v>
                </c:pt>
                <c:pt idx="33">
                  <c:v>150</c:v>
                </c:pt>
                <c:pt idx="34">
                  <c:v>144</c:v>
                </c:pt>
                <c:pt idx="35">
                  <c:v>155</c:v>
                </c:pt>
                <c:pt idx="36">
                  <c:v>150</c:v>
                </c:pt>
                <c:pt idx="37">
                  <c:v>150</c:v>
                </c:pt>
                <c:pt idx="41">
                  <c:v>155</c:v>
                </c:pt>
                <c:pt idx="42">
                  <c:v>125</c:v>
                </c:pt>
                <c:pt idx="43">
                  <c:v>160</c:v>
                </c:pt>
                <c:pt idx="47">
                  <c:v>163</c:v>
                </c:pt>
                <c:pt idx="49">
                  <c:v>149</c:v>
                </c:pt>
                <c:pt idx="50">
                  <c:v>145</c:v>
                </c:pt>
                <c:pt idx="51">
                  <c:v>139</c:v>
                </c:pt>
              </c:numCache>
            </c:numRef>
          </c:val>
        </c:ser>
        <c:dLbls>
          <c:showLegendKey val="0"/>
          <c:showVal val="0"/>
          <c:showCatName val="0"/>
          <c:showSerName val="0"/>
          <c:showPercent val="0"/>
          <c:showBubbleSize val="0"/>
        </c:dLbls>
        <c:gapWidth val="150"/>
        <c:axId val="204228864"/>
        <c:axId val="204259328"/>
      </c:barChart>
      <c:catAx>
        <c:axId val="204228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50" b="0" i="0" u="none" strike="noStrike" baseline="0">
                <a:solidFill>
                  <a:srgbClr val="000000"/>
                </a:solidFill>
                <a:latin typeface="+mn-lt"/>
                <a:ea typeface="Arial"/>
                <a:cs typeface="Arial"/>
              </a:defRPr>
            </a:pPr>
            <a:endParaRPr lang="en-US"/>
          </a:p>
        </c:txPr>
        <c:crossAx val="204259328"/>
        <c:crosses val="autoZero"/>
        <c:auto val="1"/>
        <c:lblAlgn val="ctr"/>
        <c:lblOffset val="100"/>
        <c:tickLblSkip val="1"/>
        <c:tickMarkSkip val="1"/>
        <c:noMultiLvlLbl val="0"/>
      </c:catAx>
      <c:valAx>
        <c:axId val="204259328"/>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4228864"/>
        <c:crosses val="autoZero"/>
        <c:crossBetween val="between"/>
      </c:valAx>
      <c:spPr>
        <a:noFill/>
        <a:ln w="3175">
          <a:solidFill>
            <a:srgbClr val="E0E0E0"/>
          </a:solidFill>
          <a:prstDash val="sysDash"/>
        </a:ln>
      </c:spPr>
    </c:plotArea>
    <c:plotVisOnly val="1"/>
    <c:dispBlanksAs val="gap"/>
    <c:showDLblsOverMax val="0"/>
  </c:chart>
  <c:spPr>
    <a:noFill/>
    <a:ln w="9525">
      <a:solidFill>
        <a:schemeClr val="tx1"/>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DataH!$T$3</c:f>
          <c:strCache>
            <c:ptCount val="1"/>
            <c:pt idx="0">
              <c:v>Price Earnings Ratio (Rolling FY1, FY2, FY3)</c:v>
            </c:pt>
          </c:strCache>
        </c:strRef>
      </c:tx>
      <c:layout>
        <c:manualLayout>
          <c:xMode val="edge"/>
          <c:yMode val="edge"/>
          <c:x val="0.2202022917866974"/>
          <c:y val="3.594750656167979E-2"/>
        </c:manualLayout>
      </c:layout>
      <c:overlay val="0"/>
      <c:spPr>
        <a:noFill/>
        <a:ln w="25400">
          <a:noFill/>
        </a:ln>
      </c:spPr>
      <c:txPr>
        <a:bodyPr/>
        <a:lstStyle/>
        <a:p>
          <a:pPr>
            <a:defRPr sz="1050" b="1" i="0" u="none" strike="noStrike" baseline="0">
              <a:solidFill>
                <a:srgbClr val="000000"/>
              </a:solidFill>
              <a:latin typeface="+mn-lt"/>
              <a:ea typeface="Arial"/>
              <a:cs typeface="Arial"/>
            </a:defRPr>
          </a:pPr>
          <a:endParaRPr lang="en-US"/>
        </a:p>
      </c:txPr>
    </c:title>
    <c:autoTitleDeleted val="0"/>
    <c:plotArea>
      <c:layout>
        <c:manualLayout>
          <c:layoutTarget val="inner"/>
          <c:xMode val="edge"/>
          <c:yMode val="edge"/>
          <c:x val="6.8687004196267748E-2"/>
          <c:y val="0.11111146571010043"/>
          <c:w val="0.87272899449375496"/>
          <c:h val="0.70915258997328801"/>
        </c:manualLayout>
      </c:layout>
      <c:lineChart>
        <c:grouping val="standard"/>
        <c:varyColors val="0"/>
        <c:ser>
          <c:idx val="0"/>
          <c:order val="0"/>
          <c:tx>
            <c:strRef>
              <c:f>'VAL Graphs'!$C$9</c:f>
              <c:strCache>
                <c:ptCount val="1"/>
                <c:pt idx="0">
                  <c:v>P/E FY1</c:v>
                </c:pt>
              </c:strCache>
            </c:strRef>
          </c:tx>
          <c:spPr>
            <a:ln w="12700">
              <a:solidFill>
                <a:srgbClr val="00AEEF"/>
              </a:solidFill>
              <a:prstDash val="solid"/>
            </a:ln>
          </c:spPr>
          <c:marker>
            <c:symbol val="dash"/>
            <c:size val="3"/>
            <c:spPr>
              <a:noFill/>
              <a:ln w="9525">
                <a:noFill/>
              </a:ln>
            </c:spPr>
          </c:marker>
          <c:cat>
            <c:numRef>
              <c:f>[0]!Chart_Date_VAL1_Size</c:f>
              <c:numCache>
                <c:formatCode>m/d/yyyy</c:formatCode>
                <c:ptCount val="14"/>
                <c:pt idx="0">
                  <c:v>42104</c:v>
                </c:pt>
                <c:pt idx="1">
                  <c:v>42097</c:v>
                </c:pt>
                <c:pt idx="2">
                  <c:v>42090</c:v>
                </c:pt>
                <c:pt idx="3">
                  <c:v>42083</c:v>
                </c:pt>
                <c:pt idx="4">
                  <c:v>42076</c:v>
                </c:pt>
                <c:pt idx="5">
                  <c:v>42069</c:v>
                </c:pt>
                <c:pt idx="6">
                  <c:v>42062</c:v>
                </c:pt>
                <c:pt idx="7">
                  <c:v>42055</c:v>
                </c:pt>
                <c:pt idx="8">
                  <c:v>42048</c:v>
                </c:pt>
                <c:pt idx="9">
                  <c:v>42041</c:v>
                </c:pt>
                <c:pt idx="10">
                  <c:v>42034</c:v>
                </c:pt>
                <c:pt idx="11">
                  <c:v>42027</c:v>
                </c:pt>
                <c:pt idx="12">
                  <c:v>42020</c:v>
                </c:pt>
                <c:pt idx="13">
                  <c:v>42013</c:v>
                </c:pt>
              </c:numCache>
            </c:numRef>
          </c:cat>
          <c:val>
            <c:numRef>
              <c:f>[0]!Chart_VAL1_FY1_Size</c:f>
              <c:numCache>
                <c:formatCode>#,##0.00\x</c:formatCode>
                <c:ptCount val="14"/>
                <c:pt idx="0">
                  <c:v>#N/A</c:v>
                </c:pt>
                <c:pt idx="1">
                  <c:v>14.518072289156626</c:v>
                </c:pt>
                <c:pt idx="2">
                  <c:v>14.289855072463768</c:v>
                </c:pt>
                <c:pt idx="3">
                  <c:v>14.632728963272898</c:v>
                </c:pt>
                <c:pt idx="4">
                  <c:v>14.364249186424921</c:v>
                </c:pt>
                <c:pt idx="5">
                  <c:v>14.753525230159655</c:v>
                </c:pt>
                <c:pt idx="6">
                  <c:v>14.984252886970722</c:v>
                </c:pt>
                <c:pt idx="7">
                  <c:v>15.106742883807748</c:v>
                </c:pt>
                <c:pt idx="8">
                  <c:v>14.838860345632881</c:v>
                </c:pt>
                <c:pt idx="9">
                  <c:v>13.896938537041367</c:v>
                </c:pt>
                <c:pt idx="10">
                  <c:v>13.743108504398826</c:v>
                </c:pt>
                <c:pt idx="11">
                  <c:v>14.501347708894878</c:v>
                </c:pt>
                <c:pt idx="12">
                  <c:v>13.6304012345679</c:v>
                </c:pt>
                <c:pt idx="13">
                  <c:v>14.376845077653703</c:v>
                </c:pt>
              </c:numCache>
            </c:numRef>
          </c:val>
          <c:smooth val="0"/>
        </c:ser>
        <c:ser>
          <c:idx val="1"/>
          <c:order val="1"/>
          <c:tx>
            <c:strRef>
              <c:f>'VAL Graphs'!$D$9</c:f>
              <c:strCache>
                <c:ptCount val="1"/>
                <c:pt idx="0">
                  <c:v>P/E FY2</c:v>
                </c:pt>
              </c:strCache>
            </c:strRef>
          </c:tx>
          <c:spPr>
            <a:ln w="12700">
              <a:solidFill>
                <a:srgbClr val="FF93FF"/>
              </a:solidFill>
              <a:prstDash val="solid"/>
            </a:ln>
          </c:spPr>
          <c:marker>
            <c:symbol val="none"/>
          </c:marker>
          <c:cat>
            <c:numRef>
              <c:f>[0]!Chart_Date_VAL1_Size</c:f>
              <c:numCache>
                <c:formatCode>m/d/yyyy</c:formatCode>
                <c:ptCount val="14"/>
                <c:pt idx="0">
                  <c:v>42104</c:v>
                </c:pt>
                <c:pt idx="1">
                  <c:v>42097</c:v>
                </c:pt>
                <c:pt idx="2">
                  <c:v>42090</c:v>
                </c:pt>
                <c:pt idx="3">
                  <c:v>42083</c:v>
                </c:pt>
                <c:pt idx="4">
                  <c:v>42076</c:v>
                </c:pt>
                <c:pt idx="5">
                  <c:v>42069</c:v>
                </c:pt>
                <c:pt idx="6">
                  <c:v>42062</c:v>
                </c:pt>
                <c:pt idx="7">
                  <c:v>42055</c:v>
                </c:pt>
                <c:pt idx="8">
                  <c:v>42048</c:v>
                </c:pt>
                <c:pt idx="9">
                  <c:v>42041</c:v>
                </c:pt>
                <c:pt idx="10">
                  <c:v>42034</c:v>
                </c:pt>
                <c:pt idx="11">
                  <c:v>42027</c:v>
                </c:pt>
                <c:pt idx="12">
                  <c:v>42020</c:v>
                </c:pt>
                <c:pt idx="13">
                  <c:v>42013</c:v>
                </c:pt>
              </c:numCache>
            </c:numRef>
          </c:cat>
          <c:val>
            <c:numRef>
              <c:f>[0]!Chart_VAL1_FY2_Size</c:f>
              <c:numCache>
                <c:formatCode>#,##0.00\x</c:formatCode>
                <c:ptCount val="14"/>
                <c:pt idx="0">
                  <c:v>#N/A</c:v>
                </c:pt>
                <c:pt idx="1">
                  <c:v>13.347534348705933</c:v>
                </c:pt>
                <c:pt idx="2">
                  <c:v>13.143862642636236</c:v>
                </c:pt>
                <c:pt idx="3">
                  <c:v>13.4796573875803</c:v>
                </c:pt>
                <c:pt idx="4">
                  <c:v>13.247936541965911</c:v>
                </c:pt>
                <c:pt idx="5">
                  <c:v>13.682049065168053</c:v>
                </c:pt>
                <c:pt idx="6">
                  <c:v>13.907112698928223</c:v>
                </c:pt>
                <c:pt idx="7">
                  <c:v>14.035876869716018</c:v>
                </c:pt>
                <c:pt idx="8">
                  <c:v>13.808540693252201</c:v>
                </c:pt>
                <c:pt idx="9">
                  <c:v>12.956749101209283</c:v>
                </c:pt>
                <c:pt idx="10">
                  <c:v>12.836638544976442</c:v>
                </c:pt>
                <c:pt idx="11">
                  <c:v>13.08699177574424</c:v>
                </c:pt>
                <c:pt idx="12">
                  <c:v>12.257430322655255</c:v>
                </c:pt>
                <c:pt idx="13">
                  <c:v>13.000232126276696</c:v>
                </c:pt>
              </c:numCache>
            </c:numRef>
          </c:val>
          <c:smooth val="0"/>
        </c:ser>
        <c:ser>
          <c:idx val="2"/>
          <c:order val="2"/>
          <c:tx>
            <c:strRef>
              <c:f>'VAL Graphs'!$E$9</c:f>
              <c:strCache>
                <c:ptCount val="1"/>
                <c:pt idx="0">
                  <c:v>P/E FY3</c:v>
                </c:pt>
              </c:strCache>
            </c:strRef>
          </c:tx>
          <c:spPr>
            <a:ln w="12700">
              <a:solidFill>
                <a:srgbClr val="FF0000"/>
              </a:solidFill>
              <a:prstDash val="solid"/>
            </a:ln>
          </c:spPr>
          <c:marker>
            <c:symbol val="none"/>
          </c:marker>
          <c:cat>
            <c:numRef>
              <c:f>[0]!Chart_Date_VAL1_Size</c:f>
              <c:numCache>
                <c:formatCode>m/d/yyyy</c:formatCode>
                <c:ptCount val="14"/>
                <c:pt idx="0">
                  <c:v>42104</c:v>
                </c:pt>
                <c:pt idx="1">
                  <c:v>42097</c:v>
                </c:pt>
                <c:pt idx="2">
                  <c:v>42090</c:v>
                </c:pt>
                <c:pt idx="3">
                  <c:v>42083</c:v>
                </c:pt>
                <c:pt idx="4">
                  <c:v>42076</c:v>
                </c:pt>
                <c:pt idx="5">
                  <c:v>42069</c:v>
                </c:pt>
                <c:pt idx="6">
                  <c:v>42062</c:v>
                </c:pt>
                <c:pt idx="7">
                  <c:v>42055</c:v>
                </c:pt>
                <c:pt idx="8">
                  <c:v>42048</c:v>
                </c:pt>
                <c:pt idx="9">
                  <c:v>42041</c:v>
                </c:pt>
                <c:pt idx="10">
                  <c:v>42034</c:v>
                </c:pt>
                <c:pt idx="11">
                  <c:v>42027</c:v>
                </c:pt>
                <c:pt idx="12">
                  <c:v>42020</c:v>
                </c:pt>
                <c:pt idx="13">
                  <c:v>42013</c:v>
                </c:pt>
              </c:numCache>
            </c:numRef>
          </c:cat>
          <c:val>
            <c:numRef>
              <c:f>[0]!Chart_VAL1_FY3_Size</c:f>
              <c:numCache>
                <c:formatCode>#,##0.00\x</c:formatCode>
                <c:ptCount val="13"/>
                <c:pt idx="0">
                  <c:v>#N/A</c:v>
                </c:pt>
                <c:pt idx="1">
                  <c:v>12.239476511378063</c:v>
                </c:pt>
                <c:pt idx="2">
                  <c:v>12.126131444313263</c:v>
                </c:pt>
                <c:pt idx="3">
                  <c:v>12.386855568673752</c:v>
                </c:pt>
                <c:pt idx="4">
                  <c:v>12.183556782334385</c:v>
                </c:pt>
                <c:pt idx="5">
                  <c:v>12.642300778909528</c:v>
                </c:pt>
                <c:pt idx="6">
                  <c:v>12.828040742959859</c:v>
                </c:pt>
                <c:pt idx="7">
                  <c:v>12.997591087021982</c:v>
                </c:pt>
                <c:pt idx="8">
                  <c:v>12.81694402420575</c:v>
                </c:pt>
                <c:pt idx="9">
                  <c:v>11.994957135653053</c:v>
                </c:pt>
                <c:pt idx="10">
                  <c:v>11.93683138053999</c:v>
                </c:pt>
                <c:pt idx="11">
                  <c:v>12.016592214422465</c:v>
                </c:pt>
                <c:pt idx="12">
                  <c:v>11.275531914893616</c:v>
                </c:pt>
              </c:numCache>
            </c:numRef>
          </c:val>
          <c:smooth val="0"/>
        </c:ser>
        <c:dLbls>
          <c:showLegendKey val="0"/>
          <c:showVal val="0"/>
          <c:showCatName val="0"/>
          <c:showSerName val="0"/>
          <c:showPercent val="0"/>
          <c:showBubbleSize val="0"/>
        </c:dLbls>
        <c:marker val="1"/>
        <c:smooth val="0"/>
        <c:axId val="220524928"/>
        <c:axId val="220526464"/>
      </c:lineChart>
      <c:dateAx>
        <c:axId val="220524928"/>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a:defRPr sz="625" b="0" i="0" u="none" strike="noStrike" baseline="0">
                <a:solidFill>
                  <a:srgbClr val="000000"/>
                </a:solidFill>
                <a:latin typeface="Arial"/>
                <a:ea typeface="Arial"/>
                <a:cs typeface="Arial"/>
              </a:defRPr>
            </a:pPr>
            <a:endParaRPr lang="en-US"/>
          </a:p>
        </c:txPr>
        <c:crossAx val="220526464"/>
        <c:crosses val="autoZero"/>
        <c:auto val="1"/>
        <c:lblOffset val="100"/>
        <c:baseTimeUnit val="days"/>
        <c:majorUnit val="1"/>
        <c:majorTimeUnit val="months"/>
        <c:minorUnit val="1"/>
        <c:minorTimeUnit val="months"/>
      </c:dateAx>
      <c:valAx>
        <c:axId val="220526464"/>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625" b="0" i="0" u="none" strike="noStrike" baseline="0">
                <a:solidFill>
                  <a:srgbClr val="000000"/>
                </a:solidFill>
                <a:latin typeface="Arial"/>
                <a:ea typeface="Arial"/>
                <a:cs typeface="Arial"/>
              </a:defRPr>
            </a:pPr>
            <a:endParaRPr lang="en-US"/>
          </a:p>
        </c:txPr>
        <c:crossAx val="220524928"/>
        <c:crosses val="autoZero"/>
        <c:crossBetween val="between"/>
      </c:valAx>
      <c:spPr>
        <a:noFill/>
        <a:ln w="3175">
          <a:solidFill>
            <a:srgbClr val="E0E0E0"/>
          </a:solidFill>
          <a:prstDash val="sysDash"/>
        </a:ln>
      </c:spPr>
    </c:plotArea>
    <c:legend>
      <c:legendPos val="b"/>
      <c:layout/>
      <c:overlay val="0"/>
      <c:spPr>
        <a:solidFill>
          <a:srgbClr val="FFFFFF"/>
        </a:solidFill>
        <a:ln w="25400">
          <a:noFill/>
        </a:ln>
      </c:spPr>
      <c:txPr>
        <a:bodyPr/>
        <a:lstStyle/>
        <a:p>
          <a:pPr>
            <a:defRPr sz="105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DataH!$T$22</c:f>
          <c:strCache>
            <c:ptCount val="1"/>
            <c:pt idx="0">
              <c:v>EV EBITDA Ratio (Rolling FY1, FY2, FY3)</c:v>
            </c:pt>
          </c:strCache>
        </c:strRef>
      </c:tx>
      <c:layout>
        <c:manualLayout>
          <c:xMode val="edge"/>
          <c:yMode val="edge"/>
          <c:x val="0.24547289164611999"/>
          <c:y val="3.4810216030688471E-2"/>
        </c:manualLayout>
      </c:layout>
      <c:overlay val="0"/>
      <c:spPr>
        <a:noFill/>
        <a:ln w="25400">
          <a:noFill/>
        </a:ln>
      </c:spPr>
      <c:txPr>
        <a:bodyPr/>
        <a:lstStyle/>
        <a:p>
          <a:pPr>
            <a:defRPr sz="1050" b="1" i="0" u="none" strike="noStrike" baseline="0">
              <a:solidFill>
                <a:srgbClr val="000000"/>
              </a:solidFill>
              <a:latin typeface="+mn-lt"/>
              <a:ea typeface="Arial"/>
              <a:cs typeface="Arial"/>
            </a:defRPr>
          </a:pPr>
          <a:endParaRPr lang="en-US"/>
        </a:p>
      </c:txPr>
    </c:title>
    <c:autoTitleDeleted val="0"/>
    <c:plotArea>
      <c:layout>
        <c:manualLayout>
          <c:layoutTarget val="inner"/>
          <c:xMode val="edge"/>
          <c:yMode val="edge"/>
          <c:x val="7.847082494969819E-2"/>
          <c:y val="0.11392422666792343"/>
          <c:w val="0.86519114688128773"/>
          <c:h val="0.71202641667452138"/>
        </c:manualLayout>
      </c:layout>
      <c:lineChart>
        <c:grouping val="standard"/>
        <c:varyColors val="0"/>
        <c:ser>
          <c:idx val="0"/>
          <c:order val="0"/>
          <c:tx>
            <c:strRef>
              <c:f>'VAL Graphs'!$G$9</c:f>
              <c:strCache>
                <c:ptCount val="1"/>
                <c:pt idx="0">
                  <c:v>EV/EBITDA FY1</c:v>
                </c:pt>
              </c:strCache>
            </c:strRef>
          </c:tx>
          <c:spPr>
            <a:ln w="12700">
              <a:solidFill>
                <a:srgbClr val="00AEEF"/>
              </a:solidFill>
              <a:prstDash val="solid"/>
            </a:ln>
          </c:spPr>
          <c:marker>
            <c:symbol val="none"/>
          </c:marker>
          <c:cat>
            <c:numRef>
              <c:f>[0]!Chart_Date_VAL2_Size</c:f>
              <c:numCache>
                <c:formatCode>m/d/yyyy</c:formatCode>
                <c:ptCount val="14"/>
                <c:pt idx="0">
                  <c:v>42104</c:v>
                </c:pt>
                <c:pt idx="1">
                  <c:v>42097</c:v>
                </c:pt>
                <c:pt idx="2">
                  <c:v>42090</c:v>
                </c:pt>
                <c:pt idx="3">
                  <c:v>42083</c:v>
                </c:pt>
                <c:pt idx="4">
                  <c:v>42076</c:v>
                </c:pt>
                <c:pt idx="5">
                  <c:v>42069</c:v>
                </c:pt>
                <c:pt idx="6">
                  <c:v>42062</c:v>
                </c:pt>
                <c:pt idx="7">
                  <c:v>42055</c:v>
                </c:pt>
                <c:pt idx="8">
                  <c:v>42048</c:v>
                </c:pt>
                <c:pt idx="9">
                  <c:v>42041</c:v>
                </c:pt>
                <c:pt idx="10">
                  <c:v>42034</c:v>
                </c:pt>
                <c:pt idx="11">
                  <c:v>42027</c:v>
                </c:pt>
                <c:pt idx="12">
                  <c:v>42020</c:v>
                </c:pt>
                <c:pt idx="13">
                  <c:v>42013</c:v>
                </c:pt>
              </c:numCache>
            </c:numRef>
          </c:cat>
          <c:val>
            <c:numRef>
              <c:f>[0]!Chart_VAL2_FY1_Size</c:f>
              <c:numCache>
                <c:formatCode>#,##0.00\x</c:formatCode>
                <c:ptCount val="14"/>
                <c:pt idx="0">
                  <c:v>#N/A</c:v>
                </c:pt>
                <c:pt idx="1">
                  <c:v>7.5550280187544656</c:v>
                </c:pt>
                <c:pt idx="2">
                  <c:v>7.4070305030616472</c:v>
                </c:pt>
                <c:pt idx="3">
                  <c:v>7.7279760793910306</c:v>
                </c:pt>
                <c:pt idx="4">
                  <c:v>7.5522679574037639</c:v>
                </c:pt>
                <c:pt idx="5">
                  <c:v>7.7679551428471463</c:v>
                </c:pt>
                <c:pt idx="6">
                  <c:v>7.9158158316333838</c:v>
                </c:pt>
                <c:pt idx="7">
                  <c:v>7.9972420216735003</c:v>
                </c:pt>
                <c:pt idx="8">
                  <c:v>7.8260568560288872</c:v>
                </c:pt>
                <c:pt idx="9">
                  <c:v>7.2126677874952643</c:v>
                </c:pt>
                <c:pt idx="10">
                  <c:v>7.1156811212053821</c:v>
                </c:pt>
                <c:pt idx="11">
                  <c:v>7.3367788371568237</c:v>
                </c:pt>
                <c:pt idx="12">
                  <c:v>6.8365901821405526</c:v>
                </c:pt>
                <c:pt idx="13">
                  <c:v>7.408235383155807</c:v>
                </c:pt>
              </c:numCache>
            </c:numRef>
          </c:val>
          <c:smooth val="0"/>
        </c:ser>
        <c:ser>
          <c:idx val="1"/>
          <c:order val="1"/>
          <c:tx>
            <c:strRef>
              <c:f>'VAL Graphs'!$H$9</c:f>
              <c:strCache>
                <c:ptCount val="1"/>
                <c:pt idx="0">
                  <c:v>EV/EBITDA FY2</c:v>
                </c:pt>
              </c:strCache>
            </c:strRef>
          </c:tx>
          <c:spPr>
            <a:ln w="12700">
              <a:solidFill>
                <a:srgbClr val="00FF00"/>
              </a:solidFill>
              <a:prstDash val="solid"/>
            </a:ln>
          </c:spPr>
          <c:marker>
            <c:symbol val="none"/>
          </c:marker>
          <c:cat>
            <c:numRef>
              <c:f>[0]!Chart_Date_VAL2_Size</c:f>
              <c:numCache>
                <c:formatCode>m/d/yyyy</c:formatCode>
                <c:ptCount val="14"/>
                <c:pt idx="0">
                  <c:v>42104</c:v>
                </c:pt>
                <c:pt idx="1">
                  <c:v>42097</c:v>
                </c:pt>
                <c:pt idx="2">
                  <c:v>42090</c:v>
                </c:pt>
                <c:pt idx="3">
                  <c:v>42083</c:v>
                </c:pt>
                <c:pt idx="4">
                  <c:v>42076</c:v>
                </c:pt>
                <c:pt idx="5">
                  <c:v>42069</c:v>
                </c:pt>
                <c:pt idx="6">
                  <c:v>42062</c:v>
                </c:pt>
                <c:pt idx="7">
                  <c:v>42055</c:v>
                </c:pt>
                <c:pt idx="8">
                  <c:v>42048</c:v>
                </c:pt>
                <c:pt idx="9">
                  <c:v>42041</c:v>
                </c:pt>
                <c:pt idx="10">
                  <c:v>42034</c:v>
                </c:pt>
                <c:pt idx="11">
                  <c:v>42027</c:v>
                </c:pt>
                <c:pt idx="12">
                  <c:v>42020</c:v>
                </c:pt>
                <c:pt idx="13">
                  <c:v>42013</c:v>
                </c:pt>
              </c:numCache>
            </c:numRef>
          </c:cat>
          <c:val>
            <c:numRef>
              <c:f>[0]!Chart_VAL2_FY2_Size</c:f>
              <c:numCache>
                <c:formatCode>#,##0.00\x</c:formatCode>
                <c:ptCount val="14"/>
                <c:pt idx="0">
                  <c:v>#N/A</c:v>
                </c:pt>
                <c:pt idx="1">
                  <c:v>7.0352128847780264</c:v>
                </c:pt>
                <c:pt idx="2">
                  <c:v>6.8884822616721406</c:v>
                </c:pt>
                <c:pt idx="3">
                  <c:v>7.1997594194912597</c:v>
                </c:pt>
                <c:pt idx="4">
                  <c:v>7.049193453343114</c:v>
                </c:pt>
                <c:pt idx="5">
                  <c:v>7.2803604704013694</c:v>
                </c:pt>
                <c:pt idx="6">
                  <c:v>7.4129727685126552</c:v>
                </c:pt>
                <c:pt idx="7">
                  <c:v>7.510889028384458</c:v>
                </c:pt>
                <c:pt idx="8">
                  <c:v>7.3550079562529485</c:v>
                </c:pt>
                <c:pt idx="9">
                  <c:v>6.8072481442683106</c:v>
                </c:pt>
                <c:pt idx="10">
                  <c:v>6.7191464764181248</c:v>
                </c:pt>
                <c:pt idx="11">
                  <c:v>6.8339463436389032</c:v>
                </c:pt>
                <c:pt idx="12">
                  <c:v>6.321866246875544</c:v>
                </c:pt>
                <c:pt idx="13">
                  <c:v>6.8612965391963447</c:v>
                </c:pt>
              </c:numCache>
            </c:numRef>
          </c:val>
          <c:smooth val="0"/>
        </c:ser>
        <c:ser>
          <c:idx val="2"/>
          <c:order val="2"/>
          <c:tx>
            <c:strRef>
              <c:f>'VAL Graphs'!$I$9</c:f>
              <c:strCache>
                <c:ptCount val="1"/>
                <c:pt idx="0">
                  <c:v>EV/EBITDA FY3</c:v>
                </c:pt>
              </c:strCache>
            </c:strRef>
          </c:tx>
          <c:spPr>
            <a:ln w="12700">
              <a:solidFill>
                <a:srgbClr val="FFCC00"/>
              </a:solidFill>
              <a:prstDash val="solid"/>
            </a:ln>
          </c:spPr>
          <c:marker>
            <c:symbol val="none"/>
          </c:marker>
          <c:cat>
            <c:numRef>
              <c:f>[0]!Chart_Date_VAL2_Size</c:f>
              <c:numCache>
                <c:formatCode>m/d/yyyy</c:formatCode>
                <c:ptCount val="14"/>
                <c:pt idx="0">
                  <c:v>42104</c:v>
                </c:pt>
                <c:pt idx="1">
                  <c:v>42097</c:v>
                </c:pt>
                <c:pt idx="2">
                  <c:v>42090</c:v>
                </c:pt>
                <c:pt idx="3">
                  <c:v>42083</c:v>
                </c:pt>
                <c:pt idx="4">
                  <c:v>42076</c:v>
                </c:pt>
                <c:pt idx="5">
                  <c:v>42069</c:v>
                </c:pt>
                <c:pt idx="6">
                  <c:v>42062</c:v>
                </c:pt>
                <c:pt idx="7">
                  <c:v>42055</c:v>
                </c:pt>
                <c:pt idx="8">
                  <c:v>42048</c:v>
                </c:pt>
                <c:pt idx="9">
                  <c:v>42041</c:v>
                </c:pt>
                <c:pt idx="10">
                  <c:v>42034</c:v>
                </c:pt>
                <c:pt idx="11">
                  <c:v>42027</c:v>
                </c:pt>
                <c:pt idx="12">
                  <c:v>42020</c:v>
                </c:pt>
                <c:pt idx="13">
                  <c:v>42013</c:v>
                </c:pt>
              </c:numCache>
            </c:numRef>
          </c:cat>
          <c:val>
            <c:numRef>
              <c:f>[0]!Chart_VAL2_FY3_Size</c:f>
              <c:numCache>
                <c:formatCode>#,##0.00\x</c:formatCode>
                <c:ptCount val="12"/>
                <c:pt idx="0">
                  <c:v>#N/A</c:v>
                </c:pt>
                <c:pt idx="1">
                  <c:v>6.6727315139660766</c:v>
                </c:pt>
                <c:pt idx="2">
                  <c:v>6.5359421575438583</c:v>
                </c:pt>
                <c:pt idx="3">
                  <c:v>6.8068380703384879</c:v>
                </c:pt>
                <c:pt idx="4">
                  <c:v>6.6721345286358043</c:v>
                </c:pt>
                <c:pt idx="5">
                  <c:v>6.6775784910155158</c:v>
                </c:pt>
                <c:pt idx="6">
                  <c:v>6.7991858540027481</c:v>
                </c:pt>
                <c:pt idx="7">
                  <c:v>6.9194837781830705</c:v>
                </c:pt>
                <c:pt idx="8">
                  <c:v>6.7979666158041079</c:v>
                </c:pt>
                <c:pt idx="9">
                  <c:v>6.2589083261770906</c:v>
                </c:pt>
                <c:pt idx="10">
                  <c:v>6.2073987329859763</c:v>
                </c:pt>
                <c:pt idx="11">
                  <c:v>6.1911228372084723</c:v>
                </c:pt>
              </c:numCache>
            </c:numRef>
          </c:val>
          <c:smooth val="0"/>
        </c:ser>
        <c:dLbls>
          <c:showLegendKey val="0"/>
          <c:showVal val="0"/>
          <c:showCatName val="0"/>
          <c:showSerName val="0"/>
          <c:showPercent val="0"/>
          <c:showBubbleSize val="0"/>
        </c:dLbls>
        <c:marker val="1"/>
        <c:smooth val="0"/>
        <c:axId val="218537344"/>
        <c:axId val="218539136"/>
      </c:lineChart>
      <c:dateAx>
        <c:axId val="218537344"/>
        <c:scaling>
          <c:orientation val="minMax"/>
        </c:scaling>
        <c:delete val="0"/>
        <c:axPos val="b"/>
        <c:numFmt formatCode="[$-409]mmm\-yy;@" sourceLinked="0"/>
        <c:majorTickMark val="out"/>
        <c:minorTickMark val="none"/>
        <c:tickLblPos val="nextTo"/>
        <c:spPr>
          <a:ln w="3175">
            <a:solidFill>
              <a:srgbClr val="000000"/>
            </a:solidFill>
            <a:prstDash val="solid"/>
          </a:ln>
        </c:spPr>
        <c:txPr>
          <a:bodyPr rot="0" vert="horz"/>
          <a:lstStyle/>
          <a:p>
            <a:pPr>
              <a:defRPr sz="625" b="0" i="0" u="none" strike="noStrike" baseline="0">
                <a:solidFill>
                  <a:srgbClr val="000000"/>
                </a:solidFill>
                <a:latin typeface="Arial"/>
                <a:ea typeface="Arial"/>
                <a:cs typeface="Arial"/>
              </a:defRPr>
            </a:pPr>
            <a:endParaRPr lang="en-US"/>
          </a:p>
        </c:txPr>
        <c:crossAx val="218539136"/>
        <c:crosses val="autoZero"/>
        <c:auto val="1"/>
        <c:lblOffset val="100"/>
        <c:baseTimeUnit val="days"/>
        <c:majorUnit val="1"/>
        <c:majorTimeUnit val="months"/>
        <c:minorUnit val="1"/>
        <c:minorTimeUnit val="months"/>
      </c:dateAx>
      <c:valAx>
        <c:axId val="218539136"/>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625" b="0" i="0" u="none" strike="noStrike" baseline="0">
                <a:solidFill>
                  <a:srgbClr val="000000"/>
                </a:solidFill>
                <a:latin typeface="Arial"/>
                <a:ea typeface="Arial"/>
                <a:cs typeface="Arial"/>
              </a:defRPr>
            </a:pPr>
            <a:endParaRPr lang="en-US"/>
          </a:p>
        </c:txPr>
        <c:crossAx val="218537344"/>
        <c:crosses val="autoZero"/>
        <c:crossBetween val="between"/>
      </c:valAx>
      <c:spPr>
        <a:noFill/>
        <a:ln w="3175">
          <a:solidFill>
            <a:srgbClr val="E0E0E0"/>
          </a:solidFill>
          <a:prstDash val="sysDash"/>
        </a:ln>
      </c:spPr>
    </c:plotArea>
    <c:legend>
      <c:legendPos val="b"/>
      <c:layout/>
      <c:overlay val="0"/>
      <c:spPr>
        <a:solidFill>
          <a:srgbClr val="FFFFFF"/>
        </a:solidFill>
        <a:ln w="25400">
          <a:noFill/>
        </a:ln>
      </c:spPr>
      <c:txPr>
        <a:bodyPr/>
        <a:lstStyle/>
        <a:p>
          <a:pPr>
            <a:defRPr sz="105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9525">
      <a:solidFill>
        <a:schemeClr val="tx1"/>
      </a:solid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100" b="1" i="0" u="none" strike="noStrike" baseline="0">
                <a:solidFill>
                  <a:srgbClr val="000000"/>
                </a:solidFill>
                <a:latin typeface="Calibri"/>
                <a:ea typeface="Calibri"/>
                <a:cs typeface="Calibri"/>
              </a:defRPr>
            </a:pPr>
            <a:r>
              <a:rPr lang="en-US"/>
              <a:t>Ownership Type</a:t>
            </a:r>
          </a:p>
        </c:rich>
      </c:tx>
      <c:layout>
        <c:manualLayout>
          <c:xMode val="edge"/>
          <c:yMode val="edge"/>
          <c:x val="0.35636429008017834"/>
          <c:y val="1.9470866141732282E-2"/>
        </c:manualLayout>
      </c:layout>
      <c:overlay val="0"/>
      <c:spPr>
        <a:noFill/>
        <a:ln w="25400">
          <a:noFill/>
        </a:ln>
      </c:spPr>
    </c:title>
    <c:autoTitleDeleted val="0"/>
    <c:plotArea>
      <c:layout>
        <c:manualLayout>
          <c:layoutTarget val="inner"/>
          <c:xMode val="edge"/>
          <c:yMode val="edge"/>
          <c:x val="0.16895052507190475"/>
          <c:y val="0.19452887537993921"/>
          <c:w val="0.70319948273171162"/>
          <c:h val="0.46808510638297873"/>
        </c:manualLayout>
      </c:layout>
      <c:pieChart>
        <c:varyColors val="1"/>
        <c:ser>
          <c:idx val="0"/>
          <c:order val="0"/>
          <c:dPt>
            <c:idx val="0"/>
            <c:bubble3D val="0"/>
          </c:dPt>
          <c:dPt>
            <c:idx val="1"/>
            <c:bubble3D val="0"/>
          </c:dPt>
          <c:dPt>
            <c:idx val="2"/>
            <c:bubble3D val="0"/>
            <c:spPr>
              <a:solidFill>
                <a:srgbClr val="25B14A"/>
              </a:solidFill>
              <a:ln w="25400">
                <a:noFill/>
              </a:ln>
              <a:effectLst>
                <a:outerShdw dist="35921" dir="2700000" algn="br">
                  <a:srgbClr val="000000"/>
                </a:outerShdw>
              </a:effectLst>
            </c:spPr>
          </c:dPt>
          <c:dLbls>
            <c:numFmt formatCode="0%" sourceLinked="0"/>
            <c:spPr>
              <a:noFill/>
              <a:ln w="25400">
                <a:noFill/>
              </a:ln>
            </c:spPr>
            <c:txPr>
              <a:bodyPr/>
              <a:lstStyle/>
              <a:p>
                <a:pPr>
                  <a:defRPr sz="1000" b="1" i="0" u="none" strike="noStrike" baseline="0">
                    <a:solidFill>
                      <a:srgbClr val="000000"/>
                    </a:solidFill>
                    <a:latin typeface="Calibri"/>
                    <a:ea typeface="Calibri"/>
                    <a:cs typeface="Calibri"/>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Owners!$B$14:$D$16</c:f>
              <c:strCache>
                <c:ptCount val="3"/>
                <c:pt idx="0">
                  <c:v>Ownership (Institutional)</c:v>
                </c:pt>
                <c:pt idx="1">
                  <c:v>Ownership (Retail &amp; Other)</c:v>
                </c:pt>
                <c:pt idx="2">
                  <c:v>Ownership (Insider)</c:v>
                </c:pt>
              </c:strCache>
            </c:strRef>
          </c:cat>
          <c:val>
            <c:numRef>
              <c:f>Owners!$E$14:$E$16</c:f>
              <c:numCache>
                <c:formatCode>0.00%</c:formatCode>
                <c:ptCount val="3"/>
                <c:pt idx="0">
                  <c:v>0.62904505887044682</c:v>
                </c:pt>
                <c:pt idx="1">
                  <c:v>0.37041363822192414</c:v>
                </c:pt>
                <c:pt idx="2">
                  <c:v>5.413029076290235E-4</c:v>
                </c:pt>
              </c:numCache>
            </c:numRef>
          </c:val>
        </c:ser>
        <c:dLbls>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6.0645885017797434E-2"/>
          <c:y val="0.72075450568678912"/>
          <c:w val="0.89984424549671016"/>
          <c:h val="0.21541592300962376"/>
        </c:manualLayout>
      </c:layout>
      <c:overlay val="0"/>
      <c:txPr>
        <a:bodyPr/>
        <a:lstStyle/>
        <a:p>
          <a:pPr>
            <a:defRPr sz="1100" b="0" i="0" u="none" strike="noStrike" baseline="0">
              <a:solidFill>
                <a:srgbClr val="000000"/>
              </a:solidFill>
              <a:latin typeface="+mn-lt"/>
              <a:ea typeface="Arial"/>
              <a:cs typeface="Arial"/>
            </a:defRPr>
          </a:pPr>
          <a:endParaRPr lang="en-US"/>
        </a:p>
      </c:txPr>
    </c:legend>
    <c:plotVisOnly val="1"/>
    <c:dispBlanksAs val="zero"/>
    <c:showDLblsOverMax val="0"/>
  </c:chart>
  <c:spPr>
    <a:no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100" b="1" i="0" u="none" strike="noStrike" baseline="0">
                <a:solidFill>
                  <a:srgbClr val="000000"/>
                </a:solidFill>
                <a:latin typeface="Calibri"/>
                <a:ea typeface="Calibri"/>
                <a:cs typeface="Calibri"/>
              </a:defRPr>
            </a:pPr>
            <a:r>
              <a:rPr lang="en-US"/>
              <a:t>Geographic Ownership</a:t>
            </a:r>
          </a:p>
        </c:rich>
      </c:tx>
      <c:layout>
        <c:manualLayout>
          <c:xMode val="edge"/>
          <c:yMode val="edge"/>
          <c:x val="0.28474304193204519"/>
          <c:y val="1.9364173228346455E-2"/>
        </c:manualLayout>
      </c:layout>
      <c:overlay val="0"/>
      <c:spPr>
        <a:noFill/>
        <a:ln w="25400">
          <a:noFill/>
        </a:ln>
      </c:spPr>
    </c:title>
    <c:autoTitleDeleted val="0"/>
    <c:plotArea>
      <c:layout>
        <c:manualLayout>
          <c:layoutTarget val="inner"/>
          <c:xMode val="edge"/>
          <c:yMode val="edge"/>
          <c:x val="0.17903968306428056"/>
          <c:y val="0.22492401215805471"/>
          <c:w val="0.64628958764667122"/>
          <c:h val="0.44984802431610943"/>
        </c:manualLayout>
      </c:layout>
      <c:pieChart>
        <c:varyColors val="1"/>
        <c:ser>
          <c:idx val="0"/>
          <c:order val="0"/>
          <c:dPt>
            <c:idx val="0"/>
            <c:bubble3D val="0"/>
          </c:dPt>
          <c:dPt>
            <c:idx val="1"/>
            <c:bubble3D val="0"/>
          </c:dPt>
          <c:dPt>
            <c:idx val="2"/>
            <c:bubble3D val="0"/>
            <c:spPr>
              <a:solidFill>
                <a:srgbClr val="25B14A"/>
              </a:solidFill>
              <a:ln w="25400">
                <a:noFill/>
              </a:ln>
              <a:effectLst>
                <a:outerShdw dist="35921" dir="2700000" algn="br">
                  <a:srgbClr val="000000"/>
                </a:outerShdw>
              </a:effectLst>
            </c:spPr>
          </c:dPt>
          <c:dPt>
            <c:idx val="3"/>
            <c:bubble3D val="0"/>
          </c:dPt>
          <c:dPt>
            <c:idx val="4"/>
            <c:bubble3D val="0"/>
            <c:spPr>
              <a:solidFill>
                <a:srgbClr val="008080"/>
              </a:solidFill>
              <a:ln w="25400">
                <a:noFill/>
              </a:ln>
              <a:effectLst>
                <a:outerShdw dist="35921" dir="2700000" algn="br">
                  <a:srgbClr val="000000"/>
                </a:outerShdw>
              </a:effectLst>
            </c:spPr>
          </c:dPt>
          <c:dPt>
            <c:idx val="5"/>
            <c:bubble3D val="0"/>
            <c:spPr>
              <a:solidFill>
                <a:srgbClr val="000080"/>
              </a:solidFill>
              <a:ln w="25400">
                <a:noFill/>
              </a:ln>
              <a:effectLst>
                <a:outerShdw dist="35921" dir="2700000" algn="br">
                  <a:srgbClr val="000000"/>
                </a:outerShdw>
              </a:effectLst>
            </c:spPr>
          </c:dPt>
          <c:dPt>
            <c:idx val="6"/>
            <c:bubble3D val="0"/>
            <c:spPr>
              <a:solidFill>
                <a:srgbClr val="810000"/>
              </a:solidFill>
              <a:ln w="25400">
                <a:noFill/>
              </a:ln>
              <a:effectLst>
                <a:outerShdw dist="35921" dir="2700000" algn="br">
                  <a:srgbClr val="000000"/>
                </a:outerShdw>
              </a:effectLst>
            </c:spPr>
          </c:dPt>
          <c:dPt>
            <c:idx val="7"/>
            <c:bubble3D val="0"/>
            <c:spPr>
              <a:solidFill>
                <a:srgbClr val="005A9C"/>
              </a:solidFill>
              <a:ln w="25400">
                <a:noFill/>
              </a:ln>
              <a:effectLst>
                <a:outerShdw dist="35921" dir="2700000" algn="br">
                  <a:srgbClr val="000000"/>
                </a:outerShdw>
              </a:effectLst>
            </c:spPr>
          </c:dPt>
          <c:dLbls>
            <c:dLbl>
              <c:idx val="0"/>
              <c:layout>
                <c:manualLayout>
                  <c:x val="4.2549131437495197E-2"/>
                  <c:y val="2.3585668812675001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1"/>
              <c:layout>
                <c:manualLayout>
                  <c:x val="-5.6849950316983283E-2"/>
                  <c:y val="8.0250181493270775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2"/>
              <c:layout>
                <c:manualLayout>
                  <c:x val="-0.10142168394851686"/>
                  <c:y val="2.5417992963645511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3"/>
              <c:layout>
                <c:manualLayout>
                  <c:x val="-0.1022046649949897"/>
                  <c:y val="4.7272814302467565E-3"/>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4"/>
              <c:layout>
                <c:manualLayout>
                  <c:x val="-1.479390817324386E-2"/>
                  <c:y val="-2.0299802950163145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5"/>
              <c:layout>
                <c:manualLayout>
                  <c:x val="3.9249276396201752E-2"/>
                  <c:y val="-3.9336572290165857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6"/>
              <c:layout>
                <c:manualLayout>
                  <c:x val="0.12352326374207977"/>
                  <c:y val="-3.8128425436182181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7"/>
              <c:layout>
                <c:manualLayout>
                  <c:x val="0.1704971287342878"/>
                  <c:y val="-4.0073714189981565E-3"/>
                </c:manualLayout>
              </c:layout>
              <c:dLblPos val="bestFit"/>
              <c:showLegendKey val="0"/>
              <c:showVal val="0"/>
              <c:showCatName val="0"/>
              <c:showSerName val="0"/>
              <c:showPercent val="1"/>
              <c:showBubbleSize val="0"/>
              <c:extLst>
                <c:ext xmlns:c15="http://schemas.microsoft.com/office/drawing/2012/chart" uri="{CE6537A1-D6FC-4f65-9D91-7224C49458BB}"/>
              </c:extLst>
            </c:dLbl>
            <c:numFmt formatCode="0%" sourceLinked="0"/>
            <c:spPr>
              <a:noFill/>
              <a:ln w="25400">
                <a:noFill/>
              </a:ln>
            </c:spPr>
            <c:txPr>
              <a:bodyPr/>
              <a:lstStyle/>
              <a:p>
                <a:pPr>
                  <a:defRPr sz="1000" b="1" i="0" u="none" strike="noStrike" baseline="0">
                    <a:solidFill>
                      <a:srgbClr val="000000"/>
                    </a:solidFill>
                    <a:latin typeface="Calibri"/>
                    <a:ea typeface="Calibri"/>
                    <a:cs typeface="Calibri"/>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Owners!$L$9:$L$16</c:f>
              <c:strCache>
                <c:ptCount val="8"/>
                <c:pt idx="0">
                  <c:v>United States</c:v>
                </c:pt>
                <c:pt idx="1">
                  <c:v>Britain</c:v>
                </c:pt>
                <c:pt idx="2">
                  <c:v>Canada</c:v>
                </c:pt>
                <c:pt idx="3">
                  <c:v>Japan</c:v>
                </c:pt>
                <c:pt idx="4">
                  <c:v>Switzerland</c:v>
                </c:pt>
                <c:pt idx="5">
                  <c:v>Germany</c:v>
                </c:pt>
                <c:pt idx="6">
                  <c:v>Norway</c:v>
                </c:pt>
                <c:pt idx="7">
                  <c:v>Others</c:v>
                </c:pt>
              </c:strCache>
            </c:strRef>
          </c:cat>
          <c:val>
            <c:numRef>
              <c:f>Owners!$O$9:$O$16</c:f>
              <c:numCache>
                <c:formatCode>0.00%</c:formatCode>
                <c:ptCount val="8"/>
                <c:pt idx="0">
                  <c:v>0.83176000000000005</c:v>
                </c:pt>
                <c:pt idx="1">
                  <c:v>4.9450000000000001E-2</c:v>
                </c:pt>
                <c:pt idx="2">
                  <c:v>2.3559999999999998E-2</c:v>
                </c:pt>
                <c:pt idx="3">
                  <c:v>1.528E-2</c:v>
                </c:pt>
                <c:pt idx="4">
                  <c:v>1.417E-2</c:v>
                </c:pt>
                <c:pt idx="5">
                  <c:v>1.405E-2</c:v>
                </c:pt>
                <c:pt idx="6">
                  <c:v>1.3500000000000002E-2</c:v>
                </c:pt>
                <c:pt idx="7">
                  <c:v>3.8229999999999945E-2</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manualLayout>
          <c:xMode val="edge"/>
          <c:yMode val="edge"/>
          <c:x val="6.9868945562692034E-2"/>
          <c:y val="0.85106397637795272"/>
          <c:w val="0.89083156414321929"/>
          <c:h val="0.13069914698162732"/>
        </c:manualLayout>
      </c:layout>
      <c:overlay val="0"/>
      <c:txPr>
        <a:bodyPr/>
        <a:lstStyle/>
        <a:p>
          <a:pPr>
            <a:defRPr sz="1100" b="0" i="0" u="none" strike="noStrike" baseline="0">
              <a:solidFill>
                <a:srgbClr val="000000"/>
              </a:solidFill>
              <a:latin typeface="+mn-lt"/>
              <a:ea typeface="Arial"/>
              <a:cs typeface="Arial"/>
            </a:defRPr>
          </a:pPr>
          <a:endParaRPr lang="en-US"/>
        </a:p>
      </c:txPr>
    </c:legend>
    <c:plotVisOnly val="1"/>
    <c:dispBlanksAs val="zero"/>
    <c:showDLblsOverMax val="0"/>
  </c:chart>
  <c:spPr>
    <a:no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100" b="1" i="0" u="none" strike="noStrike" baseline="0">
                <a:solidFill>
                  <a:srgbClr val="000000"/>
                </a:solidFill>
                <a:latin typeface="Calibri"/>
                <a:ea typeface="Calibri"/>
                <a:cs typeface="Calibri"/>
              </a:defRPr>
            </a:pPr>
            <a:r>
              <a:rPr lang="en-US"/>
              <a:t>Institutional Ownership</a:t>
            </a:r>
          </a:p>
        </c:rich>
      </c:tx>
      <c:layout>
        <c:manualLayout>
          <c:xMode val="edge"/>
          <c:yMode val="edge"/>
          <c:x val="0.28670278926998533"/>
          <c:y val="1.5060162934178683E-2"/>
        </c:manualLayout>
      </c:layout>
      <c:overlay val="0"/>
      <c:spPr>
        <a:noFill/>
        <a:ln w="25400">
          <a:noFill/>
        </a:ln>
      </c:spPr>
    </c:title>
    <c:autoTitleDeleted val="0"/>
    <c:plotArea>
      <c:layout>
        <c:manualLayout>
          <c:layoutTarget val="inner"/>
          <c:xMode val="edge"/>
          <c:yMode val="edge"/>
          <c:x val="0.17391304347826086"/>
          <c:y val="0.23493975903614459"/>
          <c:w val="0.64782608695652177"/>
          <c:h val="0.44879518072289154"/>
        </c:manualLayout>
      </c:layout>
      <c:pieChart>
        <c:varyColors val="1"/>
        <c:ser>
          <c:idx val="0"/>
          <c:order val="0"/>
          <c:dPt>
            <c:idx val="0"/>
            <c:bubble3D val="0"/>
          </c:dPt>
          <c:dPt>
            <c:idx val="1"/>
            <c:bubble3D val="0"/>
          </c:dPt>
          <c:dPt>
            <c:idx val="2"/>
            <c:bubble3D val="0"/>
            <c:spPr>
              <a:solidFill>
                <a:srgbClr val="25B14A"/>
              </a:solidFill>
              <a:ln w="25400">
                <a:noFill/>
              </a:ln>
              <a:effectLst>
                <a:outerShdw dist="35921" dir="2700000" algn="br">
                  <a:srgbClr val="000000"/>
                </a:outerShdw>
              </a:effectLst>
            </c:spPr>
          </c:dPt>
          <c:dPt>
            <c:idx val="3"/>
            <c:bubble3D val="0"/>
          </c:dPt>
          <c:dPt>
            <c:idx val="4"/>
            <c:bubble3D val="0"/>
            <c:spPr>
              <a:solidFill>
                <a:srgbClr val="008080"/>
              </a:solidFill>
              <a:ln w="25400">
                <a:noFill/>
              </a:ln>
              <a:effectLst>
                <a:outerShdw dist="35921" dir="2700000" algn="br">
                  <a:srgbClr val="000000"/>
                </a:outerShdw>
              </a:effectLst>
            </c:spPr>
          </c:dPt>
          <c:dLbls>
            <c:dLbl>
              <c:idx val="0"/>
              <c:layout>
                <c:manualLayout>
                  <c:x val="2.9375784548670503E-2"/>
                  <c:y val="1.6294469215444456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1"/>
              <c:layout>
                <c:manualLayout>
                  <c:x val="-6.3536231884057964E-2"/>
                  <c:y val="7.6951269645511203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2"/>
              <c:layout>
                <c:manualLayout>
                  <c:x val="-0.10870204267944766"/>
                  <c:y val="1.5107358568130785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3"/>
              <c:layout>
                <c:manualLayout>
                  <c:x val="-0.12058838297386738"/>
                  <c:y val="-2.1851184264617522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4"/>
              <c:layout>
                <c:manualLayout>
                  <c:x val="0.10674883030925479"/>
                  <c:y val="-2.7774088479903872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5"/>
              <c:layout>
                <c:manualLayout>
                  <c:xMode val="edge"/>
                  <c:yMode val="edge"/>
                  <c:x val="0.42608695652173911"/>
                  <c:y val="1.2048192771084338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6"/>
              <c:layout>
                <c:manualLayout>
                  <c:xMode val="edge"/>
                  <c:yMode val="edge"/>
                  <c:x val="0.52173913043478259"/>
                  <c:y val="2.1084337349397589E-2"/>
                </c:manualLayout>
              </c:layout>
              <c:dLblPos val="bestFit"/>
              <c:showLegendKey val="0"/>
              <c:showVal val="0"/>
              <c:showCatName val="0"/>
              <c:showSerName val="0"/>
              <c:showPercent val="1"/>
              <c:showBubbleSize val="0"/>
              <c:extLst>
                <c:ext xmlns:c15="http://schemas.microsoft.com/office/drawing/2012/chart" uri="{CE6537A1-D6FC-4f65-9D91-7224C49458BB}"/>
              </c:extLst>
            </c:dLbl>
            <c:dLbl>
              <c:idx val="7"/>
              <c:layout>
                <c:manualLayout>
                  <c:xMode val="edge"/>
                  <c:yMode val="edge"/>
                  <c:x val="0.58695652173913049"/>
                  <c:y val="4.5180722891566265E-2"/>
                </c:manualLayout>
              </c:layout>
              <c:dLblPos val="bestFit"/>
              <c:showLegendKey val="0"/>
              <c:showVal val="0"/>
              <c:showCatName val="0"/>
              <c:showSerName val="0"/>
              <c:showPercent val="1"/>
              <c:showBubbleSize val="0"/>
              <c:extLst>
                <c:ext xmlns:c15="http://schemas.microsoft.com/office/drawing/2012/chart" uri="{CE6537A1-D6FC-4f65-9D91-7224C49458BB}"/>
              </c:extLst>
            </c:dLbl>
            <c:numFmt formatCode="0%" sourceLinked="0"/>
            <c:spPr>
              <a:noFill/>
              <a:ln w="25400">
                <a:noFill/>
              </a:ln>
            </c:spPr>
            <c:txPr>
              <a:bodyPr/>
              <a:lstStyle/>
              <a:p>
                <a:pPr>
                  <a:defRPr sz="1000" b="1" i="0" u="none" strike="noStrike" baseline="0">
                    <a:solidFill>
                      <a:srgbClr val="000000"/>
                    </a:solidFill>
                    <a:latin typeface="Calibri"/>
                    <a:ea typeface="Calibri"/>
                    <a:cs typeface="Calibri"/>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Owners!$L$19:$L$23</c:f>
              <c:strCache>
                <c:ptCount val="5"/>
                <c:pt idx="0">
                  <c:v>Investment Advisor</c:v>
                </c:pt>
                <c:pt idx="1">
                  <c:v>Pension Fund (Erisa)</c:v>
                </c:pt>
                <c:pt idx="2">
                  <c:v>Hedge Fund Manager</c:v>
                </c:pt>
                <c:pt idx="3">
                  <c:v>Bank</c:v>
                </c:pt>
                <c:pt idx="4">
                  <c:v>Others</c:v>
                </c:pt>
              </c:strCache>
            </c:strRef>
          </c:cat>
          <c:val>
            <c:numRef>
              <c:f>Owners!$O$19:$O$23</c:f>
              <c:numCache>
                <c:formatCode>0.00%</c:formatCode>
                <c:ptCount val="5"/>
                <c:pt idx="0">
                  <c:v>0.85472999999999999</c:v>
                </c:pt>
                <c:pt idx="1">
                  <c:v>3.5859999999999996E-2</c:v>
                </c:pt>
                <c:pt idx="2">
                  <c:v>3.5639999999999998E-2</c:v>
                </c:pt>
                <c:pt idx="3">
                  <c:v>2.1129999999999999E-2</c:v>
                </c:pt>
                <c:pt idx="4">
                  <c:v>5.2640000000000006E-2</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manualLayout>
          <c:xMode val="edge"/>
          <c:yMode val="edge"/>
          <c:x val="6.5217491881311443E-2"/>
          <c:y val="0.8524095851654907"/>
          <c:w val="0.87357409137417141"/>
          <c:h val="0.1475904148345093"/>
        </c:manualLayout>
      </c:layout>
      <c:overlay val="0"/>
      <c:txPr>
        <a:bodyPr/>
        <a:lstStyle/>
        <a:p>
          <a:pPr>
            <a:defRPr sz="1100" b="0" i="0" u="none" strike="noStrike" baseline="0">
              <a:solidFill>
                <a:srgbClr val="000000"/>
              </a:solidFill>
              <a:latin typeface="+mn-lt"/>
              <a:ea typeface="Arial"/>
              <a:cs typeface="Arial"/>
            </a:defRPr>
          </a:pPr>
          <a:endParaRPr lang="en-US"/>
        </a:p>
      </c:txPr>
    </c:legend>
    <c:plotVisOnly val="1"/>
    <c:dispBlanksAs val="zero"/>
    <c:showDLblsOverMax val="0"/>
  </c:chart>
  <c:spPr>
    <a:no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Radio" checked="Checked" firstButton="1" fmlaLink="ControlsH!$C$12"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35.png"/><Relationship Id="rId13" Type="http://schemas.openxmlformats.org/officeDocument/2006/relationships/image" Target="../media/image39.jpg"/><Relationship Id="rId18" Type="http://schemas.openxmlformats.org/officeDocument/2006/relationships/image" Target="../media/image44.jpg"/><Relationship Id="rId3" Type="http://schemas.openxmlformats.org/officeDocument/2006/relationships/image" Target="../media/image30.png"/><Relationship Id="rId21" Type="http://schemas.openxmlformats.org/officeDocument/2006/relationships/image" Target="../media/image47.jpg"/><Relationship Id="rId7" Type="http://schemas.openxmlformats.org/officeDocument/2006/relationships/image" Target="../media/image34.png"/><Relationship Id="rId12" Type="http://schemas.openxmlformats.org/officeDocument/2006/relationships/image" Target="../media/image38.jpg"/><Relationship Id="rId17" Type="http://schemas.openxmlformats.org/officeDocument/2006/relationships/image" Target="../media/image43.jpg"/><Relationship Id="rId2" Type="http://schemas.openxmlformats.org/officeDocument/2006/relationships/image" Target="../media/image29.png"/><Relationship Id="rId16" Type="http://schemas.openxmlformats.org/officeDocument/2006/relationships/image" Target="../media/image42.jpg"/><Relationship Id="rId20" Type="http://schemas.openxmlformats.org/officeDocument/2006/relationships/image" Target="../media/image46.jpg"/><Relationship Id="rId1" Type="http://schemas.openxmlformats.org/officeDocument/2006/relationships/image" Target="../media/image28.png"/><Relationship Id="rId6" Type="http://schemas.openxmlformats.org/officeDocument/2006/relationships/image" Target="../media/image33.png"/><Relationship Id="rId11" Type="http://schemas.openxmlformats.org/officeDocument/2006/relationships/image" Target="../media/image1.jpeg"/><Relationship Id="rId5" Type="http://schemas.openxmlformats.org/officeDocument/2006/relationships/image" Target="../media/image32.png"/><Relationship Id="rId15" Type="http://schemas.openxmlformats.org/officeDocument/2006/relationships/image" Target="../media/image41.jpg"/><Relationship Id="rId23" Type="http://schemas.openxmlformats.org/officeDocument/2006/relationships/image" Target="../media/image49.jpg"/><Relationship Id="rId10" Type="http://schemas.openxmlformats.org/officeDocument/2006/relationships/image" Target="../media/image37.png"/><Relationship Id="rId19" Type="http://schemas.openxmlformats.org/officeDocument/2006/relationships/image" Target="../media/image45.jpg"/><Relationship Id="rId4" Type="http://schemas.openxmlformats.org/officeDocument/2006/relationships/image" Target="../media/image31.png"/><Relationship Id="rId9" Type="http://schemas.openxmlformats.org/officeDocument/2006/relationships/image" Target="../media/image36.png"/><Relationship Id="rId14" Type="http://schemas.openxmlformats.org/officeDocument/2006/relationships/image" Target="../media/image40.jpg"/><Relationship Id="rId22" Type="http://schemas.openxmlformats.org/officeDocument/2006/relationships/image" Target="../media/image48.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7.emf"/><Relationship Id="rId21" Type="http://schemas.openxmlformats.org/officeDocument/2006/relationships/image" Target="../media/image25.emf"/><Relationship Id="rId7" Type="http://schemas.openxmlformats.org/officeDocument/2006/relationships/image" Target="../media/image11.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6.emf"/><Relationship Id="rId16" Type="http://schemas.openxmlformats.org/officeDocument/2006/relationships/image" Target="../media/image20.emf"/><Relationship Id="rId20" Type="http://schemas.openxmlformats.org/officeDocument/2006/relationships/image" Target="../media/image24.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23" Type="http://schemas.openxmlformats.org/officeDocument/2006/relationships/image" Target="../media/image27.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 Id="rId22"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13</xdr:col>
      <xdr:colOff>0</xdr:colOff>
      <xdr:row>23</xdr:row>
      <xdr:rowOff>0</xdr:rowOff>
    </xdr:from>
    <xdr:to>
      <xdr:col>18</xdr:col>
      <xdr:colOff>0</xdr:colOff>
      <xdr:row>47</xdr:row>
      <xdr:rowOff>0</xdr:rowOff>
    </xdr:to>
    <xdr:graphicFrame macro="">
      <xdr:nvGraphicFramePr>
        <xdr:cNvPr id="114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23</xdr:row>
      <xdr:rowOff>0</xdr:rowOff>
    </xdr:from>
    <xdr:to>
      <xdr:col>24</xdr:col>
      <xdr:colOff>0</xdr:colOff>
      <xdr:row>47</xdr:row>
      <xdr:rowOff>0</xdr:rowOff>
    </xdr:to>
    <xdr:graphicFrame macro="">
      <xdr:nvGraphicFramePr>
        <xdr:cNvPr id="1141"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1</xdr:row>
      <xdr:rowOff>0</xdr:rowOff>
    </xdr:from>
    <xdr:to>
      <xdr:col>4</xdr:col>
      <xdr:colOff>601980</xdr:colOff>
      <xdr:row>3</xdr:row>
      <xdr:rowOff>182880</xdr:rowOff>
    </xdr:to>
    <xdr:pic>
      <xdr:nvPicPr>
        <xdr:cNvPr id="2" name="Bloomberg"/>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4</xdr:col>
      <xdr:colOff>579425</xdr:colOff>
      <xdr:row>1</xdr:row>
      <xdr:rowOff>0</xdr:rowOff>
    </xdr:from>
    <xdr:to>
      <xdr:col>22</xdr:col>
      <xdr:colOff>305105</xdr:colOff>
      <xdr:row>3</xdr:row>
      <xdr:rowOff>185928</xdr:rowOff>
    </xdr:to>
    <xdr:sp macro="" textlink="">
      <xdr:nvSpPr>
        <xdr:cNvPr id="7"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8</xdr:row>
          <xdr:rowOff>161925</xdr:rowOff>
        </xdr:from>
        <xdr:to>
          <xdr:col>2</xdr:col>
          <xdr:colOff>1162050</xdr:colOff>
          <xdr:row>9</xdr:row>
          <xdr:rowOff>161925</xdr:rowOff>
        </xdr:to>
        <xdr:sp macro="" textlink="">
          <xdr:nvSpPr>
            <xdr:cNvPr id="3133" name="Option Button 61" hidden="1">
              <a:extLst>
                <a:ext uri="{63B3BB69-23CF-44E3-9099-C40C66FF867C}">
                  <a14:compatExt spid="_x0000_s31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Bloomberg Peers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0</xdr:rowOff>
        </xdr:from>
        <xdr:to>
          <xdr:col>2</xdr:col>
          <xdr:colOff>1162050</xdr:colOff>
          <xdr:row>10</xdr:row>
          <xdr:rowOff>180975</xdr:rowOff>
        </xdr:to>
        <xdr:sp macro="" textlink="">
          <xdr:nvSpPr>
            <xdr:cNvPr id="3134" name="Option Button 62" hidden="1">
              <a:extLst>
                <a:ext uri="{63B3BB69-23CF-44E3-9099-C40C66FF867C}">
                  <a14:compatExt spid="_x0000_s31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My Peers</a:t>
              </a:r>
            </a:p>
          </xdr:txBody>
        </xdr:sp>
        <xdr:clientData/>
      </xdr:twoCellAnchor>
    </mc:Choice>
    <mc:Fallback/>
  </mc:AlternateContent>
  <xdr:twoCellAnchor editAs="absolute">
    <xdr:from>
      <xdr:col>2</xdr:col>
      <xdr:colOff>0</xdr:colOff>
      <xdr:row>1</xdr:row>
      <xdr:rowOff>0</xdr:rowOff>
    </xdr:from>
    <xdr:to>
      <xdr:col>5</xdr:col>
      <xdr:colOff>40005</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5</xdr:col>
      <xdr:colOff>17450</xdr:colOff>
      <xdr:row>1</xdr:row>
      <xdr:rowOff>0</xdr:rowOff>
    </xdr:from>
    <xdr:to>
      <xdr:col>22</xdr:col>
      <xdr:colOff>38405</xdr:colOff>
      <xdr:row>3</xdr:row>
      <xdr:rowOff>185928</xdr:rowOff>
    </xdr:to>
    <xdr:sp macro="" textlink="">
      <xdr:nvSpPr>
        <xdr:cNvPr id="7"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26</xdr:row>
      <xdr:rowOff>85725</xdr:rowOff>
    </xdr:from>
    <xdr:to>
      <xdr:col>14</xdr:col>
      <xdr:colOff>0</xdr:colOff>
      <xdr:row>43</xdr:row>
      <xdr:rowOff>0</xdr:rowOff>
    </xdr:to>
    <xdr:graphicFrame macro="">
      <xdr:nvGraphicFramePr>
        <xdr:cNvPr id="526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10</xdr:row>
      <xdr:rowOff>0</xdr:rowOff>
    </xdr:from>
    <xdr:to>
      <xdr:col>13</xdr:col>
      <xdr:colOff>609600</xdr:colOff>
      <xdr:row>26</xdr:row>
      <xdr:rowOff>0</xdr:rowOff>
    </xdr:to>
    <xdr:graphicFrame macro="">
      <xdr:nvGraphicFramePr>
        <xdr:cNvPr id="526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5</xdr:col>
          <xdr:colOff>219075</xdr:colOff>
          <xdr:row>6</xdr:row>
          <xdr:rowOff>9525</xdr:rowOff>
        </xdr:from>
        <xdr:to>
          <xdr:col>7</xdr:col>
          <xdr:colOff>409575</xdr:colOff>
          <xdr:row>7</xdr:row>
          <xdr:rowOff>123825</xdr:rowOff>
        </xdr:to>
        <xdr:sp macro="" textlink="">
          <xdr:nvSpPr>
            <xdr:cNvPr id="5127" name="cmdUpdate" hidden="1">
              <a:extLst>
                <a:ext uri="{63B3BB69-23CF-44E3-9099-C40C66FF867C}">
                  <a14:compatExt spid="_x0000_s5127"/>
                </a:ext>
              </a:extLst>
            </xdr:cNvPr>
            <xdr:cNvSpPr/>
          </xdr:nvSpPr>
          <xdr:spPr>
            <a:xfrm>
              <a:off x="0" y="0"/>
              <a:ext cx="0" cy="0"/>
            </a:xfrm>
            <a:prstGeom prst="rect">
              <a:avLst/>
            </a:prstGeom>
          </xdr:spPr>
        </xdr:sp>
        <xdr:clientData/>
      </xdr:twoCellAnchor>
    </mc:Choice>
    <mc:Fallback/>
  </mc:AlternateContent>
  <xdr:twoCellAnchor>
    <xdr:from>
      <xdr:col>12</xdr:col>
      <xdr:colOff>123825</xdr:colOff>
      <xdr:row>7</xdr:row>
      <xdr:rowOff>85725</xdr:rowOff>
    </xdr:from>
    <xdr:to>
      <xdr:col>13</xdr:col>
      <xdr:colOff>271463</xdr:colOff>
      <xdr:row>7</xdr:row>
      <xdr:rowOff>85725</xdr:rowOff>
    </xdr:to>
    <xdr:cxnSp macro="">
      <xdr:nvCxnSpPr>
        <xdr:cNvPr id="21" name="DbgGradArrow"/>
        <xdr:cNvCxnSpPr/>
      </xdr:nvCxnSpPr>
      <xdr:spPr bwMode="auto">
        <a:xfrm>
          <a:off x="6334125" y="1990725"/>
          <a:ext cx="757238" cy="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20</xdr:col>
      <xdr:colOff>447980</xdr:colOff>
      <xdr:row>3</xdr:row>
      <xdr:rowOff>185928</xdr:rowOff>
    </xdr:to>
    <xdr:sp macro="" textlink="">
      <xdr:nvSpPr>
        <xdr:cNvPr id="9"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228905</xdr:colOff>
      <xdr:row>3</xdr:row>
      <xdr:rowOff>185928</xdr:rowOff>
    </xdr:to>
    <xdr:sp macro="" textlink="">
      <xdr:nvSpPr>
        <xdr:cNvPr id="5"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333375</xdr:colOff>
      <xdr:row>8</xdr:row>
      <xdr:rowOff>66675</xdr:rowOff>
    </xdr:from>
    <xdr:to>
      <xdr:col>11</xdr:col>
      <xdr:colOff>0</xdr:colOff>
      <xdr:row>23</xdr:row>
      <xdr:rowOff>142875</xdr:rowOff>
    </xdr:to>
    <xdr:graphicFrame macro="">
      <xdr:nvGraphicFramePr>
        <xdr:cNvPr id="727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8</xdr:row>
      <xdr:rowOff>76200</xdr:rowOff>
    </xdr:from>
    <xdr:to>
      <xdr:col>20</xdr:col>
      <xdr:colOff>571500</xdr:colOff>
      <xdr:row>23</xdr:row>
      <xdr:rowOff>152400</xdr:rowOff>
    </xdr:to>
    <xdr:graphicFrame macro="">
      <xdr:nvGraphicFramePr>
        <xdr:cNvPr id="7274"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20</xdr:col>
      <xdr:colOff>257480</xdr:colOff>
      <xdr:row>3</xdr:row>
      <xdr:rowOff>185928</xdr:rowOff>
    </xdr:to>
    <xdr:sp macro="" textlink="">
      <xdr:nvSpPr>
        <xdr:cNvPr id="7"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19</xdr:col>
      <xdr:colOff>28880</xdr:colOff>
      <xdr:row>3</xdr:row>
      <xdr:rowOff>185928</xdr:rowOff>
    </xdr:to>
    <xdr:sp macro="" textlink="">
      <xdr:nvSpPr>
        <xdr:cNvPr id="5"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601980</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4</xdr:col>
      <xdr:colOff>579425</xdr:colOff>
      <xdr:row>1</xdr:row>
      <xdr:rowOff>0</xdr:rowOff>
    </xdr:from>
    <xdr:to>
      <xdr:col>20</xdr:col>
      <xdr:colOff>571805</xdr:colOff>
      <xdr:row>3</xdr:row>
      <xdr:rowOff>185928</xdr:rowOff>
    </xdr:to>
    <xdr:sp macro="" textlink="">
      <xdr:nvSpPr>
        <xdr:cNvPr id="5"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9</xdr:row>
      <xdr:rowOff>0</xdr:rowOff>
    </xdr:from>
    <xdr:to>
      <xdr:col>17</xdr:col>
      <xdr:colOff>419100</xdr:colOff>
      <xdr:row>23</xdr:row>
      <xdr:rowOff>0</xdr:rowOff>
    </xdr:to>
    <xdr:graphicFrame macro="">
      <xdr:nvGraphicFramePr>
        <xdr:cNvPr id="1342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25</xdr:row>
      <xdr:rowOff>76200</xdr:rowOff>
    </xdr:from>
    <xdr:to>
      <xdr:col>17</xdr:col>
      <xdr:colOff>447675</xdr:colOff>
      <xdr:row>41</xdr:row>
      <xdr:rowOff>0</xdr:rowOff>
    </xdr:to>
    <xdr:graphicFrame macro="">
      <xdr:nvGraphicFramePr>
        <xdr:cNvPr id="1342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0</xdr:colOff>
          <xdr:row>7</xdr:row>
          <xdr:rowOff>0</xdr:rowOff>
        </xdr:from>
        <xdr:to>
          <xdr:col>11</xdr:col>
          <xdr:colOff>238125</xdr:colOff>
          <xdr:row>8</xdr:row>
          <xdr:rowOff>114300</xdr:rowOff>
        </xdr:to>
        <xdr:sp macro="" textlink="">
          <xdr:nvSpPr>
            <xdr:cNvPr id="13318" name="cmdButtonScaleCharts"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304800</xdr:colOff>
          <xdr:row>7</xdr:row>
          <xdr:rowOff>0</xdr:rowOff>
        </xdr:from>
        <xdr:to>
          <xdr:col>12</xdr:col>
          <xdr:colOff>542925</xdr:colOff>
          <xdr:row>8</xdr:row>
          <xdr:rowOff>114300</xdr:rowOff>
        </xdr:to>
        <xdr:sp macro="" textlink="">
          <xdr:nvSpPr>
            <xdr:cNvPr id="13319" name="cmdButtonAutoScale"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xdr:twoCellAnchor editAs="absolute">
    <xdr:from>
      <xdr:col>1</xdr:col>
      <xdr:colOff>0</xdr:colOff>
      <xdr:row>1</xdr:row>
      <xdr:rowOff>0</xdr:rowOff>
    </xdr:from>
    <xdr:to>
      <xdr:col>3</xdr:col>
      <xdr:colOff>459105</xdr:colOff>
      <xdr:row>3</xdr:row>
      <xdr:rowOff>182880</xdr:rowOff>
    </xdr:to>
    <xdr:pic>
      <xdr:nvPicPr>
        <xdr:cNvPr id="2" name="Bloomberg"/>
        <xdr:cNvPicPr>
          <a:picLocks noChangeAspect="1"/>
        </xdr:cNvPicPr>
      </xdr:nvPicPr>
      <xdr:blipFill>
        <a:blip xmlns:r="http://schemas.openxmlformats.org/officeDocument/2006/relationships" r:embed="rId3"/>
        <a:stretch>
          <a:fillRect/>
        </a:stretch>
      </xdr:blipFill>
      <xdr:spPr>
        <a:xfrm>
          <a:off x="114300" y="57150"/>
          <a:ext cx="1821180" cy="563880"/>
        </a:xfrm>
        <a:prstGeom prst="rect">
          <a:avLst/>
        </a:prstGeom>
      </xdr:spPr>
    </xdr:pic>
    <xdr:clientData/>
  </xdr:twoCellAnchor>
  <xdr:twoCellAnchor editAs="absolute">
    <xdr:from>
      <xdr:col>3</xdr:col>
      <xdr:colOff>436550</xdr:colOff>
      <xdr:row>1</xdr:row>
      <xdr:rowOff>0</xdr:rowOff>
    </xdr:from>
    <xdr:to>
      <xdr:col>20</xdr:col>
      <xdr:colOff>162230</xdr:colOff>
      <xdr:row>3</xdr:row>
      <xdr:rowOff>185928</xdr:rowOff>
    </xdr:to>
    <xdr:sp macro="" textlink="">
      <xdr:nvSpPr>
        <xdr:cNvPr id="9"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95250</xdr:colOff>
      <xdr:row>7</xdr:row>
      <xdr:rowOff>0</xdr:rowOff>
    </xdr:from>
    <xdr:to>
      <xdr:col>10</xdr:col>
      <xdr:colOff>523875</xdr:colOff>
      <xdr:row>22</xdr:row>
      <xdr:rowOff>0</xdr:rowOff>
    </xdr:to>
    <xdr:graphicFrame macro="">
      <xdr:nvGraphicFramePr>
        <xdr:cNvPr id="1446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257175</xdr:colOff>
      <xdr:row>7</xdr:row>
      <xdr:rowOff>0</xdr:rowOff>
    </xdr:from>
    <xdr:to>
      <xdr:col>20</xdr:col>
      <xdr:colOff>352425</xdr:colOff>
      <xdr:row>23</xdr:row>
      <xdr:rowOff>0</xdr:rowOff>
    </xdr:to>
    <xdr:graphicFrame macro="">
      <xdr:nvGraphicFramePr>
        <xdr:cNvPr id="1446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266700</xdr:colOff>
      <xdr:row>24</xdr:row>
      <xdr:rowOff>0</xdr:rowOff>
    </xdr:from>
    <xdr:to>
      <xdr:col>20</xdr:col>
      <xdr:colOff>371475</xdr:colOff>
      <xdr:row>39</xdr:row>
      <xdr:rowOff>76200</xdr:rowOff>
    </xdr:to>
    <xdr:graphicFrame macro="">
      <xdr:nvGraphicFramePr>
        <xdr:cNvPr id="1446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4"/>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19</xdr:col>
      <xdr:colOff>228905</xdr:colOff>
      <xdr:row>3</xdr:row>
      <xdr:rowOff>185928</xdr:rowOff>
    </xdr:to>
    <xdr:sp macro="" textlink="">
      <xdr:nvSpPr>
        <xdr:cNvPr id="8"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352425</xdr:colOff>
      <xdr:row>155</xdr:row>
      <xdr:rowOff>19050</xdr:rowOff>
    </xdr:from>
    <xdr:to>
      <xdr:col>11</xdr:col>
      <xdr:colOff>381000</xdr:colOff>
      <xdr:row>156</xdr:row>
      <xdr:rowOff>95250</xdr:rowOff>
    </xdr:to>
    <xdr:pic>
      <xdr:nvPicPr>
        <xdr:cNvPr id="257293" name="Picture 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43525" y="29851350"/>
          <a:ext cx="12477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47625</xdr:colOff>
          <xdr:row>16</xdr:row>
          <xdr:rowOff>142875</xdr:rowOff>
        </xdr:from>
        <xdr:to>
          <xdr:col>13</xdr:col>
          <xdr:colOff>95250</xdr:colOff>
          <xdr:row>18</xdr:row>
          <xdr:rowOff>38100</xdr:rowOff>
        </xdr:to>
        <xdr:sp macro="" textlink="">
          <xdr:nvSpPr>
            <xdr:cNvPr id="15433" name="cmdButtonDES" hidden="1">
              <a:extLst>
                <a:ext uri="{63B3BB69-23CF-44E3-9099-C40C66FF867C}">
                  <a14:compatExt spid="_x0000_s15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16</xdr:row>
          <xdr:rowOff>142875</xdr:rowOff>
        </xdr:from>
        <xdr:to>
          <xdr:col>14</xdr:col>
          <xdr:colOff>142875</xdr:colOff>
          <xdr:row>18</xdr:row>
          <xdr:rowOff>38100</xdr:rowOff>
        </xdr:to>
        <xdr:sp macro="" textlink="">
          <xdr:nvSpPr>
            <xdr:cNvPr id="15434" name="cmdButtonISSD" hidden="1">
              <a:extLst>
                <a:ext uri="{63B3BB69-23CF-44E3-9099-C40C66FF867C}">
                  <a14:compatExt spid="_x0000_s15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16</xdr:row>
          <xdr:rowOff>142875</xdr:rowOff>
        </xdr:from>
        <xdr:to>
          <xdr:col>15</xdr:col>
          <xdr:colOff>228600</xdr:colOff>
          <xdr:row>18</xdr:row>
          <xdr:rowOff>38100</xdr:rowOff>
        </xdr:to>
        <xdr:sp macro="" textlink="">
          <xdr:nvSpPr>
            <xdr:cNvPr id="15435" name="cmdButtonCRPR" hidden="1">
              <a:extLst>
                <a:ext uri="{63B3BB69-23CF-44E3-9099-C40C66FF867C}">
                  <a14:compatExt spid="_x0000_s15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16</xdr:row>
          <xdr:rowOff>142875</xdr:rowOff>
        </xdr:from>
        <xdr:to>
          <xdr:col>16</xdr:col>
          <xdr:colOff>495300</xdr:colOff>
          <xdr:row>18</xdr:row>
          <xdr:rowOff>38100</xdr:rowOff>
        </xdr:to>
        <xdr:sp macro="" textlink="">
          <xdr:nvSpPr>
            <xdr:cNvPr id="15436" name="cmdButtonFAPROD" hidden="1">
              <a:extLst>
                <a:ext uri="{63B3BB69-23CF-44E3-9099-C40C66FF867C}">
                  <a14:compatExt spid="_x0000_s154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485775</xdr:colOff>
          <xdr:row>16</xdr:row>
          <xdr:rowOff>142875</xdr:rowOff>
        </xdr:from>
        <xdr:to>
          <xdr:col>18</xdr:col>
          <xdr:colOff>47625</xdr:colOff>
          <xdr:row>18</xdr:row>
          <xdr:rowOff>38100</xdr:rowOff>
        </xdr:to>
        <xdr:sp macro="" textlink="">
          <xdr:nvSpPr>
            <xdr:cNvPr id="15437" name="cmdButtonFAGEO" hidden="1">
              <a:extLst>
                <a:ext uri="{63B3BB69-23CF-44E3-9099-C40C66FF867C}">
                  <a14:compatExt spid="_x0000_s15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36</xdr:row>
          <xdr:rowOff>66675</xdr:rowOff>
        </xdr:from>
        <xdr:to>
          <xdr:col>13</xdr:col>
          <xdr:colOff>142875</xdr:colOff>
          <xdr:row>37</xdr:row>
          <xdr:rowOff>152400</xdr:rowOff>
        </xdr:to>
        <xdr:sp macro="" textlink="">
          <xdr:nvSpPr>
            <xdr:cNvPr id="15438" name="cmdButtonRV" hidden="1">
              <a:extLst>
                <a:ext uri="{63B3BB69-23CF-44E3-9099-C40C66FF867C}">
                  <a14:compatExt spid="_x0000_s15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36</xdr:row>
          <xdr:rowOff>66675</xdr:rowOff>
        </xdr:from>
        <xdr:to>
          <xdr:col>14</xdr:col>
          <xdr:colOff>190500</xdr:colOff>
          <xdr:row>37</xdr:row>
          <xdr:rowOff>152400</xdr:rowOff>
        </xdr:to>
        <xdr:sp macro="" textlink="">
          <xdr:nvSpPr>
            <xdr:cNvPr id="15439" name="cmdButtonRVG" hidden="1">
              <a:extLst>
                <a:ext uri="{63B3BB69-23CF-44E3-9099-C40C66FF867C}">
                  <a14:compatExt spid="_x0000_s15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36</xdr:row>
          <xdr:rowOff>66675</xdr:rowOff>
        </xdr:from>
        <xdr:to>
          <xdr:col>15</xdr:col>
          <xdr:colOff>238125</xdr:colOff>
          <xdr:row>37</xdr:row>
          <xdr:rowOff>152400</xdr:rowOff>
        </xdr:to>
        <xdr:sp macro="" textlink="">
          <xdr:nvSpPr>
            <xdr:cNvPr id="15440" name="cmdButtonRVC" hidden="1">
              <a:extLst>
                <a:ext uri="{63B3BB69-23CF-44E3-9099-C40C66FF867C}">
                  <a14:compatExt spid="_x0000_s154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56</xdr:row>
          <xdr:rowOff>85725</xdr:rowOff>
        </xdr:from>
        <xdr:to>
          <xdr:col>13</xdr:col>
          <xdr:colOff>276225</xdr:colOff>
          <xdr:row>57</xdr:row>
          <xdr:rowOff>171450</xdr:rowOff>
        </xdr:to>
        <xdr:sp macro="" textlink="">
          <xdr:nvSpPr>
            <xdr:cNvPr id="15441" name="cmdButtonGRAPH" hidden="1">
              <a:extLst>
                <a:ext uri="{63B3BB69-23CF-44E3-9099-C40C66FF867C}">
                  <a14:compatExt spid="_x0000_s15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257175</xdr:colOff>
          <xdr:row>56</xdr:row>
          <xdr:rowOff>85725</xdr:rowOff>
        </xdr:from>
        <xdr:to>
          <xdr:col>14</xdr:col>
          <xdr:colOff>276225</xdr:colOff>
          <xdr:row>57</xdr:row>
          <xdr:rowOff>171450</xdr:rowOff>
        </xdr:to>
        <xdr:sp macro="" textlink="">
          <xdr:nvSpPr>
            <xdr:cNvPr id="15442" name="cmdButtonRSI" hidden="1">
              <a:extLst>
                <a:ext uri="{63B3BB69-23CF-44E3-9099-C40C66FF867C}">
                  <a14:compatExt spid="_x0000_s15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76</xdr:row>
          <xdr:rowOff>95250</xdr:rowOff>
        </xdr:from>
        <xdr:to>
          <xdr:col>13</xdr:col>
          <xdr:colOff>95250</xdr:colOff>
          <xdr:row>77</xdr:row>
          <xdr:rowOff>180975</xdr:rowOff>
        </xdr:to>
        <xdr:sp macro="" textlink="">
          <xdr:nvSpPr>
            <xdr:cNvPr id="15443" name="cmdButtonFA" hidden="1">
              <a:extLst>
                <a:ext uri="{63B3BB69-23CF-44E3-9099-C40C66FF867C}">
                  <a14:compatExt spid="_x0000_s15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76</xdr:row>
          <xdr:rowOff>95250</xdr:rowOff>
        </xdr:from>
        <xdr:to>
          <xdr:col>14</xdr:col>
          <xdr:colOff>104775</xdr:colOff>
          <xdr:row>77</xdr:row>
          <xdr:rowOff>180975</xdr:rowOff>
        </xdr:to>
        <xdr:sp macro="" textlink="">
          <xdr:nvSpPr>
            <xdr:cNvPr id="15444" name="cmdButtonCF" hidden="1">
              <a:extLst>
                <a:ext uri="{63B3BB69-23CF-44E3-9099-C40C66FF867C}">
                  <a14:compatExt spid="_x0000_s15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96</xdr:row>
          <xdr:rowOff>85725</xdr:rowOff>
        </xdr:from>
        <xdr:to>
          <xdr:col>13</xdr:col>
          <xdr:colOff>104775</xdr:colOff>
          <xdr:row>97</xdr:row>
          <xdr:rowOff>171450</xdr:rowOff>
        </xdr:to>
        <xdr:sp macro="" textlink="">
          <xdr:nvSpPr>
            <xdr:cNvPr id="15445" name="cmdButtonANR" hidden="1">
              <a:extLst>
                <a:ext uri="{63B3BB69-23CF-44E3-9099-C40C66FF867C}">
                  <a14:compatExt spid="_x0000_s15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96</xdr:row>
          <xdr:rowOff>85725</xdr:rowOff>
        </xdr:from>
        <xdr:to>
          <xdr:col>14</xdr:col>
          <xdr:colOff>171450</xdr:colOff>
          <xdr:row>97</xdr:row>
          <xdr:rowOff>171450</xdr:rowOff>
        </xdr:to>
        <xdr:sp macro="" textlink="">
          <xdr:nvSpPr>
            <xdr:cNvPr id="15446" name="cmdButtonANRP" hidden="1">
              <a:extLst>
                <a:ext uri="{63B3BB69-23CF-44E3-9099-C40C66FF867C}">
                  <a14:compatExt spid="_x0000_s154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116</xdr:row>
          <xdr:rowOff>57150</xdr:rowOff>
        </xdr:from>
        <xdr:to>
          <xdr:col>13</xdr:col>
          <xdr:colOff>171450</xdr:colOff>
          <xdr:row>117</xdr:row>
          <xdr:rowOff>142875</xdr:rowOff>
        </xdr:to>
        <xdr:sp macro="" textlink="">
          <xdr:nvSpPr>
            <xdr:cNvPr id="15447" name="cmdButtonEE" hidden="1">
              <a:extLst>
                <a:ext uri="{63B3BB69-23CF-44E3-9099-C40C66FF867C}">
                  <a14:compatExt spid="_x0000_s154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96</xdr:row>
          <xdr:rowOff>85725</xdr:rowOff>
        </xdr:from>
        <xdr:to>
          <xdr:col>15</xdr:col>
          <xdr:colOff>238125</xdr:colOff>
          <xdr:row>97</xdr:row>
          <xdr:rowOff>171450</xdr:rowOff>
        </xdr:to>
        <xdr:sp macro="" textlink="">
          <xdr:nvSpPr>
            <xdr:cNvPr id="15448" name="cmdButtonEEG" hidden="1">
              <a:extLst>
                <a:ext uri="{63B3BB69-23CF-44E3-9099-C40C66FF867C}">
                  <a14:compatExt spid="_x0000_s154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116</xdr:row>
          <xdr:rowOff>57150</xdr:rowOff>
        </xdr:from>
        <xdr:to>
          <xdr:col>14</xdr:col>
          <xdr:colOff>200025</xdr:colOff>
          <xdr:row>117</xdr:row>
          <xdr:rowOff>142875</xdr:rowOff>
        </xdr:to>
        <xdr:sp macro="" textlink="">
          <xdr:nvSpPr>
            <xdr:cNvPr id="15449" name="cmdButtonEEO" hidden="1">
              <a:extLst>
                <a:ext uri="{63B3BB69-23CF-44E3-9099-C40C66FF867C}">
                  <a14:compatExt spid="_x0000_s154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116</xdr:row>
          <xdr:rowOff>57150</xdr:rowOff>
        </xdr:from>
        <xdr:to>
          <xdr:col>15</xdr:col>
          <xdr:colOff>228600</xdr:colOff>
          <xdr:row>117</xdr:row>
          <xdr:rowOff>142875</xdr:rowOff>
        </xdr:to>
        <xdr:sp macro="" textlink="">
          <xdr:nvSpPr>
            <xdr:cNvPr id="15450" name="cmdButtonERN" hidden="1">
              <a:extLst>
                <a:ext uri="{63B3BB69-23CF-44E3-9099-C40C66FF867C}">
                  <a14:compatExt spid="_x0000_s154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136</xdr:row>
          <xdr:rowOff>85725</xdr:rowOff>
        </xdr:from>
        <xdr:to>
          <xdr:col>13</xdr:col>
          <xdr:colOff>133350</xdr:colOff>
          <xdr:row>137</xdr:row>
          <xdr:rowOff>171450</xdr:rowOff>
        </xdr:to>
        <xdr:sp macro="" textlink="">
          <xdr:nvSpPr>
            <xdr:cNvPr id="15451" name="cmdButtonEEB" hidden="1">
              <a:extLst>
                <a:ext uri="{63B3BB69-23CF-44E3-9099-C40C66FF867C}">
                  <a14:compatExt spid="_x0000_s154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156</xdr:row>
          <xdr:rowOff>76200</xdr:rowOff>
        </xdr:from>
        <xdr:to>
          <xdr:col>13</xdr:col>
          <xdr:colOff>171450</xdr:colOff>
          <xdr:row>157</xdr:row>
          <xdr:rowOff>161925</xdr:rowOff>
        </xdr:to>
        <xdr:sp macro="" textlink="">
          <xdr:nvSpPr>
            <xdr:cNvPr id="15452" name="cmdButtonGF" hidden="1">
              <a:extLst>
                <a:ext uri="{63B3BB69-23CF-44E3-9099-C40C66FF867C}">
                  <a14:compatExt spid="_x0000_s154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176</xdr:row>
          <xdr:rowOff>76200</xdr:rowOff>
        </xdr:from>
        <xdr:to>
          <xdr:col>13</xdr:col>
          <xdr:colOff>114300</xdr:colOff>
          <xdr:row>177</xdr:row>
          <xdr:rowOff>161925</xdr:rowOff>
        </xdr:to>
        <xdr:sp macro="" textlink="">
          <xdr:nvSpPr>
            <xdr:cNvPr id="15453" name="cmdButtonOWN" hidden="1">
              <a:extLst>
                <a:ext uri="{63B3BB69-23CF-44E3-9099-C40C66FF867C}">
                  <a14:compatExt spid="_x0000_s154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176</xdr:row>
          <xdr:rowOff>76200</xdr:rowOff>
        </xdr:from>
        <xdr:to>
          <xdr:col>14</xdr:col>
          <xdr:colOff>142875</xdr:colOff>
          <xdr:row>177</xdr:row>
          <xdr:rowOff>161925</xdr:rowOff>
        </xdr:to>
        <xdr:sp macro="" textlink="">
          <xdr:nvSpPr>
            <xdr:cNvPr id="15454" name="cmdButtonHDS" hidden="1">
              <a:extLst>
                <a:ext uri="{63B3BB69-23CF-44E3-9099-C40C66FF867C}">
                  <a14:compatExt spid="_x0000_s154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133350</xdr:colOff>
          <xdr:row>176</xdr:row>
          <xdr:rowOff>76200</xdr:rowOff>
        </xdr:from>
        <xdr:to>
          <xdr:col>15</xdr:col>
          <xdr:colOff>190500</xdr:colOff>
          <xdr:row>177</xdr:row>
          <xdr:rowOff>161925</xdr:rowOff>
        </xdr:to>
        <xdr:sp macro="" textlink="">
          <xdr:nvSpPr>
            <xdr:cNvPr id="15455" name="cmdButtonFLNG" hidden="1">
              <a:extLst>
                <a:ext uri="{63B3BB69-23CF-44E3-9099-C40C66FF867C}">
                  <a14:compatExt spid="_x0000_s15455"/>
                </a:ext>
              </a:extLst>
            </xdr:cNvPr>
            <xdr:cNvSpPr/>
          </xdr:nvSpPr>
          <xdr:spPr>
            <a:xfrm>
              <a:off x="0" y="0"/>
              <a:ext cx="0" cy="0"/>
            </a:xfrm>
            <a:prstGeom prst="rect">
              <a:avLst/>
            </a:prstGeom>
          </xdr:spPr>
        </xdr:sp>
        <xdr:clientData/>
      </xdr:twoCellAnchor>
    </mc:Choice>
    <mc:Fallback/>
  </mc:AlternateContent>
  <xdr:twoCellAnchor>
    <xdr:from>
      <xdr:col>6</xdr:col>
      <xdr:colOff>4762</xdr:colOff>
      <xdr:row>15</xdr:row>
      <xdr:rowOff>114300</xdr:rowOff>
    </xdr:from>
    <xdr:to>
      <xdr:col>7</xdr:col>
      <xdr:colOff>285750</xdr:colOff>
      <xdr:row>15</xdr:row>
      <xdr:rowOff>114300</xdr:rowOff>
    </xdr:to>
    <xdr:cxnSp macro="">
      <xdr:nvCxnSpPr>
        <xdr:cNvPr id="71" name="DbgGradArrow"/>
        <xdr:cNvCxnSpPr/>
      </xdr:nvCxnSpPr>
      <xdr:spPr bwMode="auto">
        <a:xfrm>
          <a:off x="2357437" y="2819400"/>
          <a:ext cx="890588" cy="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447675</xdr:colOff>
      <xdr:row>26</xdr:row>
      <xdr:rowOff>133350</xdr:rowOff>
    </xdr:from>
    <xdr:to>
      <xdr:col>8</xdr:col>
      <xdr:colOff>119063</xdr:colOff>
      <xdr:row>26</xdr:row>
      <xdr:rowOff>133350</xdr:rowOff>
    </xdr:to>
    <xdr:cxnSp macro="">
      <xdr:nvCxnSpPr>
        <xdr:cNvPr id="77" name="DbgGradArrow"/>
        <xdr:cNvCxnSpPr/>
      </xdr:nvCxnSpPr>
      <xdr:spPr bwMode="auto">
        <a:xfrm>
          <a:off x="2800350" y="4933950"/>
          <a:ext cx="890588" cy="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419100</xdr:colOff>
      <xdr:row>41</xdr:row>
      <xdr:rowOff>180975</xdr:rowOff>
    </xdr:from>
    <xdr:to>
      <xdr:col>7</xdr:col>
      <xdr:colOff>571500</xdr:colOff>
      <xdr:row>41</xdr:row>
      <xdr:rowOff>180976</xdr:rowOff>
    </xdr:to>
    <xdr:cxnSp macro="">
      <xdr:nvCxnSpPr>
        <xdr:cNvPr id="79" name="DbgGradArrow"/>
        <xdr:cNvCxnSpPr/>
      </xdr:nvCxnSpPr>
      <xdr:spPr bwMode="auto">
        <a:xfrm flipV="1">
          <a:off x="2771775" y="7905750"/>
          <a:ext cx="762000" cy="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266700</xdr:colOff>
      <xdr:row>55</xdr:row>
      <xdr:rowOff>104775</xdr:rowOff>
    </xdr:from>
    <xdr:to>
      <xdr:col>8</xdr:col>
      <xdr:colOff>419100</xdr:colOff>
      <xdr:row>55</xdr:row>
      <xdr:rowOff>104776</xdr:rowOff>
    </xdr:to>
    <xdr:cxnSp macro="">
      <xdr:nvCxnSpPr>
        <xdr:cNvPr id="87" name="DbgGradArrow"/>
        <xdr:cNvCxnSpPr/>
      </xdr:nvCxnSpPr>
      <xdr:spPr bwMode="auto">
        <a:xfrm flipV="1">
          <a:off x="3228975" y="10553700"/>
          <a:ext cx="762000" cy="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61</xdr:row>
      <xdr:rowOff>123825</xdr:rowOff>
    </xdr:from>
    <xdr:to>
      <xdr:col>8</xdr:col>
      <xdr:colOff>219075</xdr:colOff>
      <xdr:row>61</xdr:row>
      <xdr:rowOff>123827</xdr:rowOff>
    </xdr:to>
    <xdr:cxnSp macro="">
      <xdr:nvCxnSpPr>
        <xdr:cNvPr id="88" name="DbgGradArrow"/>
        <xdr:cNvCxnSpPr/>
      </xdr:nvCxnSpPr>
      <xdr:spPr bwMode="auto">
        <a:xfrm flipV="1">
          <a:off x="2419350" y="11715750"/>
          <a:ext cx="1371600"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70</xdr:row>
      <xdr:rowOff>0</xdr:rowOff>
    </xdr:from>
    <xdr:to>
      <xdr:col>8</xdr:col>
      <xdr:colOff>95250</xdr:colOff>
      <xdr:row>70</xdr:row>
      <xdr:rowOff>2</xdr:rowOff>
    </xdr:to>
    <xdr:cxnSp macro="">
      <xdr:nvCxnSpPr>
        <xdr:cNvPr id="91" name="DbgGradArrow"/>
        <xdr:cNvCxnSpPr/>
      </xdr:nvCxnSpPr>
      <xdr:spPr bwMode="auto">
        <a:xfrm flipV="1">
          <a:off x="2973917" y="13292667"/>
          <a:ext cx="709083"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137</xdr:row>
      <xdr:rowOff>182033</xdr:rowOff>
    </xdr:from>
    <xdr:to>
      <xdr:col>7</xdr:col>
      <xdr:colOff>387350</xdr:colOff>
      <xdr:row>137</xdr:row>
      <xdr:rowOff>182035</xdr:rowOff>
    </xdr:to>
    <xdr:cxnSp macro="">
      <xdr:nvCxnSpPr>
        <xdr:cNvPr id="115" name="DbgGradArrow"/>
        <xdr:cNvCxnSpPr/>
      </xdr:nvCxnSpPr>
      <xdr:spPr bwMode="auto">
        <a:xfrm flipV="1">
          <a:off x="1981200" y="26481616"/>
          <a:ext cx="1380067"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276225</xdr:colOff>
      <xdr:row>134</xdr:row>
      <xdr:rowOff>76200</xdr:rowOff>
    </xdr:from>
    <xdr:to>
      <xdr:col>11</xdr:col>
      <xdr:colOff>561975</xdr:colOff>
      <xdr:row>135</xdr:row>
      <xdr:rowOff>114300</xdr:rowOff>
    </xdr:to>
    <xdr:sp macro="" textlink="">
      <xdr:nvSpPr>
        <xdr:cNvPr id="257320" name="Rectangle 113"/>
        <xdr:cNvSpPr>
          <a:spLocks noChangeArrowheads="1"/>
        </xdr:cNvSpPr>
      </xdr:nvSpPr>
      <xdr:spPr bwMode="auto">
        <a:xfrm>
          <a:off x="6486525" y="25831800"/>
          <a:ext cx="285750" cy="228600"/>
        </a:xfrm>
        <a:prstGeom prst="rect">
          <a:avLst/>
        </a:prstGeom>
        <a:solidFill>
          <a:srgbClr val="FFFFFF"/>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editAs="oneCell">
    <xdr:from>
      <xdr:col>12</xdr:col>
      <xdr:colOff>114300</xdr:colOff>
      <xdr:row>38</xdr:row>
      <xdr:rowOff>123825</xdr:rowOff>
    </xdr:from>
    <xdr:to>
      <xdr:col>18</xdr:col>
      <xdr:colOff>19050</xdr:colOff>
      <xdr:row>51</xdr:row>
      <xdr:rowOff>123825</xdr:rowOff>
    </xdr:to>
    <xdr:pic>
      <xdr:nvPicPr>
        <xdr:cNvPr id="257329" name="Picture 2" descr="Screen Clippi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34200" y="7277100"/>
          <a:ext cx="35718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152400</xdr:colOff>
      <xdr:row>58</xdr:row>
      <xdr:rowOff>114300</xdr:rowOff>
    </xdr:from>
    <xdr:to>
      <xdr:col>17</xdr:col>
      <xdr:colOff>590550</xdr:colOff>
      <xdr:row>71</xdr:row>
      <xdr:rowOff>180975</xdr:rowOff>
    </xdr:to>
    <xdr:pic>
      <xdr:nvPicPr>
        <xdr:cNvPr id="257330" name="Picture 3" descr="Screen Clipping"/>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972300" y="11134725"/>
          <a:ext cx="3495675" cy="2543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78</xdr:row>
      <xdr:rowOff>95250</xdr:rowOff>
    </xdr:from>
    <xdr:to>
      <xdr:col>17</xdr:col>
      <xdr:colOff>542925</xdr:colOff>
      <xdr:row>91</xdr:row>
      <xdr:rowOff>85725</xdr:rowOff>
    </xdr:to>
    <xdr:pic>
      <xdr:nvPicPr>
        <xdr:cNvPr id="257331" name="Picture 4" descr="Screen Clipping"/>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43725" y="15001875"/>
          <a:ext cx="3476625" cy="2466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85725</xdr:colOff>
      <xdr:row>99</xdr:row>
      <xdr:rowOff>0</xdr:rowOff>
    </xdr:from>
    <xdr:to>
      <xdr:col>17</xdr:col>
      <xdr:colOff>571500</xdr:colOff>
      <xdr:row>112</xdr:row>
      <xdr:rowOff>19050</xdr:rowOff>
    </xdr:to>
    <xdr:pic>
      <xdr:nvPicPr>
        <xdr:cNvPr id="257332" name="Picture 5" descr="Screen Clipping"/>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6905625" y="18964275"/>
          <a:ext cx="35433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85725</xdr:colOff>
      <xdr:row>118</xdr:row>
      <xdr:rowOff>76200</xdr:rowOff>
    </xdr:from>
    <xdr:to>
      <xdr:col>17</xdr:col>
      <xdr:colOff>523875</xdr:colOff>
      <xdr:row>131</xdr:row>
      <xdr:rowOff>28575</xdr:rowOff>
    </xdr:to>
    <xdr:pic>
      <xdr:nvPicPr>
        <xdr:cNvPr id="257333" name="Picture 6" descr="Screen Clipping"/>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905625" y="22726650"/>
          <a:ext cx="3495675" cy="2428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219075</xdr:colOff>
      <xdr:row>139</xdr:row>
      <xdr:rowOff>76200</xdr:rowOff>
    </xdr:from>
    <xdr:to>
      <xdr:col>17</xdr:col>
      <xdr:colOff>485775</xdr:colOff>
      <xdr:row>151</xdr:row>
      <xdr:rowOff>28575</xdr:rowOff>
    </xdr:to>
    <xdr:pic>
      <xdr:nvPicPr>
        <xdr:cNvPr id="257334" name="Picture 7" descr="Screen Clipping"/>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038975" y="26784300"/>
          <a:ext cx="3324225" cy="2238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158</xdr:row>
      <xdr:rowOff>95250</xdr:rowOff>
    </xdr:from>
    <xdr:to>
      <xdr:col>17</xdr:col>
      <xdr:colOff>542925</xdr:colOff>
      <xdr:row>171</xdr:row>
      <xdr:rowOff>133350</xdr:rowOff>
    </xdr:to>
    <xdr:pic>
      <xdr:nvPicPr>
        <xdr:cNvPr id="257335" name="Picture 8" descr="Screen Clipping"/>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6943725" y="30499050"/>
          <a:ext cx="3476625" cy="2514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161925</xdr:colOff>
      <xdr:row>179</xdr:row>
      <xdr:rowOff>9525</xdr:rowOff>
    </xdr:from>
    <xdr:to>
      <xdr:col>18</xdr:col>
      <xdr:colOff>95250</xdr:colOff>
      <xdr:row>192</xdr:row>
      <xdr:rowOff>66675</xdr:rowOff>
    </xdr:to>
    <xdr:pic>
      <xdr:nvPicPr>
        <xdr:cNvPr id="257336" name="Picture 10" descr="Screen Clipping"/>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6981825" y="34490025"/>
          <a:ext cx="3600450" cy="2533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95250</xdr:colOff>
      <xdr:row>18</xdr:row>
      <xdr:rowOff>180975</xdr:rowOff>
    </xdr:from>
    <xdr:to>
      <xdr:col>18</xdr:col>
      <xdr:colOff>28575</xdr:colOff>
      <xdr:row>32</xdr:row>
      <xdr:rowOff>0</xdr:rowOff>
    </xdr:to>
    <xdr:pic>
      <xdr:nvPicPr>
        <xdr:cNvPr id="257337" name="Picture 1" descr="Screen Clipping"/>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6915150" y="3457575"/>
          <a:ext cx="3600450" cy="2486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1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524180</xdr:colOff>
      <xdr:row>3</xdr:row>
      <xdr:rowOff>185928</xdr:rowOff>
    </xdr:to>
    <xdr:sp macro="" textlink="">
      <xdr:nvSpPr>
        <xdr:cNvPr id="7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Company in Depth Analysis Overview</a:t>
          </a:r>
        </a:p>
      </xdr:txBody>
    </xdr:sp>
    <xdr:clientData/>
  </xdr:twoCellAnchor>
  <xdr:twoCellAnchor editAs="oneCell">
    <xdr:from>
      <xdr:col>8</xdr:col>
      <xdr:colOff>123825</xdr:colOff>
      <xdr:row>14</xdr:row>
      <xdr:rowOff>38100</xdr:rowOff>
    </xdr:from>
    <xdr:to>
      <xdr:col>11</xdr:col>
      <xdr:colOff>161925</xdr:colOff>
      <xdr:row>21</xdr:row>
      <xdr:rowOff>19050</xdr:rowOff>
    </xdr:to>
    <xdr:pic>
      <xdr:nvPicPr>
        <xdr:cNvPr id="4" name="Picture 3"/>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505325" y="2552700"/>
          <a:ext cx="1866900" cy="1314450"/>
        </a:xfrm>
        <a:prstGeom prst="rect">
          <a:avLst/>
        </a:prstGeom>
      </xdr:spPr>
    </xdr:pic>
    <xdr:clientData/>
  </xdr:twoCellAnchor>
  <xdr:twoCellAnchor editAs="oneCell">
    <xdr:from>
      <xdr:col>8</xdr:col>
      <xdr:colOff>152400</xdr:colOff>
      <xdr:row>23</xdr:row>
      <xdr:rowOff>66675</xdr:rowOff>
    </xdr:from>
    <xdr:to>
      <xdr:col>11</xdr:col>
      <xdr:colOff>238125</xdr:colOff>
      <xdr:row>29</xdr:row>
      <xdr:rowOff>180975</xdr:rowOff>
    </xdr:to>
    <xdr:pic>
      <xdr:nvPicPr>
        <xdr:cNvPr id="5" name="Picture 4"/>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533900" y="4295775"/>
          <a:ext cx="1914525" cy="1257300"/>
        </a:xfrm>
        <a:prstGeom prst="rect">
          <a:avLst/>
        </a:prstGeom>
      </xdr:spPr>
    </xdr:pic>
    <xdr:clientData/>
  </xdr:twoCellAnchor>
  <xdr:twoCellAnchor>
    <xdr:from>
      <xdr:col>6</xdr:col>
      <xdr:colOff>133350</xdr:colOff>
      <xdr:row>18</xdr:row>
      <xdr:rowOff>133350</xdr:rowOff>
    </xdr:from>
    <xdr:to>
      <xdr:col>8</xdr:col>
      <xdr:colOff>504825</xdr:colOff>
      <xdr:row>18</xdr:row>
      <xdr:rowOff>133353</xdr:rowOff>
    </xdr:to>
    <xdr:cxnSp macro="">
      <xdr:nvCxnSpPr>
        <xdr:cNvPr id="74" name="DbgGradArrow"/>
        <xdr:cNvCxnSpPr/>
      </xdr:nvCxnSpPr>
      <xdr:spPr bwMode="auto">
        <a:xfrm flipV="1">
          <a:off x="2486025" y="3409950"/>
          <a:ext cx="1590675" cy="3"/>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38100</xdr:colOff>
      <xdr:row>35</xdr:row>
      <xdr:rowOff>9525</xdr:rowOff>
    </xdr:from>
    <xdr:to>
      <xdr:col>11</xdr:col>
      <xdr:colOff>352425</xdr:colOff>
      <xdr:row>36</xdr:row>
      <xdr:rowOff>180975</xdr:rowOff>
    </xdr:to>
    <xdr:pic>
      <xdr:nvPicPr>
        <xdr:cNvPr id="6" name="Picture 5"/>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638800" y="6591300"/>
          <a:ext cx="923925" cy="361950"/>
        </a:xfrm>
        <a:prstGeom prst="rect">
          <a:avLst/>
        </a:prstGeom>
      </xdr:spPr>
    </xdr:pic>
    <xdr:clientData/>
  </xdr:twoCellAnchor>
  <xdr:twoCellAnchor editAs="oneCell">
    <xdr:from>
      <xdr:col>8</xdr:col>
      <xdr:colOff>66675</xdr:colOff>
      <xdr:row>39</xdr:row>
      <xdr:rowOff>161925</xdr:rowOff>
    </xdr:from>
    <xdr:to>
      <xdr:col>11</xdr:col>
      <xdr:colOff>428625</xdr:colOff>
      <xdr:row>46</xdr:row>
      <xdr:rowOff>66675</xdr:rowOff>
    </xdr:to>
    <xdr:pic>
      <xdr:nvPicPr>
        <xdr:cNvPr id="7" name="Picture 6"/>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448175" y="7505700"/>
          <a:ext cx="2190750" cy="1238250"/>
        </a:xfrm>
        <a:prstGeom prst="rect">
          <a:avLst/>
        </a:prstGeom>
      </xdr:spPr>
    </xdr:pic>
    <xdr:clientData/>
  </xdr:twoCellAnchor>
  <xdr:twoCellAnchor editAs="oneCell">
    <xdr:from>
      <xdr:col>9</xdr:col>
      <xdr:colOff>247650</xdr:colOff>
      <xdr:row>54</xdr:row>
      <xdr:rowOff>76200</xdr:rowOff>
    </xdr:from>
    <xdr:to>
      <xdr:col>11</xdr:col>
      <xdr:colOff>361950</xdr:colOff>
      <xdr:row>56</xdr:row>
      <xdr:rowOff>104775</xdr:rowOff>
    </xdr:to>
    <xdr:pic>
      <xdr:nvPicPr>
        <xdr:cNvPr id="8" name="Picture 7"/>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38750" y="10334625"/>
          <a:ext cx="1333500" cy="409575"/>
        </a:xfrm>
        <a:prstGeom prst="rect">
          <a:avLst/>
        </a:prstGeom>
      </xdr:spPr>
    </xdr:pic>
    <xdr:clientData/>
  </xdr:twoCellAnchor>
  <xdr:twoCellAnchor editAs="oneCell">
    <xdr:from>
      <xdr:col>8</xdr:col>
      <xdr:colOff>285750</xdr:colOff>
      <xdr:row>59</xdr:row>
      <xdr:rowOff>0</xdr:rowOff>
    </xdr:from>
    <xdr:to>
      <xdr:col>11</xdr:col>
      <xdr:colOff>400050</xdr:colOff>
      <xdr:row>65</xdr:row>
      <xdr:rowOff>76200</xdr:rowOff>
    </xdr:to>
    <xdr:pic>
      <xdr:nvPicPr>
        <xdr:cNvPr id="10" name="Picture 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4667250" y="11210925"/>
          <a:ext cx="1943100" cy="1219200"/>
        </a:xfrm>
        <a:prstGeom prst="rect">
          <a:avLst/>
        </a:prstGeom>
      </xdr:spPr>
    </xdr:pic>
    <xdr:clientData/>
  </xdr:twoCellAnchor>
  <xdr:twoCellAnchor editAs="oneCell">
    <xdr:from>
      <xdr:col>8</xdr:col>
      <xdr:colOff>171450</xdr:colOff>
      <xdr:row>67</xdr:row>
      <xdr:rowOff>95250</xdr:rowOff>
    </xdr:from>
    <xdr:to>
      <xdr:col>11</xdr:col>
      <xdr:colOff>361950</xdr:colOff>
      <xdr:row>71</xdr:row>
      <xdr:rowOff>57150</xdr:rowOff>
    </xdr:to>
    <xdr:pic>
      <xdr:nvPicPr>
        <xdr:cNvPr id="11" name="Picture 1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4552950" y="12830175"/>
          <a:ext cx="2019300" cy="723900"/>
        </a:xfrm>
        <a:prstGeom prst="rect">
          <a:avLst/>
        </a:prstGeom>
      </xdr:spPr>
    </xdr:pic>
    <xdr:clientData/>
  </xdr:twoCellAnchor>
  <xdr:twoCellAnchor editAs="oneCell">
    <xdr:from>
      <xdr:col>7</xdr:col>
      <xdr:colOff>39781</xdr:colOff>
      <xdr:row>75</xdr:row>
      <xdr:rowOff>66675</xdr:rowOff>
    </xdr:from>
    <xdr:to>
      <xdr:col>11</xdr:col>
      <xdr:colOff>142875</xdr:colOff>
      <xdr:row>78</xdr:row>
      <xdr:rowOff>180975</xdr:rowOff>
    </xdr:to>
    <xdr:pic>
      <xdr:nvPicPr>
        <xdr:cNvPr id="12" name="Picture 1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3811681" y="14401800"/>
          <a:ext cx="2541494" cy="685800"/>
        </a:xfrm>
        <a:prstGeom prst="rect">
          <a:avLst/>
        </a:prstGeom>
      </xdr:spPr>
    </xdr:pic>
    <xdr:clientData/>
  </xdr:twoCellAnchor>
  <xdr:twoCellAnchor>
    <xdr:from>
      <xdr:col>5</xdr:col>
      <xdr:colOff>525992</xdr:colOff>
      <xdr:row>77</xdr:row>
      <xdr:rowOff>134409</xdr:rowOff>
    </xdr:from>
    <xdr:to>
      <xdr:col>8</xdr:col>
      <xdr:colOff>68792</xdr:colOff>
      <xdr:row>77</xdr:row>
      <xdr:rowOff>134411</xdr:rowOff>
    </xdr:to>
    <xdr:cxnSp macro="">
      <xdr:nvCxnSpPr>
        <xdr:cNvPr id="97" name="DbgGradArrow"/>
        <xdr:cNvCxnSpPr/>
      </xdr:nvCxnSpPr>
      <xdr:spPr bwMode="auto">
        <a:xfrm flipV="1">
          <a:off x="2272242" y="14834659"/>
          <a:ext cx="1384300"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495300</xdr:colOff>
      <xdr:row>115</xdr:row>
      <xdr:rowOff>104775</xdr:rowOff>
    </xdr:from>
    <xdr:to>
      <xdr:col>11</xdr:col>
      <xdr:colOff>438150</xdr:colOff>
      <xdr:row>119</xdr:row>
      <xdr:rowOff>76200</xdr:rowOff>
    </xdr:to>
    <xdr:pic>
      <xdr:nvPicPr>
        <xdr:cNvPr id="13" name="Picture 1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4267200" y="22183725"/>
          <a:ext cx="2381250" cy="733425"/>
        </a:xfrm>
        <a:prstGeom prst="rect">
          <a:avLst/>
        </a:prstGeom>
      </xdr:spPr>
    </xdr:pic>
    <xdr:clientData/>
  </xdr:twoCellAnchor>
  <xdr:twoCellAnchor>
    <xdr:from>
      <xdr:col>6</xdr:col>
      <xdr:colOff>274108</xdr:colOff>
      <xdr:row>117</xdr:row>
      <xdr:rowOff>155575</xdr:rowOff>
    </xdr:from>
    <xdr:to>
      <xdr:col>8</xdr:col>
      <xdr:colOff>426508</xdr:colOff>
      <xdr:row>117</xdr:row>
      <xdr:rowOff>155577</xdr:rowOff>
    </xdr:to>
    <xdr:cxnSp macro="">
      <xdr:nvCxnSpPr>
        <xdr:cNvPr id="106" name="DbgGradArrow"/>
        <xdr:cNvCxnSpPr/>
      </xdr:nvCxnSpPr>
      <xdr:spPr bwMode="auto">
        <a:xfrm flipV="1">
          <a:off x="2634191" y="22592242"/>
          <a:ext cx="1380067"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476250</xdr:colOff>
      <xdr:row>135</xdr:row>
      <xdr:rowOff>0</xdr:rowOff>
    </xdr:from>
    <xdr:to>
      <xdr:col>11</xdr:col>
      <xdr:colOff>304800</xdr:colOff>
      <xdr:row>141</xdr:row>
      <xdr:rowOff>123825</xdr:rowOff>
    </xdr:to>
    <xdr:pic>
      <xdr:nvPicPr>
        <xdr:cNvPr id="14" name="Picture 1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4248150" y="25946100"/>
          <a:ext cx="2266950" cy="1266825"/>
        </a:xfrm>
        <a:prstGeom prst="rect">
          <a:avLst/>
        </a:prstGeom>
      </xdr:spPr>
    </xdr:pic>
    <xdr:clientData/>
  </xdr:twoCellAnchor>
  <xdr:twoCellAnchor editAs="oneCell">
    <xdr:from>
      <xdr:col>8</xdr:col>
      <xdr:colOff>95250</xdr:colOff>
      <xdr:row>159</xdr:row>
      <xdr:rowOff>152400</xdr:rowOff>
    </xdr:from>
    <xdr:to>
      <xdr:col>11</xdr:col>
      <xdr:colOff>438150</xdr:colOff>
      <xdr:row>163</xdr:row>
      <xdr:rowOff>180975</xdr:rowOff>
    </xdr:to>
    <xdr:pic>
      <xdr:nvPicPr>
        <xdr:cNvPr id="15" name="Picture 1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4476750" y="30746700"/>
          <a:ext cx="2171700" cy="790575"/>
        </a:xfrm>
        <a:prstGeom prst="rect">
          <a:avLst/>
        </a:prstGeom>
      </xdr:spPr>
    </xdr:pic>
    <xdr:clientData/>
  </xdr:twoCellAnchor>
  <xdr:twoCellAnchor>
    <xdr:from>
      <xdr:col>6</xdr:col>
      <xdr:colOff>476250</xdr:colOff>
      <xdr:row>162</xdr:row>
      <xdr:rowOff>0</xdr:rowOff>
    </xdr:from>
    <xdr:to>
      <xdr:col>9</xdr:col>
      <xdr:colOff>19050</xdr:colOff>
      <xdr:row>162</xdr:row>
      <xdr:rowOff>2</xdr:rowOff>
    </xdr:to>
    <xdr:cxnSp macro="">
      <xdr:nvCxnSpPr>
        <xdr:cNvPr id="121" name="DbgGradArrow"/>
        <xdr:cNvCxnSpPr/>
      </xdr:nvCxnSpPr>
      <xdr:spPr bwMode="auto">
        <a:xfrm flipV="1">
          <a:off x="2828925" y="31165800"/>
          <a:ext cx="1371600"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523875</xdr:colOff>
      <xdr:row>175</xdr:row>
      <xdr:rowOff>57150</xdr:rowOff>
    </xdr:from>
    <xdr:to>
      <xdr:col>11</xdr:col>
      <xdr:colOff>438150</xdr:colOff>
      <xdr:row>182</xdr:row>
      <xdr:rowOff>76200</xdr:rowOff>
    </xdr:to>
    <xdr:pic>
      <xdr:nvPicPr>
        <xdr:cNvPr id="16" name="Picture 15"/>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3686175" y="33775650"/>
          <a:ext cx="2962275" cy="1352550"/>
        </a:xfrm>
        <a:prstGeom prst="rect">
          <a:avLst/>
        </a:prstGeom>
      </xdr:spPr>
    </xdr:pic>
    <xdr:clientData/>
  </xdr:twoCellAnchor>
  <xdr:twoCellAnchor>
    <xdr:from>
      <xdr:col>5</xdr:col>
      <xdr:colOff>590550</xdr:colOff>
      <xdr:row>177</xdr:row>
      <xdr:rowOff>114300</xdr:rowOff>
    </xdr:from>
    <xdr:to>
      <xdr:col>8</xdr:col>
      <xdr:colOff>133350</xdr:colOff>
      <xdr:row>177</xdr:row>
      <xdr:rowOff>114302</xdr:rowOff>
    </xdr:to>
    <xdr:cxnSp macro="">
      <xdr:nvCxnSpPr>
        <xdr:cNvPr id="127" name="DbgGradArrow"/>
        <xdr:cNvCxnSpPr/>
      </xdr:nvCxnSpPr>
      <xdr:spPr bwMode="auto">
        <a:xfrm flipV="1">
          <a:off x="2333625" y="34213800"/>
          <a:ext cx="1371600" cy="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0"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0"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22.emf"/><Relationship Id="rId3" Type="http://schemas.openxmlformats.org/officeDocument/2006/relationships/vmlDrawing" Target="../drawings/vmlDrawing4.vml"/><Relationship Id="rId21" Type="http://schemas.openxmlformats.org/officeDocument/2006/relationships/image" Target="../media/image13.emf"/><Relationship Id="rId34" Type="http://schemas.openxmlformats.org/officeDocument/2006/relationships/control" Target="../activeX/activeX19.xml"/><Relationship Id="rId42" Type="http://schemas.openxmlformats.org/officeDocument/2006/relationships/control" Target="../activeX/activeX23.xml"/><Relationship Id="rId47" Type="http://schemas.openxmlformats.org/officeDocument/2006/relationships/image" Target="../media/image26.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21.xml"/><Relationship Id="rId46" Type="http://schemas.openxmlformats.org/officeDocument/2006/relationships/control" Target="../activeX/activeX25.xml"/><Relationship Id="rId2" Type="http://schemas.openxmlformats.org/officeDocument/2006/relationships/drawing" Target="../drawings/drawing10.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7.emf"/><Relationship Id="rId41" Type="http://schemas.openxmlformats.org/officeDocument/2006/relationships/image" Target="../media/image23.emf"/><Relationship Id="rId1" Type="http://schemas.openxmlformats.org/officeDocument/2006/relationships/printerSettings" Target="../printerSettings/printerSettings11.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21.emf"/><Relationship Id="rId40" Type="http://schemas.openxmlformats.org/officeDocument/2006/relationships/control" Target="../activeX/activeX22.xml"/><Relationship Id="rId45" Type="http://schemas.openxmlformats.org/officeDocument/2006/relationships/image" Target="../media/image25.emf"/><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6.xml"/><Relationship Id="rId36" Type="http://schemas.openxmlformats.org/officeDocument/2006/relationships/control" Target="../activeX/activeX20.xml"/><Relationship Id="rId49" Type="http://schemas.openxmlformats.org/officeDocument/2006/relationships/image" Target="../media/image27.emf"/><Relationship Id="rId10" Type="http://schemas.openxmlformats.org/officeDocument/2006/relationships/control" Target="../activeX/activeX7.xml"/><Relationship Id="rId19" Type="http://schemas.openxmlformats.org/officeDocument/2006/relationships/image" Target="../media/image12.emf"/><Relationship Id="rId31" Type="http://schemas.openxmlformats.org/officeDocument/2006/relationships/image" Target="../media/image18.emf"/><Relationship Id="rId44" Type="http://schemas.openxmlformats.org/officeDocument/2006/relationships/control" Target="../activeX/activeX24.xml"/><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6.emf"/><Relationship Id="rId30" Type="http://schemas.openxmlformats.org/officeDocument/2006/relationships/control" Target="../activeX/activeX17.xml"/><Relationship Id="rId35" Type="http://schemas.openxmlformats.org/officeDocument/2006/relationships/image" Target="../media/image20.emf"/><Relationship Id="rId43" Type="http://schemas.openxmlformats.org/officeDocument/2006/relationships/image" Target="../media/image24.emf"/><Relationship Id="rId48" Type="http://schemas.openxmlformats.org/officeDocument/2006/relationships/control" Target="../activeX/activeX26.xml"/><Relationship Id="rId8"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rketCapH"/>
  <dimension ref="A1:AF253"/>
  <sheetViews>
    <sheetView workbookViewId="0"/>
  </sheetViews>
  <sheetFormatPr defaultRowHeight="15"/>
  <cols>
    <col min="6" max="6" width="9.28515625" customWidth="1"/>
    <col min="32" max="32" width="11.42578125" customWidth="1"/>
  </cols>
  <sheetData>
    <row r="1" spans="1:32">
      <c r="A1" s="14" t="s">
        <v>382</v>
      </c>
    </row>
    <row r="2" spans="1:32">
      <c r="A2" s="14"/>
    </row>
    <row r="3" spans="1:32">
      <c r="A3" t="str">
        <f>Peers!A18</f>
        <v>005930 KS</v>
      </c>
      <c r="B3" t="str">
        <f>Peers!A19</f>
        <v>BB CN</v>
      </c>
      <c r="C3" t="str">
        <f>Peers!A20</f>
        <v>6758 JP</v>
      </c>
      <c r="D3" t="str">
        <f>Peers!A21</f>
        <v>066570 KS</v>
      </c>
      <c r="E3" t="str">
        <f>Peers!A22</f>
        <v>HPQ US</v>
      </c>
      <c r="F3" t="str">
        <f>Peers!A23</f>
        <v>CSCO US</v>
      </c>
      <c r="G3" t="str">
        <f>Peers!A24</f>
        <v>ALU FP</v>
      </c>
      <c r="H3" t="str">
        <f>Peers!A25</f>
        <v>ERICB SS</v>
      </c>
      <c r="I3" t="str">
        <f>Peers!A26</f>
        <v/>
      </c>
      <c r="J3" t="str">
        <f>Peers!A27</f>
        <v/>
      </c>
      <c r="K3" t="str">
        <f>Peers!A28</f>
        <v/>
      </c>
      <c r="L3" t="str">
        <f>Peers!A29</f>
        <v/>
      </c>
      <c r="M3" t="str">
        <f>Peers!A30</f>
        <v/>
      </c>
      <c r="N3" t="str">
        <f>Peers!A31</f>
        <v/>
      </c>
      <c r="O3" t="str">
        <f>Peers!A32</f>
        <v/>
      </c>
      <c r="P3" t="str">
        <f>Peers!A33</f>
        <v/>
      </c>
      <c r="Q3" t="str">
        <f>Peers!A34</f>
        <v/>
      </c>
      <c r="R3" t="str">
        <f>Peers!A35</f>
        <v/>
      </c>
      <c r="S3" t="str">
        <f>Peers!A36</f>
        <v/>
      </c>
      <c r="T3" t="str">
        <f>Peers!A37</f>
        <v/>
      </c>
      <c r="U3" s="46" t="str">
        <f>Peers!A38</f>
        <v/>
      </c>
      <c r="V3" s="46" t="str">
        <f>Peers!A39</f>
        <v/>
      </c>
      <c r="W3" t="str">
        <f>Peers!A40</f>
        <v/>
      </c>
      <c r="X3" t="str">
        <f>Peers!A41</f>
        <v/>
      </c>
      <c r="Y3" t="str">
        <f>Peers!A42</f>
        <v/>
      </c>
      <c r="Z3" t="str">
        <f>Peers!A43</f>
        <v/>
      </c>
      <c r="AA3" t="str">
        <f>Peers!A44</f>
        <v/>
      </c>
      <c r="AB3" t="str">
        <f>Peers!A45</f>
        <v/>
      </c>
      <c r="AC3" t="str">
        <f>Peers!A46</f>
        <v/>
      </c>
      <c r="AD3" t="str">
        <f>Peers!A47</f>
        <v/>
      </c>
    </row>
    <row r="4" spans="1:32">
      <c r="A4">
        <f>_xll.BDH(A3 &amp; " EQUITY","CUR_MKT_CAP",SD,ED,"Dts=H","FX=" &amp; CURRENCY,calCODE,dayCODE,"PER=" &amp; PERIODICITY,"cols=1;rows=69")</f>
        <v>177215.4278</v>
      </c>
      <c r="B4">
        <f>_xll.BDH(B3 &amp; " EQUITY","CUR_MKT_CAP",SD,ED,"Dts=H","FX=" &amp; CURRENCY,calCODE,dayCODE,"PER=" &amp; PERIODICITY,"cols=1;rows=69")</f>
        <v>5734.3134</v>
      </c>
      <c r="C4" t="str">
        <f>_xll.BDH(C3 &amp; " EQUITY","CUR_MKT_CAP",SD,ED,"Dts=H","FX=" &amp; CURRENCY,calCODE,dayCODE,"PER=" &amp; PERIODICITY,"cols=1;rows=69")</f>
        <v>#N/A N/A</v>
      </c>
      <c r="D4">
        <f>_xll.BDH(D3 &amp; " EQUITY","CUR_MKT_CAP",SD,ED,"Dts=H","FX=" &amp; CURRENCY,calCODE,dayCODE,"PER=" &amp; PERIODICITY,"cols=1;rows=69")</f>
        <v>8704.3559000000005</v>
      </c>
      <c r="E4">
        <f>_xll.BDH(E3 &amp; " EQUITY","CUR_MKT_CAP",SD,ED,"Dts=H","FX=" &amp; CURRENCY,calCODE,dayCODE,"PER=" &amp; PERIODICITY,"cols=1;rows=69")</f>
        <v>73803.460900000005</v>
      </c>
      <c r="F4">
        <f>_xll.BDH(F3 &amp; " EQUITY","CUR_MKT_CAP",SD,ED,"Dts=H","FX=" &amp; CURRENCY,calCODE,dayCODE,"PER=" &amp; PERIODICITY,"cols=1;rows=69")</f>
        <v>141186.17509999999</v>
      </c>
      <c r="G4">
        <f>_xll.BDH(G3 &amp; " EQUITY","CUR_MKT_CAP",SD,ED,"Dts=H","FX=" &amp; CURRENCY,calCODE,dayCODE,"PER=" &amp; PERIODICITY,"cols=1;rows=69")</f>
        <v>10011.097900000001</v>
      </c>
      <c r="H4">
        <f>_xll.BDH(H3 &amp; " EQUITY","CUR_MKT_CAP",SD,ED,"Dts=H","FX=" &amp; CURRENCY,calCODE,dayCODE,"PER=" &amp; PERIODICITY,"cols=1;rows=69")</f>
        <v>39367.071900000003</v>
      </c>
      <c r="I4" t="str">
        <f>_xll.BDH(I3 &amp; " EQUITY","CUR_MKT_CAP",SD,ED,"Dts=H","FX=" &amp; CURRENCY,calCODE,dayCODE,"PER=" &amp; PERIODICITY)</f>
        <v>#N/A Invalid Security</v>
      </c>
      <c r="J4" t="str">
        <f>_xll.BDH(J3 &amp; " EQUITY","CUR_MKT_CAP",SD,ED,"Dts=H","FX=" &amp; CURRENCY,calCODE,dayCODE,"PER=" &amp; PERIODICITY)</f>
        <v>#N/A Invalid Security</v>
      </c>
      <c r="K4" t="str">
        <f>_xll.BDH(K3 &amp; " EQUITY","CUR_MKT_CAP",SD,ED,"Dts=H","FX=" &amp; CURRENCY,calCODE,dayCODE,"PER=" &amp; PERIODICITY)</f>
        <v>#N/A Invalid Security</v>
      </c>
      <c r="L4" t="str">
        <f>_xll.BDH(L3 &amp; " EQUITY","CUR_MKT_CAP",SD,ED,"Dts=H","FX=" &amp; CURRENCY,calCODE,dayCODE,"PER=" &amp; PERIODICITY)</f>
        <v>#N/A Invalid Security</v>
      </c>
      <c r="M4" t="str">
        <f>_xll.BDH(M3 &amp; " EQUITY","CUR_MKT_CAP",SD,ED,"Dts=H","FX=" &amp; CURRENCY,calCODE,dayCODE,"PER=" &amp; PERIODICITY)</f>
        <v>#N/A Invalid Security</v>
      </c>
      <c r="N4" t="str">
        <f>_xll.BDH(N3 &amp; " EQUITY","CUR_MKT_CAP",SD,ED,"Dts=H","FX=" &amp; CURRENCY,calCODE,dayCODE,"PER=" &amp; PERIODICITY)</f>
        <v>#N/A Invalid Security</v>
      </c>
      <c r="O4" t="str">
        <f>_xll.BDH(O3 &amp; " EQUITY","CUR_MKT_CAP",SD,ED,"Dts=H","FX=" &amp; CURRENCY,calCODE,dayCODE,"PER=" &amp; PERIODICITY)</f>
        <v>#N/A Invalid Security</v>
      </c>
      <c r="P4" t="str">
        <f>_xll.BDH(P3 &amp; " EQUITY","CUR_MKT_CAP",SD,ED,"Dts=H","FX=" &amp; CURRENCY,calCODE,dayCODE,"PER=" &amp; PERIODICITY)</f>
        <v>#N/A Invalid Security</v>
      </c>
      <c r="Q4" t="str">
        <f>_xll.BDH(Q3 &amp; " EQUITY","CUR_MKT_CAP",SD,ED,"Dts=H","FX=" &amp; CURRENCY,calCODE,dayCODE,"PER=" &amp; PERIODICITY)</f>
        <v>#N/A Invalid Security</v>
      </c>
      <c r="R4" t="str">
        <f>_xll.BDH(R3 &amp; " EQUITY","CUR_MKT_CAP",SD,ED,"Dts=H","FX=" &amp; CURRENCY,calCODE,dayCODE,"PER=" &amp; PERIODICITY)</f>
        <v>#N/A Invalid Security</v>
      </c>
      <c r="S4" t="str">
        <f>_xll.BDH(S3 &amp; " EQUITY","CUR_MKT_CAP",SD,ED,"Dts=H","FX=" &amp; CURRENCY,calCODE,dayCODE,"PER=" &amp; PERIODICITY)</f>
        <v>#N/A Invalid Security</v>
      </c>
      <c r="T4" t="str">
        <f>_xll.BDH(T3 &amp; " EQUITY","CUR_MKT_CAP",SD,ED,"Dts=H","FX=" &amp; CURRENCY,calCODE,dayCODE,"PER=" &amp; PERIODICITY)</f>
        <v>#N/A Invalid Security</v>
      </c>
      <c r="U4" t="str">
        <f>_xll.BDH(U3 &amp; " EQUITY","CUR_MKT_CAP",SD,ED,"Dts=H","FX=" &amp; CURRENCY,calCODE,dayCODE,"PER=" &amp; PERIODICITY)</f>
        <v>#N/A Invalid Security</v>
      </c>
      <c r="V4" t="str">
        <f>_xll.BDH(V3 &amp; " EQUITY","CUR_MKT_CAP",SD,ED,"Dts=H","FX=" &amp; CURRENCY,calCODE,dayCODE,"PER=" &amp; PERIODICITY)</f>
        <v>#N/A Invalid Security</v>
      </c>
      <c r="W4" t="str">
        <f>_xll.BDH(W3 &amp; " EQUITY","CUR_MKT_CAP",SD,ED,"Dts=H","FX=" &amp; CURRENCY,calCODE,dayCODE,"PER=" &amp; PERIODICITY)</f>
        <v>#N/A Invalid Security</v>
      </c>
      <c r="X4" t="str">
        <f>_xll.BDH(X3 &amp; " EQUITY","CUR_MKT_CAP",SD,ED,"Dts=H","FX=" &amp; CURRENCY,calCODE,dayCODE,"PER=" &amp; PERIODICITY)</f>
        <v>#N/A Invalid Security</v>
      </c>
      <c r="Y4" t="str">
        <f>_xll.BDH(Y3 &amp; " EQUITY","CUR_MKT_CAP",SD,ED,"Dts=H","FX=" &amp; CURRENCY,calCODE,dayCODE,"PER=" &amp; PERIODICITY)</f>
        <v>#N/A Invalid Security</v>
      </c>
      <c r="Z4" t="str">
        <f>_xll.BDH(Z3 &amp; " EQUITY","CUR_MKT_CAP",SD,ED,"Dts=H","FX=" &amp; CURRENCY,calCODE,dayCODE,"PER=" &amp; PERIODICITY)</f>
        <v>#N/A Invalid Security</v>
      </c>
      <c r="AA4" t="str">
        <f>_xll.BDH(AA3 &amp; " EQUITY","CUR_MKT_CAP",SD,ED,"Dts=H","FX=" &amp; CURRENCY,calCODE,dayCODE,"PER=" &amp; PERIODICITY)</f>
        <v>#N/A Invalid Security</v>
      </c>
      <c r="AB4" t="str">
        <f>_xll.BDH(AB3 &amp; " EQUITY","CUR_MKT_CAP",SD,ED,"Dts=H","FX=" &amp; CURRENCY,calCODE,dayCODE,"PER=" &amp; PERIODICITY)</f>
        <v>#N/A Invalid Security</v>
      </c>
      <c r="AC4" t="str">
        <f>_xll.BDH(AC3 &amp; " EQUITY","CUR_MKT_CAP",SD,ED,"Dts=H","FX=" &amp; CURRENCY,calCODE,dayCODE,"PER=" &amp; PERIODICITY)</f>
        <v>#N/A Invalid Security</v>
      </c>
      <c r="AD4" t="str">
        <f>_xll.BDH(AD3 &amp; " EQUITY","CUR_MKT_CAP",SD,ED,"Dts=H","FX=" &amp; CURRENCY,calCODE,dayCODE,"PER=" &amp; PERIODICITY)</f>
        <v>#N/A Invalid Security</v>
      </c>
      <c r="AF4" s="38"/>
    </row>
    <row r="5" spans="1:32">
      <c r="A5">
        <v>176907.8377</v>
      </c>
      <c r="B5">
        <v>5673.0290999999997</v>
      </c>
      <c r="C5">
        <v>23754.051500000001</v>
      </c>
      <c r="D5">
        <v>8610.7147000000004</v>
      </c>
      <c r="E5">
        <v>72574.626000000004</v>
      </c>
      <c r="F5">
        <v>138373.7015</v>
      </c>
      <c r="G5">
        <v>9652.7932000000001</v>
      </c>
      <c r="H5">
        <v>39359.729099999997</v>
      </c>
      <c r="AF5" s="38"/>
    </row>
    <row r="6" spans="1:32">
      <c r="A6">
        <v>173846.1012</v>
      </c>
      <c r="B6">
        <v>5623.3145999999997</v>
      </c>
      <c r="C6">
        <v>23698.880499999999</v>
      </c>
      <c r="D6">
        <v>8963.5301999999992</v>
      </c>
      <c r="E6">
        <v>72024.401400000002</v>
      </c>
      <c r="F6">
        <v>138322.5656</v>
      </c>
      <c r="G6">
        <v>9524.2314000000006</v>
      </c>
      <c r="H6">
        <v>39359.729099999997</v>
      </c>
      <c r="AF6" s="38"/>
    </row>
    <row r="7" spans="1:32">
      <c r="A7">
        <v>174602.51629999999</v>
      </c>
      <c r="B7">
        <v>5623.1220999999996</v>
      </c>
      <c r="C7">
        <v>24587.039700000001</v>
      </c>
      <c r="D7">
        <v>8905.0341000000008</v>
      </c>
      <c r="E7">
        <v>72868.079100000003</v>
      </c>
      <c r="F7">
        <v>139600.9627</v>
      </c>
      <c r="G7">
        <v>9363.9999000000007</v>
      </c>
      <c r="H7">
        <v>38787.516799999998</v>
      </c>
      <c r="AF7" s="38"/>
    </row>
    <row r="8" spans="1:32">
      <c r="A8">
        <v>176475.5478</v>
      </c>
      <c r="B8">
        <v>5630.8319000000001</v>
      </c>
      <c r="C8">
        <v>24699.178199999998</v>
      </c>
      <c r="D8">
        <v>9280.8762999999999</v>
      </c>
      <c r="E8">
        <v>74610.456999999995</v>
      </c>
      <c r="F8">
        <v>140674.81630000001</v>
      </c>
      <c r="G8">
        <v>9660.2795999999998</v>
      </c>
      <c r="H8">
        <v>40245.225299999998</v>
      </c>
      <c r="AF8" s="38"/>
    </row>
    <row r="9" spans="1:32">
      <c r="A9">
        <v>178046.98989999999</v>
      </c>
      <c r="B9">
        <v>5495.0174999999999</v>
      </c>
      <c r="C9">
        <v>25229.2019</v>
      </c>
      <c r="D9">
        <v>9288.2492000000002</v>
      </c>
      <c r="E9">
        <v>74592.116200000004</v>
      </c>
      <c r="F9">
        <v>142106.62100000001</v>
      </c>
      <c r="G9">
        <v>9777.6574999999993</v>
      </c>
      <c r="H9">
        <v>39802.338600000003</v>
      </c>
      <c r="AF9" s="38"/>
    </row>
    <row r="10" spans="1:32">
      <c r="A10">
        <v>178851.04860000001</v>
      </c>
      <c r="B10">
        <v>5361.7062999999998</v>
      </c>
      <c r="C10">
        <v>25229.2019</v>
      </c>
      <c r="D10">
        <v>9376.4107999999997</v>
      </c>
      <c r="E10">
        <v>73216.554699999993</v>
      </c>
      <c r="F10">
        <v>143436.15400000001</v>
      </c>
      <c r="G10">
        <v>9534.2443999999996</v>
      </c>
      <c r="H10">
        <v>40162.236400000002</v>
      </c>
      <c r="AF10" s="38"/>
    </row>
    <row r="11" spans="1:32">
      <c r="A11">
        <v>182811.78349999999</v>
      </c>
      <c r="B11">
        <v>5131.1751999999997</v>
      </c>
      <c r="C11">
        <v>24588.828099999999</v>
      </c>
      <c r="D11">
        <v>9328.4213</v>
      </c>
      <c r="E11">
        <v>73014.805699999997</v>
      </c>
      <c r="F11">
        <v>143666.26550000001</v>
      </c>
      <c r="G11">
        <v>9507.8366000000005</v>
      </c>
      <c r="H11">
        <v>39724.741699999999</v>
      </c>
      <c r="AF11" s="38"/>
    </row>
    <row r="12" spans="1:32">
      <c r="A12">
        <v>182966.17240000001</v>
      </c>
      <c r="B12">
        <v>6733.8904000000002</v>
      </c>
      <c r="C12">
        <v>23931.454300000001</v>
      </c>
      <c r="D12">
        <v>9385.3299000000006</v>
      </c>
      <c r="E12">
        <v>72372.876999999993</v>
      </c>
      <c r="F12">
        <v>142771.38750000001</v>
      </c>
      <c r="G12">
        <v>9337.4035000000003</v>
      </c>
      <c r="H12">
        <v>39523.841099999998</v>
      </c>
      <c r="AF12" s="38"/>
    </row>
    <row r="13" spans="1:32">
      <c r="A13">
        <v>182328.5563</v>
      </c>
      <c r="B13">
        <v>5352.4593000000004</v>
      </c>
      <c r="C13">
        <v>24654.9424</v>
      </c>
      <c r="D13">
        <v>9247.5264999999999</v>
      </c>
      <c r="E13">
        <v>70043.592799999999</v>
      </c>
      <c r="F13">
        <v>140163.45749999999</v>
      </c>
      <c r="G13">
        <v>9274.3343999999997</v>
      </c>
      <c r="H13">
        <v>39339.144699999997</v>
      </c>
      <c r="AF13" s="38"/>
    </row>
    <row r="14" spans="1:32">
      <c r="A14">
        <v>179816.62719999999</v>
      </c>
      <c r="B14">
        <v>5395.8512000000001</v>
      </c>
      <c r="C14">
        <v>23342.9463</v>
      </c>
      <c r="D14">
        <v>9229.6867999999995</v>
      </c>
      <c r="E14">
        <v>70318.705100000006</v>
      </c>
      <c r="F14">
        <v>141544.1263</v>
      </c>
      <c r="G14">
        <v>9039.8348999999998</v>
      </c>
      <c r="H14">
        <v>39679.044399999999</v>
      </c>
      <c r="AF14" s="38"/>
    </row>
    <row r="15" spans="1:32">
      <c r="A15">
        <v>185774.40179999999</v>
      </c>
      <c r="B15">
        <v>5301.2808999999997</v>
      </c>
      <c r="C15">
        <v>24016.505300000001</v>
      </c>
      <c r="D15">
        <v>9101.1561000000002</v>
      </c>
      <c r="E15">
        <v>70832.248000000007</v>
      </c>
      <c r="F15">
        <v>143538.4258</v>
      </c>
      <c r="G15">
        <v>9360.7196999999996</v>
      </c>
      <c r="H15">
        <v>40392.577599999997</v>
      </c>
      <c r="AF15" s="38"/>
    </row>
    <row r="16" spans="1:32">
      <c r="A16">
        <v>189498.37940000001</v>
      </c>
      <c r="B16">
        <v>5235.9566000000004</v>
      </c>
      <c r="C16">
        <v>25479.109100000001</v>
      </c>
      <c r="D16">
        <v>9055.0733</v>
      </c>
      <c r="E16">
        <v>70740.543900000004</v>
      </c>
      <c r="F16">
        <v>142362.30050000001</v>
      </c>
      <c r="G16">
        <v>9300.9891000000007</v>
      </c>
      <c r="H16">
        <v>40178.952499999999</v>
      </c>
      <c r="AF16" s="38"/>
    </row>
    <row r="17" spans="1:32">
      <c r="A17">
        <v>187434.53320000001</v>
      </c>
      <c r="B17">
        <v>5575.4072999999999</v>
      </c>
      <c r="C17">
        <v>25580.617399999999</v>
      </c>
      <c r="D17">
        <v>9338.9552000000003</v>
      </c>
      <c r="E17">
        <v>73473.326199999996</v>
      </c>
      <c r="F17">
        <v>145737.26879999999</v>
      </c>
      <c r="G17">
        <v>9612.2314000000006</v>
      </c>
      <c r="H17">
        <v>39880.736400000002</v>
      </c>
      <c r="AF17" s="38"/>
    </row>
    <row r="18" spans="1:32">
      <c r="A18">
        <v>189687.5104</v>
      </c>
      <c r="B18">
        <v>5672.9694</v>
      </c>
      <c r="C18">
        <v>26888.486400000002</v>
      </c>
      <c r="D18">
        <v>9427.0676000000003</v>
      </c>
      <c r="E18">
        <v>73510.007800000007</v>
      </c>
      <c r="F18">
        <v>144254.32819999999</v>
      </c>
      <c r="G18">
        <v>9900.9429999999993</v>
      </c>
      <c r="H18">
        <v>40634.703200000004</v>
      </c>
      <c r="AF18" s="38"/>
    </row>
    <row r="19" spans="1:32">
      <c r="A19">
        <v>189289.0716</v>
      </c>
      <c r="B19">
        <v>5571.7807000000003</v>
      </c>
      <c r="C19">
        <v>26936.969400000002</v>
      </c>
      <c r="D19">
        <v>9508.0699000000004</v>
      </c>
      <c r="E19">
        <v>71235.746100000004</v>
      </c>
      <c r="F19">
        <v>143027.06700000001</v>
      </c>
      <c r="G19">
        <v>9891.1208000000006</v>
      </c>
      <c r="H19">
        <v>40952.193700000003</v>
      </c>
      <c r="AF19" s="38"/>
    </row>
    <row r="20" spans="1:32">
      <c r="A20">
        <v>191525.24739999999</v>
      </c>
      <c r="B20">
        <v>5583.2231000000002</v>
      </c>
      <c r="C20">
        <v>26999.501700000001</v>
      </c>
      <c r="D20">
        <v>9772.7862000000005</v>
      </c>
      <c r="E20">
        <v>68521.304699999993</v>
      </c>
      <c r="F20">
        <v>137555.52739999999</v>
      </c>
      <c r="G20">
        <v>9772.6167000000005</v>
      </c>
      <c r="H20">
        <v>39820.639300000003</v>
      </c>
      <c r="AF20" s="38"/>
    </row>
    <row r="21" spans="1:32">
      <c r="A21">
        <v>187030.3971</v>
      </c>
      <c r="B21">
        <v>5373.8253000000004</v>
      </c>
      <c r="C21">
        <v>27752.6011</v>
      </c>
      <c r="D21">
        <v>9575.1620000000003</v>
      </c>
      <c r="E21">
        <v>68154.488299999997</v>
      </c>
      <c r="F21">
        <v>137069.7365</v>
      </c>
      <c r="G21">
        <v>10109.721</v>
      </c>
      <c r="H21">
        <v>39840.8557</v>
      </c>
      <c r="AF21" s="38"/>
    </row>
    <row r="22" spans="1:32">
      <c r="A22">
        <v>182094.0171</v>
      </c>
      <c r="B22">
        <v>5393.7372999999998</v>
      </c>
      <c r="C22">
        <v>27146.616900000001</v>
      </c>
      <c r="D22">
        <v>9311.9477000000006</v>
      </c>
      <c r="E22">
        <v>69218.255900000004</v>
      </c>
      <c r="F22">
        <v>139191.8757</v>
      </c>
      <c r="G22">
        <v>10011.8866</v>
      </c>
      <c r="H22">
        <v>40391.941800000001</v>
      </c>
      <c r="AF22" s="38"/>
    </row>
    <row r="23" spans="1:32">
      <c r="A23">
        <v>182017.2977</v>
      </c>
      <c r="B23">
        <v>5364.3092999999999</v>
      </c>
      <c r="C23">
        <v>27349.4548</v>
      </c>
      <c r="D23">
        <v>9007.2666000000008</v>
      </c>
      <c r="E23">
        <v>66265.383799999996</v>
      </c>
      <c r="F23">
        <v>134819.75760000001</v>
      </c>
      <c r="G23">
        <v>9850.3806999999997</v>
      </c>
      <c r="H23">
        <v>40166.104299999999</v>
      </c>
      <c r="AF23" s="38"/>
    </row>
    <row r="24" spans="1:32">
      <c r="A24">
        <v>183195.13219999999</v>
      </c>
      <c r="B24">
        <v>5312.2395999999999</v>
      </c>
      <c r="C24">
        <v>26630.031500000001</v>
      </c>
      <c r="D24">
        <v>9001.0388000000003</v>
      </c>
      <c r="E24">
        <v>66648.439700000003</v>
      </c>
      <c r="F24">
        <v>137197.57620000001</v>
      </c>
      <c r="G24">
        <v>9761.7931000000008</v>
      </c>
      <c r="H24">
        <v>40139.890099999997</v>
      </c>
      <c r="AF24" s="38"/>
    </row>
    <row r="25" spans="1:32">
      <c r="A25">
        <v>183409.19099999999</v>
      </c>
      <c r="B25">
        <v>5230.8869999999997</v>
      </c>
      <c r="C25">
        <v>26608.821800000002</v>
      </c>
      <c r="D25">
        <v>8994.9164999999994</v>
      </c>
      <c r="E25">
        <v>69024.172399999996</v>
      </c>
      <c r="F25">
        <v>138680.51680000001</v>
      </c>
      <c r="G25">
        <v>10006.838299999999</v>
      </c>
      <c r="H25">
        <v>41055.5933</v>
      </c>
      <c r="AF25" s="38"/>
    </row>
    <row r="26" spans="1:32">
      <c r="A26">
        <v>184029.37390000001</v>
      </c>
      <c r="B26">
        <v>5239.8854000000001</v>
      </c>
      <c r="C26">
        <v>27276.928500000002</v>
      </c>
      <c r="D26">
        <v>9222.2649000000001</v>
      </c>
      <c r="E26">
        <v>69261.745699999999</v>
      </c>
      <c r="F26">
        <v>136481.67379999999</v>
      </c>
      <c r="G26">
        <v>10202.669900000001</v>
      </c>
      <c r="H26">
        <v>40337.833700000003</v>
      </c>
      <c r="AF26" s="38"/>
    </row>
    <row r="27" spans="1:32">
      <c r="A27">
        <v>184193.67800000001</v>
      </c>
      <c r="B27">
        <v>5324.0192999999999</v>
      </c>
      <c r="C27">
        <v>30609.629000000001</v>
      </c>
      <c r="D27">
        <v>9131.8127999999997</v>
      </c>
      <c r="E27">
        <v>69353.1201</v>
      </c>
      <c r="F27">
        <v>139396.4192</v>
      </c>
      <c r="G27">
        <v>10218.6985</v>
      </c>
      <c r="H27">
        <v>40247.051500000001</v>
      </c>
      <c r="AF27" s="38"/>
    </row>
    <row r="28" spans="1:32">
      <c r="A28">
        <v>184040.32699999999</v>
      </c>
      <c r="B28">
        <v>5288.7129999999997</v>
      </c>
      <c r="C28">
        <v>30488.740600000001</v>
      </c>
      <c r="D28">
        <v>8986.3974999999991</v>
      </c>
      <c r="E28">
        <v>69353.1201</v>
      </c>
      <c r="F28">
        <v>139294.14739999999</v>
      </c>
      <c r="G28">
        <v>10458.036599999999</v>
      </c>
      <c r="H28">
        <v>39875.5461</v>
      </c>
      <c r="AF28" s="38"/>
    </row>
    <row r="29" spans="1:32">
      <c r="A29">
        <v>187265.39050000001</v>
      </c>
      <c r="B29">
        <v>5221.2800999999999</v>
      </c>
      <c r="C29">
        <v>29885.3897</v>
      </c>
      <c r="D29">
        <v>8963.2850999999991</v>
      </c>
      <c r="E29">
        <v>68786.599199999997</v>
      </c>
      <c r="F29">
        <v>138680.51680000001</v>
      </c>
      <c r="G29">
        <v>10375.034600000001</v>
      </c>
      <c r="H29">
        <v>39916.595999999998</v>
      </c>
      <c r="AF29" s="38"/>
    </row>
    <row r="30" spans="1:32">
      <c r="A30">
        <v>184631.6336</v>
      </c>
      <c r="B30">
        <v>5250.3927000000003</v>
      </c>
      <c r="C30">
        <v>29807.2778</v>
      </c>
      <c r="D30">
        <v>8827.1602999999996</v>
      </c>
      <c r="E30">
        <v>69243.470799999996</v>
      </c>
      <c r="F30">
        <v>140572.54449999999</v>
      </c>
      <c r="G30">
        <v>10528.561100000001</v>
      </c>
      <c r="H30">
        <v>41243.2673</v>
      </c>
      <c r="AF30" s="38"/>
    </row>
    <row r="31" spans="1:32">
      <c r="A31">
        <v>179989.7145</v>
      </c>
      <c r="B31">
        <v>5221.7514000000001</v>
      </c>
      <c r="C31">
        <v>29807.2778</v>
      </c>
      <c r="D31">
        <v>8854.6025000000009</v>
      </c>
      <c r="E31">
        <v>69773.441999999995</v>
      </c>
      <c r="F31">
        <v>137708.935</v>
      </c>
      <c r="G31">
        <v>10658.335999999999</v>
      </c>
      <c r="H31">
        <v>41134.604700000004</v>
      </c>
      <c r="AF31" s="38"/>
    </row>
    <row r="32" spans="1:32">
      <c r="A32">
        <v>179652.8928</v>
      </c>
      <c r="B32">
        <v>5214.2272999999996</v>
      </c>
      <c r="C32">
        <v>31471.409199999998</v>
      </c>
      <c r="D32">
        <v>8895.5169999999998</v>
      </c>
      <c r="E32">
        <v>70120.664499999999</v>
      </c>
      <c r="F32">
        <v>150646.31359999999</v>
      </c>
      <c r="G32">
        <v>11142.110500000001</v>
      </c>
      <c r="H32">
        <v>41907.878299999997</v>
      </c>
      <c r="AF32" s="38"/>
    </row>
    <row r="33" spans="1:32">
      <c r="A33">
        <v>182544.83660000001</v>
      </c>
      <c r="B33">
        <v>5332.8792999999996</v>
      </c>
      <c r="C33">
        <v>31409.200099999998</v>
      </c>
      <c r="D33">
        <v>8940.7119999999995</v>
      </c>
      <c r="E33">
        <v>70467.886899999998</v>
      </c>
      <c r="F33">
        <v>150492.90599999999</v>
      </c>
      <c r="G33">
        <v>11029.7587</v>
      </c>
      <c r="H33">
        <v>41892.759599999998</v>
      </c>
      <c r="AF33" s="38"/>
    </row>
    <row r="34" spans="1:32">
      <c r="A34">
        <v>183012.7311</v>
      </c>
      <c r="B34">
        <v>5467.4227000000001</v>
      </c>
      <c r="C34">
        <v>30375.438200000001</v>
      </c>
      <c r="D34">
        <v>8948.0707999999995</v>
      </c>
      <c r="E34">
        <v>70413.062300000005</v>
      </c>
      <c r="F34">
        <v>149879.27540000001</v>
      </c>
      <c r="G34">
        <v>10958.9184</v>
      </c>
      <c r="H34">
        <v>42257.776299999998</v>
      </c>
      <c r="AF34" s="38"/>
    </row>
    <row r="35" spans="1:32">
      <c r="A35">
        <v>183012.7311</v>
      </c>
      <c r="B35">
        <v>5472.7043999999996</v>
      </c>
      <c r="C35">
        <v>30815.1878</v>
      </c>
      <c r="D35">
        <v>8948.0707999999995</v>
      </c>
      <c r="E35">
        <v>69718.617400000003</v>
      </c>
      <c r="F35">
        <v>150538.7463</v>
      </c>
      <c r="G35">
        <v>11187.659799999999</v>
      </c>
      <c r="H35">
        <v>42352.943800000001</v>
      </c>
      <c r="AF35" s="38"/>
    </row>
    <row r="36" spans="1:32">
      <c r="A36">
        <v>183012.7311</v>
      </c>
      <c r="B36">
        <v>5484.2182000000003</v>
      </c>
      <c r="C36">
        <v>31411.7287</v>
      </c>
      <c r="D36">
        <v>8948.0707999999995</v>
      </c>
      <c r="E36">
        <v>70138.939299999998</v>
      </c>
      <c r="F36">
        <v>149619.8933</v>
      </c>
      <c r="G36">
        <v>11130.641799999999</v>
      </c>
      <c r="H36">
        <v>42768.966699999997</v>
      </c>
      <c r="AF36" s="38"/>
    </row>
    <row r="37" spans="1:32">
      <c r="A37">
        <v>183012.7311</v>
      </c>
      <c r="B37">
        <v>5438.7331000000004</v>
      </c>
      <c r="C37">
        <v>31514.703699999998</v>
      </c>
      <c r="D37">
        <v>8948.0707999999995</v>
      </c>
      <c r="E37">
        <v>70157.214200000002</v>
      </c>
      <c r="F37">
        <v>151151.315</v>
      </c>
      <c r="G37">
        <v>10979.909799999999</v>
      </c>
      <c r="H37">
        <v>42607.119200000001</v>
      </c>
      <c r="AF37" s="38"/>
    </row>
    <row r="38" spans="1:32">
      <c r="A38">
        <v>181519.87880000001</v>
      </c>
      <c r="B38">
        <v>5334.9115000000002</v>
      </c>
      <c r="C38">
        <v>31527.153699999999</v>
      </c>
      <c r="D38">
        <v>8984.2618000000002</v>
      </c>
      <c r="E38">
        <v>69791.716899999999</v>
      </c>
      <c r="F38">
        <v>151253.40969999999</v>
      </c>
      <c r="G38">
        <v>10972.2595</v>
      </c>
      <c r="H38">
        <v>42369.794600000001</v>
      </c>
      <c r="AF38" s="38"/>
    </row>
    <row r="39" spans="1:32">
      <c r="A39">
        <v>181961.1299</v>
      </c>
      <c r="B39">
        <v>5371.3037000000004</v>
      </c>
      <c r="C39">
        <v>32217.834699999999</v>
      </c>
      <c r="D39">
        <v>9050.4663999999993</v>
      </c>
      <c r="E39">
        <v>70339.962899999999</v>
      </c>
      <c r="F39">
        <v>151253.40969999999</v>
      </c>
      <c r="G39">
        <v>11062.457899999999</v>
      </c>
      <c r="H39">
        <v>42848.500500000002</v>
      </c>
      <c r="AF39" s="38"/>
    </row>
    <row r="40" spans="1:32">
      <c r="A40">
        <v>184170.90849999999</v>
      </c>
      <c r="B40">
        <v>5535.3041999999996</v>
      </c>
      <c r="C40">
        <v>32249.035800000001</v>
      </c>
      <c r="D40">
        <v>9125.1772000000001</v>
      </c>
      <c r="E40">
        <v>63358.9637</v>
      </c>
      <c r="F40">
        <v>150538.7463</v>
      </c>
      <c r="G40">
        <v>11233.0252</v>
      </c>
      <c r="H40">
        <v>42763.366399999999</v>
      </c>
      <c r="AF40" s="38"/>
    </row>
    <row r="41" spans="1:32">
      <c r="A41">
        <v>183830.03649999999</v>
      </c>
      <c r="B41">
        <v>5699.7020000000002</v>
      </c>
      <c r="C41">
        <v>32765.1158</v>
      </c>
      <c r="D41">
        <v>9075.3714999999993</v>
      </c>
      <c r="E41">
        <v>62152.822500000002</v>
      </c>
      <c r="F41">
        <v>152682.7366</v>
      </c>
      <c r="G41">
        <v>11180.6152</v>
      </c>
      <c r="H41">
        <v>42385.482900000003</v>
      </c>
      <c r="AF41" s="38"/>
    </row>
    <row r="42" spans="1:32">
      <c r="A42">
        <v>181570.2064</v>
      </c>
      <c r="B42">
        <v>5723.6783999999998</v>
      </c>
      <c r="C42">
        <v>33344.343699999998</v>
      </c>
      <c r="D42">
        <v>9186.7656999999999</v>
      </c>
      <c r="E42">
        <v>63669.636400000003</v>
      </c>
      <c r="F42">
        <v>150640.84109999999</v>
      </c>
      <c r="G42">
        <v>11041.6867</v>
      </c>
      <c r="H42">
        <v>42664.758999999998</v>
      </c>
      <c r="AF42" s="38"/>
    </row>
    <row r="43" spans="1:32">
      <c r="A43">
        <v>190207.66880000001</v>
      </c>
      <c r="B43">
        <v>5844.9323000000004</v>
      </c>
      <c r="C43">
        <v>32561.7484</v>
      </c>
      <c r="D43">
        <v>8984.3760999999995</v>
      </c>
      <c r="E43">
        <v>63815.835400000004</v>
      </c>
      <c r="F43">
        <v>154112.06349999999</v>
      </c>
      <c r="G43">
        <v>11075.3624</v>
      </c>
      <c r="H43">
        <v>42276.197399999997</v>
      </c>
      <c r="AF43" s="38"/>
    </row>
    <row r="44" spans="1:32">
      <c r="A44">
        <v>190394.5638</v>
      </c>
      <c r="B44">
        <v>5809.3789999999999</v>
      </c>
      <c r="C44">
        <v>32709.347699999998</v>
      </c>
      <c r="D44">
        <v>9039.8320999999996</v>
      </c>
      <c r="E44">
        <v>63176.214999999997</v>
      </c>
      <c r="F44">
        <v>150793.98329999999</v>
      </c>
      <c r="G44">
        <v>10965.4661</v>
      </c>
      <c r="H44">
        <v>42089.279999999999</v>
      </c>
      <c r="AF44" s="38"/>
    </row>
    <row r="45" spans="1:32">
      <c r="A45">
        <v>192269.17939999999</v>
      </c>
      <c r="B45">
        <v>5731.6603999999998</v>
      </c>
      <c r="C45">
        <v>32462.197100000001</v>
      </c>
      <c r="D45">
        <v>9052.7312000000002</v>
      </c>
      <c r="E45">
        <v>62481.770100000002</v>
      </c>
      <c r="F45">
        <v>149721.98809999999</v>
      </c>
      <c r="G45">
        <v>10883.8804</v>
      </c>
      <c r="H45">
        <v>41978.558499999999</v>
      </c>
      <c r="AF45" s="38"/>
    </row>
    <row r="46" spans="1:32">
      <c r="A46">
        <v>189994.69330000001</v>
      </c>
      <c r="B46">
        <v>5759.2543999999998</v>
      </c>
      <c r="C46">
        <v>32547.1489</v>
      </c>
      <c r="D46">
        <v>8995.4714000000004</v>
      </c>
      <c r="E46">
        <v>62134.547599999998</v>
      </c>
      <c r="F46">
        <v>149568.84589999999</v>
      </c>
      <c r="G46">
        <v>10946.913399999999</v>
      </c>
      <c r="H46">
        <v>42093.193700000003</v>
      </c>
      <c r="AF46" s="38"/>
    </row>
    <row r="47" spans="1:32">
      <c r="A47">
        <v>191137.73989999999</v>
      </c>
      <c r="B47">
        <v>5633.6670000000004</v>
      </c>
      <c r="C47">
        <v>32266.842100000002</v>
      </c>
      <c r="D47">
        <v>8894.6231000000007</v>
      </c>
      <c r="E47">
        <v>60636.008500000004</v>
      </c>
      <c r="F47">
        <v>147654.56890000001</v>
      </c>
      <c r="G47">
        <v>10688.957899999999</v>
      </c>
      <c r="H47">
        <v>41204.071300000003</v>
      </c>
      <c r="AF47" s="38"/>
    </row>
    <row r="48" spans="1:32">
      <c r="A48">
        <v>187323.16940000001</v>
      </c>
      <c r="B48">
        <v>5221.5319</v>
      </c>
      <c r="C48">
        <v>31647.465100000001</v>
      </c>
      <c r="D48">
        <v>8808.1975999999995</v>
      </c>
      <c r="E48">
        <v>60215.686600000001</v>
      </c>
      <c r="F48">
        <v>149875.13029999999</v>
      </c>
      <c r="G48">
        <v>10797.038500000001</v>
      </c>
      <c r="H48">
        <v>41271.132700000002</v>
      </c>
      <c r="AF48" s="38"/>
    </row>
    <row r="49" spans="1:32">
      <c r="A49">
        <v>185962.85430000001</v>
      </c>
      <c r="B49">
        <v>5176.3028999999997</v>
      </c>
      <c r="C49">
        <v>31348.7405</v>
      </c>
      <c r="D49">
        <v>8752.6193999999996</v>
      </c>
      <c r="E49">
        <v>59703.990299999998</v>
      </c>
      <c r="F49">
        <v>146301.8131</v>
      </c>
      <c r="G49">
        <v>10572.205400000001</v>
      </c>
      <c r="H49">
        <v>40342.680699999997</v>
      </c>
      <c r="AF49" s="38"/>
    </row>
    <row r="50" spans="1:32">
      <c r="A50">
        <v>191753.9963</v>
      </c>
      <c r="B50">
        <v>5232.3805000000002</v>
      </c>
      <c r="C50">
        <v>31361.3799</v>
      </c>
      <c r="D50">
        <v>8657.3143999999993</v>
      </c>
      <c r="E50">
        <v>59270.589699999997</v>
      </c>
      <c r="F50">
        <v>144259.91759999999</v>
      </c>
      <c r="G50">
        <v>10949.1873</v>
      </c>
      <c r="H50">
        <v>40995.843399999998</v>
      </c>
      <c r="AF50" s="38"/>
    </row>
    <row r="51" spans="1:32">
      <c r="A51">
        <v>189508.52480000001</v>
      </c>
      <c r="B51">
        <v>5254.9548000000004</v>
      </c>
      <c r="C51">
        <v>31432.105899999999</v>
      </c>
      <c r="D51">
        <v>8686.4830999999995</v>
      </c>
      <c r="E51">
        <v>59470.521200000003</v>
      </c>
      <c r="F51">
        <v>144157.8229</v>
      </c>
      <c r="G51">
        <v>11089.0813</v>
      </c>
      <c r="H51">
        <v>41651.916799999999</v>
      </c>
      <c r="AF51" s="38"/>
    </row>
    <row r="52" spans="1:32">
      <c r="A52">
        <v>188724.07089999999</v>
      </c>
      <c r="B52">
        <v>5177.8419000000004</v>
      </c>
      <c r="C52">
        <v>31077.153900000001</v>
      </c>
      <c r="D52">
        <v>8562.3729000000003</v>
      </c>
      <c r="E52">
        <v>58943.429199999999</v>
      </c>
      <c r="F52">
        <v>142626.40119999999</v>
      </c>
      <c r="G52">
        <v>10993.419</v>
      </c>
      <c r="H52">
        <v>41440.196300000003</v>
      </c>
      <c r="AF52" s="38"/>
    </row>
    <row r="53" spans="1:32">
      <c r="A53">
        <v>191588.96599999999</v>
      </c>
      <c r="B53">
        <v>5135.8459000000003</v>
      </c>
      <c r="C53">
        <v>29885.790799999999</v>
      </c>
      <c r="D53">
        <v>8629.9611999999997</v>
      </c>
      <c r="E53">
        <v>58852.551200000002</v>
      </c>
      <c r="F53">
        <v>144464.1072</v>
      </c>
      <c r="G53">
        <v>11021.432000000001</v>
      </c>
      <c r="H53">
        <v>42334.436000000002</v>
      </c>
      <c r="AF53" s="38"/>
    </row>
    <row r="54" spans="1:32">
      <c r="A54">
        <v>195149.38800000001</v>
      </c>
      <c r="B54">
        <v>5143.3238000000001</v>
      </c>
      <c r="C54">
        <v>31159.458999999999</v>
      </c>
      <c r="D54">
        <v>8718.6915000000008</v>
      </c>
      <c r="E54">
        <v>58943.429199999999</v>
      </c>
      <c r="F54">
        <v>143698.3964</v>
      </c>
      <c r="G54">
        <v>10730.799199999999</v>
      </c>
      <c r="H54">
        <v>42008.035799999998</v>
      </c>
      <c r="AF54" s="38"/>
    </row>
    <row r="55" spans="1:32">
      <c r="A55">
        <v>196674.7763</v>
      </c>
      <c r="B55">
        <v>5078.9609</v>
      </c>
      <c r="C55">
        <v>32959.0821</v>
      </c>
      <c r="D55">
        <v>8737.2263000000003</v>
      </c>
      <c r="E55">
        <v>60033.964399999997</v>
      </c>
      <c r="F55">
        <v>143698.3964</v>
      </c>
      <c r="G55">
        <v>10864.657300000001</v>
      </c>
      <c r="H55">
        <v>42489.304400000001</v>
      </c>
      <c r="AF55" s="38"/>
    </row>
    <row r="56" spans="1:32">
      <c r="A56">
        <v>192923.8547</v>
      </c>
      <c r="B56">
        <v>5127.3108000000002</v>
      </c>
      <c r="C56">
        <v>32692.296399999999</v>
      </c>
      <c r="D56">
        <v>8762.9935999999998</v>
      </c>
      <c r="E56">
        <v>59688.628199999999</v>
      </c>
      <c r="F56">
        <v>144259.91759999999</v>
      </c>
      <c r="G56">
        <v>10926.8796</v>
      </c>
      <c r="H56">
        <v>42668.493199999997</v>
      </c>
      <c r="AF56" s="38"/>
    </row>
    <row r="57" spans="1:32">
      <c r="A57">
        <v>193870.66810000001</v>
      </c>
      <c r="B57">
        <v>5031.8371999999999</v>
      </c>
      <c r="C57">
        <v>32753.381099999999</v>
      </c>
      <c r="D57">
        <v>8797.9531000000006</v>
      </c>
      <c r="E57">
        <v>60488.354099999997</v>
      </c>
      <c r="F57">
        <v>145178.77059999999</v>
      </c>
      <c r="G57">
        <v>10921.0689</v>
      </c>
      <c r="H57">
        <v>42959.235699999997</v>
      </c>
      <c r="AF57" s="38"/>
    </row>
    <row r="58" spans="1:32">
      <c r="A58">
        <v>194962.0336</v>
      </c>
      <c r="B58">
        <v>5029.2055</v>
      </c>
      <c r="C58">
        <v>32661.021499999999</v>
      </c>
      <c r="D58">
        <v>8858.9164999999994</v>
      </c>
      <c r="E58">
        <v>60797.339</v>
      </c>
      <c r="F58">
        <v>145000.1047</v>
      </c>
      <c r="G58">
        <v>11043.697899999999</v>
      </c>
      <c r="H58">
        <v>42857.793700000002</v>
      </c>
      <c r="AF58" s="38"/>
    </row>
    <row r="59" spans="1:32">
      <c r="A59">
        <v>196911.39869999999</v>
      </c>
      <c r="B59">
        <v>5046.5312999999996</v>
      </c>
      <c r="C59">
        <v>32314.778699999999</v>
      </c>
      <c r="D59">
        <v>8952.2224000000006</v>
      </c>
      <c r="E59">
        <v>60542.880799999999</v>
      </c>
      <c r="F59">
        <v>142932.68549999999</v>
      </c>
      <c r="G59">
        <v>11040.8274</v>
      </c>
      <c r="H59">
        <v>42866.863599999997</v>
      </c>
      <c r="AF59" s="38"/>
    </row>
    <row r="60" spans="1:32">
      <c r="A60">
        <v>198901.11069999999</v>
      </c>
      <c r="B60">
        <v>4905.4687999999996</v>
      </c>
      <c r="C60">
        <v>32030.204300000001</v>
      </c>
      <c r="D60">
        <v>8868.8323</v>
      </c>
      <c r="E60">
        <v>58525.390599999999</v>
      </c>
      <c r="F60">
        <v>140176.12659999999</v>
      </c>
      <c r="G60">
        <v>10929.281000000001</v>
      </c>
      <c r="H60">
        <v>42626.260999999999</v>
      </c>
      <c r="AF60" s="38"/>
    </row>
    <row r="61" spans="1:32">
      <c r="A61">
        <v>189383.52220000001</v>
      </c>
      <c r="B61">
        <v>4911.0540000000001</v>
      </c>
      <c r="C61">
        <v>31007.024300000001</v>
      </c>
      <c r="D61">
        <v>8795.1648000000005</v>
      </c>
      <c r="E61">
        <v>58180.054499999998</v>
      </c>
      <c r="F61">
        <v>138287.37330000001</v>
      </c>
      <c r="G61">
        <v>10625.0916</v>
      </c>
      <c r="H61">
        <v>42047.839899999999</v>
      </c>
      <c r="AF61" s="38"/>
    </row>
    <row r="62" spans="1:32">
      <c r="A62">
        <v>189584.21669999999</v>
      </c>
      <c r="B62">
        <v>4998.6118999999999</v>
      </c>
      <c r="C62">
        <v>31373.441699999999</v>
      </c>
      <c r="D62">
        <v>8730.3734999999997</v>
      </c>
      <c r="E62">
        <v>57234.923999999999</v>
      </c>
      <c r="F62">
        <v>138491.56280000001</v>
      </c>
      <c r="G62">
        <v>10489.971</v>
      </c>
      <c r="H62">
        <v>41861.255499999999</v>
      </c>
      <c r="AF62" s="38"/>
    </row>
    <row r="63" spans="1:32">
      <c r="A63">
        <v>189934.93669999999</v>
      </c>
      <c r="B63">
        <v>4653.0083999999997</v>
      </c>
      <c r="C63">
        <v>31274.637599999998</v>
      </c>
      <c r="D63">
        <v>8688.8719999999994</v>
      </c>
      <c r="E63">
        <v>57380.328699999998</v>
      </c>
      <c r="F63">
        <v>141146.027</v>
      </c>
      <c r="G63">
        <v>10768.5969</v>
      </c>
      <c r="H63">
        <v>41920.729700000004</v>
      </c>
      <c r="AF63" s="38"/>
    </row>
    <row r="64" spans="1:32">
      <c r="A64">
        <v>191449.6721</v>
      </c>
      <c r="B64">
        <v>4709.0851000000002</v>
      </c>
      <c r="C64">
        <v>31103.436900000001</v>
      </c>
      <c r="D64">
        <v>8693.9145000000008</v>
      </c>
      <c r="E64">
        <v>56635.1296</v>
      </c>
      <c r="F64">
        <v>140507.93460000001</v>
      </c>
      <c r="G64">
        <v>10664.9149</v>
      </c>
      <c r="H64">
        <v>41290.252899999999</v>
      </c>
      <c r="AF64" s="38"/>
    </row>
    <row r="65" spans="1:32">
      <c r="A65">
        <v>190848.45439999999</v>
      </c>
      <c r="B65">
        <v>4714.9264999999996</v>
      </c>
      <c r="C65">
        <v>31660.978299999999</v>
      </c>
      <c r="D65">
        <v>8731.5388000000003</v>
      </c>
      <c r="E65">
        <v>56871.412199999999</v>
      </c>
      <c r="F65">
        <v>139104.13149999999</v>
      </c>
      <c r="G65">
        <v>10597.873799999999</v>
      </c>
      <c r="H65">
        <v>41462.047200000001</v>
      </c>
      <c r="AF65" s="38"/>
    </row>
    <row r="66" spans="1:32">
      <c r="A66">
        <v>193781.1268</v>
      </c>
      <c r="B66">
        <v>4769.8531000000003</v>
      </c>
      <c r="C66">
        <v>32592.191299999999</v>
      </c>
      <c r="D66">
        <v>8707.6255999999994</v>
      </c>
      <c r="E66">
        <v>57071.343699999998</v>
      </c>
      <c r="F66">
        <v>138491.56280000001</v>
      </c>
      <c r="G66">
        <v>10938.930200000001</v>
      </c>
      <c r="H66">
        <v>41612.822500000002</v>
      </c>
      <c r="AF66" s="38"/>
    </row>
    <row r="67" spans="1:32">
      <c r="A67">
        <v>199346.36120000001</v>
      </c>
      <c r="B67">
        <v>4948.2304000000004</v>
      </c>
      <c r="C67">
        <v>34183.381999999998</v>
      </c>
      <c r="D67">
        <v>8693.1309000000001</v>
      </c>
      <c r="E67">
        <v>57852.893900000003</v>
      </c>
      <c r="F67">
        <v>138950.98929999999</v>
      </c>
      <c r="G67">
        <v>10938.930200000001</v>
      </c>
      <c r="H67">
        <v>41612.822500000002</v>
      </c>
      <c r="AF67" s="38"/>
    </row>
    <row r="68" spans="1:32">
      <c r="A68">
        <v>196716.65419999999</v>
      </c>
      <c r="B68">
        <v>4937.4078</v>
      </c>
      <c r="C68">
        <v>33932.3433</v>
      </c>
      <c r="D68">
        <v>8700.1384999999991</v>
      </c>
      <c r="E68">
        <v>57107.694900000002</v>
      </c>
      <c r="F68">
        <v>139818.79490000001</v>
      </c>
      <c r="G68">
        <v>11124.2917</v>
      </c>
      <c r="H68">
        <v>42406.399100000002</v>
      </c>
      <c r="AF68" s="38"/>
    </row>
    <row r="69" spans="1:32">
      <c r="A69">
        <v>199000.4216</v>
      </c>
      <c r="B69">
        <v>4937.9684999999999</v>
      </c>
      <c r="C69">
        <v>34372.650900000001</v>
      </c>
      <c r="D69">
        <v>8610.2891</v>
      </c>
      <c r="E69">
        <v>57289.450700000001</v>
      </c>
      <c r="F69">
        <v>140635.55309999999</v>
      </c>
      <c r="G69">
        <v>10993.7094</v>
      </c>
      <c r="H69">
        <v>42044.588000000003</v>
      </c>
      <c r="AF69" s="38"/>
    </row>
    <row r="70" spans="1:32">
      <c r="A70">
        <v>199503.99919999999</v>
      </c>
      <c r="B70">
        <v>5052.4389000000001</v>
      </c>
      <c r="C70">
        <v>35162.206200000001</v>
      </c>
      <c r="D70">
        <v>8847.9282000000003</v>
      </c>
      <c r="E70">
        <v>57343.977500000001</v>
      </c>
      <c r="F70">
        <v>141018.40849999999</v>
      </c>
      <c r="G70">
        <v>10996.939899999999</v>
      </c>
      <c r="H70">
        <v>42402.335599999999</v>
      </c>
      <c r="AF70" s="38"/>
    </row>
    <row r="71" spans="1:32">
      <c r="A71">
        <v>200636.25940000001</v>
      </c>
      <c r="B71">
        <v>5042.8105999999998</v>
      </c>
      <c r="C71">
        <v>35773.199500000002</v>
      </c>
      <c r="D71">
        <v>8841.3801000000003</v>
      </c>
      <c r="E71">
        <v>58361.810400000002</v>
      </c>
      <c r="F71">
        <v>143136.8751</v>
      </c>
      <c r="G71">
        <v>11445.0818</v>
      </c>
      <c r="H71">
        <v>42249.268499999998</v>
      </c>
      <c r="AF71" s="38"/>
    </row>
    <row r="72" spans="1:32">
      <c r="A72">
        <v>197804.29060000001</v>
      </c>
      <c r="B72">
        <v>5088.5938999999998</v>
      </c>
      <c r="C72">
        <v>35700.242599999998</v>
      </c>
      <c r="D72">
        <v>8825.9894999999997</v>
      </c>
      <c r="E72">
        <v>59434.17</v>
      </c>
      <c r="F72">
        <v>142830.59080000001</v>
      </c>
      <c r="G72">
        <v>11544.8534</v>
      </c>
      <c r="H72">
        <v>42697.453099999999</v>
      </c>
      <c r="AF72" s="38"/>
    </row>
    <row r="73" spans="1:32">
      <c r="AF73" s="38"/>
    </row>
    <row r="74" spans="1:32">
      <c r="AF74" s="38"/>
    </row>
    <row r="75" spans="1:32">
      <c r="AF75" s="38"/>
    </row>
    <row r="76" spans="1:32">
      <c r="AF76" s="38"/>
    </row>
    <row r="77" spans="1:32">
      <c r="AF77" s="38"/>
    </row>
    <row r="78" spans="1:32">
      <c r="AF78" s="38"/>
    </row>
    <row r="79" spans="1:32">
      <c r="AF79" s="38"/>
    </row>
    <row r="80" spans="1:32">
      <c r="AF80" s="38"/>
    </row>
    <row r="81" spans="32:32">
      <c r="AF81" s="38"/>
    </row>
    <row r="82" spans="32:32">
      <c r="AF82" s="38"/>
    </row>
    <row r="83" spans="32:32">
      <c r="AF83" s="38"/>
    </row>
    <row r="84" spans="32:32">
      <c r="AF84" s="38"/>
    </row>
    <row r="85" spans="32:32">
      <c r="AF85" s="38"/>
    </row>
    <row r="86" spans="32:32">
      <c r="AF86" s="38"/>
    </row>
    <row r="87" spans="32:32">
      <c r="AF87" s="38"/>
    </row>
    <row r="88" spans="32:32">
      <c r="AF88" s="38"/>
    </row>
    <row r="89" spans="32:32">
      <c r="AF89" s="38"/>
    </row>
    <row r="90" spans="32:32">
      <c r="AF90" s="38"/>
    </row>
    <row r="91" spans="32:32">
      <c r="AF91" s="38"/>
    </row>
    <row r="92" spans="32:32">
      <c r="AF92" s="38"/>
    </row>
    <row r="93" spans="32:32">
      <c r="AF93" s="38"/>
    </row>
    <row r="94" spans="32:32">
      <c r="AF94" s="38"/>
    </row>
    <row r="95" spans="32:32">
      <c r="AF95" s="38"/>
    </row>
    <row r="96" spans="32:32">
      <c r="AF96" s="38"/>
    </row>
    <row r="97" spans="32:32">
      <c r="AF97" s="38"/>
    </row>
    <row r="98" spans="32:32">
      <c r="AF98" s="38"/>
    </row>
    <row r="99" spans="32:32">
      <c r="AF99" s="38"/>
    </row>
    <row r="100" spans="32:32">
      <c r="AF100" s="38"/>
    </row>
    <row r="101" spans="32:32">
      <c r="AF101" s="38"/>
    </row>
    <row r="102" spans="32:32">
      <c r="AF102" s="38"/>
    </row>
    <row r="103" spans="32:32">
      <c r="AF103" s="38"/>
    </row>
    <row r="104" spans="32:32">
      <c r="AF104" s="38"/>
    </row>
    <row r="105" spans="32:32">
      <c r="AF105" s="38"/>
    </row>
    <row r="106" spans="32:32">
      <c r="AF106" s="38"/>
    </row>
    <row r="107" spans="32:32">
      <c r="AF107" s="38"/>
    </row>
    <row r="108" spans="32:32">
      <c r="AF108" s="38"/>
    </row>
    <row r="109" spans="32:32">
      <c r="AF109" s="38"/>
    </row>
    <row r="110" spans="32:32">
      <c r="AF110" s="38"/>
    </row>
    <row r="111" spans="32:32">
      <c r="AF111" s="38"/>
    </row>
    <row r="112" spans="32:32">
      <c r="AF112" s="38"/>
    </row>
    <row r="113" spans="18:32">
      <c r="AF113" s="38"/>
    </row>
    <row r="114" spans="18:32">
      <c r="AF114" s="38"/>
    </row>
    <row r="115" spans="18:32">
      <c r="AF115" s="38"/>
    </row>
    <row r="116" spans="18:32">
      <c r="AF116" s="38"/>
    </row>
    <row r="117" spans="18:32">
      <c r="AF117" s="38"/>
    </row>
    <row r="118" spans="18:32">
      <c r="AF118" s="38"/>
    </row>
    <row r="119" spans="18:32">
      <c r="AF119" s="38"/>
    </row>
    <row r="120" spans="18:32">
      <c r="AF120" s="38"/>
    </row>
    <row r="121" spans="18:32">
      <c r="AF121" s="38"/>
    </row>
    <row r="122" spans="18:32">
      <c r="AF122" s="38"/>
    </row>
    <row r="123" spans="18:32">
      <c r="AF123" s="38"/>
    </row>
    <row r="124" spans="18:32">
      <c r="AF124" s="38"/>
    </row>
    <row r="125" spans="18:32">
      <c r="AF125" s="38"/>
    </row>
    <row r="126" spans="18:32">
      <c r="AF126" s="38"/>
    </row>
    <row r="127" spans="18:32">
      <c r="R127">
        <v>2932882.6274000001</v>
      </c>
      <c r="S127">
        <v>765792.14639999997</v>
      </c>
      <c r="T127">
        <v>582857.43070000003</v>
      </c>
      <c r="U127">
        <v>99577.936400000006</v>
      </c>
      <c r="V127">
        <v>420323.58419999998</v>
      </c>
      <c r="W127">
        <v>259253.52040000001</v>
      </c>
      <c r="X127">
        <v>1776400</v>
      </c>
      <c r="Y127">
        <v>488894.19589999999</v>
      </c>
      <c r="Z127">
        <v>374587.64360000001</v>
      </c>
      <c r="AA127">
        <v>257745.55489999999</v>
      </c>
      <c r="AB127">
        <v>246637.3045</v>
      </c>
      <c r="AF127" s="38"/>
    </row>
    <row r="128" spans="18:32">
      <c r="R128">
        <v>2944285.1146999998</v>
      </c>
      <c r="S128">
        <v>767593.92980000004</v>
      </c>
      <c r="T128">
        <v>576177.97869999998</v>
      </c>
      <c r="U128">
        <v>95522.601999999999</v>
      </c>
      <c r="V128">
        <v>405308.31829999998</v>
      </c>
      <c r="W128">
        <v>257005.019</v>
      </c>
      <c r="X128">
        <v>1737700</v>
      </c>
      <c r="Y128">
        <v>480880.04749999999</v>
      </c>
      <c r="Z128">
        <v>370275.55709999998</v>
      </c>
      <c r="AA128">
        <v>259368.99859999999</v>
      </c>
      <c r="AB128">
        <v>240912.6655</v>
      </c>
      <c r="AF128" s="38"/>
    </row>
    <row r="129" spans="18:32">
      <c r="R129">
        <v>2954058.6752999998</v>
      </c>
      <c r="S129">
        <v>806625.08589999995</v>
      </c>
      <c r="T129">
        <v>569015.82270000002</v>
      </c>
      <c r="U129">
        <v>86353.905400000003</v>
      </c>
      <c r="V129">
        <v>416106.69870000001</v>
      </c>
      <c r="W129">
        <v>257934.6177</v>
      </c>
      <c r="X129">
        <v>1754700.0000000002</v>
      </c>
      <c r="Y129">
        <v>498790.23100000003</v>
      </c>
      <c r="Z129">
        <v>370960.32929999998</v>
      </c>
      <c r="AA129">
        <v>264239.3296</v>
      </c>
      <c r="AB129">
        <v>248999.4803</v>
      </c>
      <c r="AF129" s="38"/>
    </row>
    <row r="130" spans="18:32">
      <c r="R130">
        <v>2958130.9922000002</v>
      </c>
      <c r="S130">
        <v>808910.05660000001</v>
      </c>
      <c r="T130">
        <v>569193.08319999999</v>
      </c>
      <c r="U130">
        <v>77585.619900000005</v>
      </c>
      <c r="V130">
        <v>411767.60920000001</v>
      </c>
      <c r="W130">
        <v>257635.04180000001</v>
      </c>
      <c r="X130">
        <v>1766300</v>
      </c>
      <c r="Y130">
        <v>489697.81959999999</v>
      </c>
      <c r="Z130">
        <v>369861.18479999999</v>
      </c>
      <c r="AA130">
        <v>262615.88589999999</v>
      </c>
      <c r="AB130">
        <v>247379.45</v>
      </c>
      <c r="AF130" s="38"/>
    </row>
    <row r="131" spans="18:32">
      <c r="R131">
        <v>3011885.5751999998</v>
      </c>
      <c r="S131">
        <v>821581.23419999995</v>
      </c>
      <c r="T131">
        <v>582701.74549999996</v>
      </c>
      <c r="U131">
        <v>70965.288799999995</v>
      </c>
      <c r="V131">
        <v>411455.06829999998</v>
      </c>
      <c r="W131">
        <v>256561.4363</v>
      </c>
      <c r="X131">
        <v>1777299.9999999998</v>
      </c>
      <c r="Y131">
        <v>502751.87099999998</v>
      </c>
      <c r="Z131">
        <v>373941.63929999998</v>
      </c>
      <c r="AA131">
        <v>263284.3627</v>
      </c>
      <c r="AB131">
        <v>242970.44930000001</v>
      </c>
      <c r="AF131" s="38"/>
    </row>
    <row r="132" spans="18:32">
      <c r="R132">
        <v>3038762.8667000001</v>
      </c>
      <c r="S132">
        <v>811485.57799999998</v>
      </c>
      <c r="T132">
        <v>582988.86829999997</v>
      </c>
      <c r="U132">
        <v>69572.806599999996</v>
      </c>
      <c r="V132">
        <v>404828.64620000002</v>
      </c>
      <c r="W132">
        <v>256527.5894</v>
      </c>
      <c r="X132">
        <v>1798300</v>
      </c>
      <c r="Y132">
        <v>501700.10479999997</v>
      </c>
      <c r="Z132">
        <v>380002.49339999998</v>
      </c>
      <c r="AA132">
        <v>270064.6274</v>
      </c>
      <c r="AB132">
        <v>243164.8357</v>
      </c>
      <c r="AF132" s="38"/>
    </row>
    <row r="133" spans="18:32">
      <c r="R133">
        <v>3067269.085</v>
      </c>
      <c r="S133">
        <v>809527.76760000002</v>
      </c>
      <c r="T133">
        <v>606068.59490000003</v>
      </c>
      <c r="U133">
        <v>74356.496199999994</v>
      </c>
      <c r="V133">
        <v>405660.28909999999</v>
      </c>
      <c r="W133">
        <v>257715.4376</v>
      </c>
      <c r="X133">
        <v>1810700</v>
      </c>
      <c r="Y133">
        <v>503194.1862</v>
      </c>
      <c r="Z133">
        <v>380430.55869999999</v>
      </c>
      <c r="AA133">
        <v>278372.83909999998</v>
      </c>
      <c r="AB133">
        <v>249931.25580000001</v>
      </c>
      <c r="AF133" s="38"/>
    </row>
    <row r="134" spans="18:32">
      <c r="R134">
        <v>3013514.5019999999</v>
      </c>
      <c r="S134">
        <v>820479.69530000002</v>
      </c>
      <c r="T134">
        <v>614645.96620000002</v>
      </c>
      <c r="U134">
        <v>74432.181500000006</v>
      </c>
      <c r="V134">
        <v>408450.20870000002</v>
      </c>
      <c r="W134">
        <v>257791.17170000001</v>
      </c>
      <c r="X134">
        <v>1818800</v>
      </c>
      <c r="Y134">
        <v>502120.77970000001</v>
      </c>
      <c r="Z134">
        <v>382760.34509999998</v>
      </c>
      <c r="AA134">
        <v>273502.50809999998</v>
      </c>
      <c r="AB134">
        <v>250241.83420000001</v>
      </c>
      <c r="AF134" s="38"/>
    </row>
    <row r="135" spans="18:32">
      <c r="R135">
        <v>3007813.2582999999</v>
      </c>
      <c r="S135">
        <v>805002.63130000001</v>
      </c>
      <c r="T135">
        <v>606219.82499999995</v>
      </c>
      <c r="U135">
        <v>71210.773400000005</v>
      </c>
      <c r="V135">
        <v>403425.68969999999</v>
      </c>
      <c r="W135">
        <v>257384.06959999999</v>
      </c>
      <c r="X135">
        <v>1828400</v>
      </c>
      <c r="Y135">
        <v>499242.36749999999</v>
      </c>
      <c r="Z135">
        <v>383333.74209999997</v>
      </c>
      <c r="AA135">
        <v>271974.56109999999</v>
      </c>
      <c r="AB135">
        <v>251245.22349999999</v>
      </c>
      <c r="AF135" s="38"/>
    </row>
    <row r="136" spans="18:32">
      <c r="R136">
        <v>3057495.5244</v>
      </c>
      <c r="S136">
        <v>812774.59290000005</v>
      </c>
      <c r="T136">
        <v>609367.33059999999</v>
      </c>
      <c r="U136">
        <v>76496.359100000001</v>
      </c>
      <c r="V136">
        <v>401631.92570000002</v>
      </c>
      <c r="W136">
        <v>257817.0079</v>
      </c>
      <c r="X136">
        <v>1876600</v>
      </c>
      <c r="Y136">
        <v>505357.22590000002</v>
      </c>
      <c r="Z136">
        <v>386558.79259999999</v>
      </c>
      <c r="AA136">
        <v>275794.42859999998</v>
      </c>
      <c r="AB136">
        <v>249753.19320000001</v>
      </c>
      <c r="AF136" s="38"/>
    </row>
    <row r="137" spans="18:32">
      <c r="R137">
        <v>3058309.9877999998</v>
      </c>
      <c r="S137">
        <v>817994.71310000005</v>
      </c>
      <c r="T137">
        <v>609367.33059999999</v>
      </c>
      <c r="U137">
        <v>79735.275800000003</v>
      </c>
      <c r="V137">
        <v>402945.54550000001</v>
      </c>
      <c r="W137">
        <v>259162.49830000001</v>
      </c>
      <c r="X137">
        <v>1877800.0000000002</v>
      </c>
      <c r="Y137">
        <v>507786.95770000003</v>
      </c>
      <c r="Z137">
        <v>390384.9866</v>
      </c>
      <c r="AA137">
        <v>277322.37550000002</v>
      </c>
      <c r="AB137">
        <v>251516.18359999999</v>
      </c>
      <c r="AF137" s="38"/>
    </row>
    <row r="138" spans="18:32">
      <c r="R138">
        <v>2996410.7710000002</v>
      </c>
      <c r="S138">
        <v>812587.74230000004</v>
      </c>
      <c r="T138">
        <v>627061.66540000006</v>
      </c>
      <c r="U138">
        <v>84448.805300000007</v>
      </c>
      <c r="V138">
        <v>427082.46269999997</v>
      </c>
      <c r="W138">
        <v>257669.4093</v>
      </c>
      <c r="X138">
        <v>1893200</v>
      </c>
      <c r="Y138">
        <v>498385.76549999998</v>
      </c>
      <c r="Z138">
        <v>390171.39899999998</v>
      </c>
      <c r="AA138">
        <v>279136.8126</v>
      </c>
      <c r="AB138">
        <v>249805.6286</v>
      </c>
      <c r="AF138" s="38"/>
    </row>
    <row r="139" spans="18:32">
      <c r="R139">
        <v>2993565.6372000002</v>
      </c>
      <c r="S139">
        <v>794011.38520000002</v>
      </c>
      <c r="T139">
        <v>629853.09089999995</v>
      </c>
      <c r="U139">
        <v>91803.7837</v>
      </c>
      <c r="V139">
        <v>415900.42609999998</v>
      </c>
      <c r="W139">
        <v>255906.59969999999</v>
      </c>
      <c r="X139">
        <v>1906699.9999999998</v>
      </c>
      <c r="Y139">
        <v>498962.41960000002</v>
      </c>
      <c r="Z139">
        <v>387276.54119999998</v>
      </c>
      <c r="AA139">
        <v>286585.55410000001</v>
      </c>
      <c r="AB139">
        <v>246061.87609999999</v>
      </c>
      <c r="AF139" s="38"/>
    </row>
    <row r="140" spans="18:32">
      <c r="R140">
        <v>2991936.4857999999</v>
      </c>
      <c r="S140">
        <v>840128.41529999999</v>
      </c>
      <c r="T140">
        <v>628906.00490000006</v>
      </c>
      <c r="U140">
        <v>95293.486900000004</v>
      </c>
      <c r="V140">
        <v>412748.3898</v>
      </c>
      <c r="W140">
        <v>255895.7132</v>
      </c>
      <c r="X140">
        <v>1887700.0000000002</v>
      </c>
      <c r="Y140">
        <v>504216.01150000002</v>
      </c>
      <c r="Z140">
        <v>385182.04229999997</v>
      </c>
      <c r="AA140">
        <v>287349.52750000003</v>
      </c>
      <c r="AB140">
        <v>244586.4234</v>
      </c>
      <c r="AF140" s="38"/>
    </row>
    <row r="141" spans="18:32">
      <c r="R141">
        <v>2950393.1260000002</v>
      </c>
      <c r="S141">
        <v>821865.55489999999</v>
      </c>
      <c r="T141">
        <v>632262.77080000006</v>
      </c>
      <c r="U141">
        <v>84181.835399999996</v>
      </c>
      <c r="V141">
        <v>412748.3898</v>
      </c>
      <c r="W141">
        <v>256626.7917</v>
      </c>
      <c r="X141">
        <v>1884100</v>
      </c>
      <c r="Y141">
        <v>505323.38380000001</v>
      </c>
      <c r="Z141">
        <v>388736.47580000001</v>
      </c>
      <c r="AA141">
        <v>282574.69329999998</v>
      </c>
      <c r="AB141">
        <v>243074.95269999999</v>
      </c>
      <c r="AF141" s="38"/>
    </row>
    <row r="142" spans="18:32">
      <c r="R142">
        <v>3024519.5131999999</v>
      </c>
      <c r="S142">
        <v>838000.94700000004</v>
      </c>
      <c r="T142">
        <v>614862.63329999999</v>
      </c>
      <c r="U142">
        <v>86557.6967</v>
      </c>
      <c r="V142">
        <v>405707.21509999997</v>
      </c>
      <c r="W142">
        <v>255750.49840000001</v>
      </c>
      <c r="X142">
        <v>1932400</v>
      </c>
      <c r="Y142">
        <v>512188.02049999998</v>
      </c>
      <c r="Z142">
        <v>383934.34649999999</v>
      </c>
      <c r="AA142">
        <v>285630.58720000001</v>
      </c>
      <c r="AB142">
        <v>240688.60740000001</v>
      </c>
      <c r="AF142" s="38"/>
    </row>
    <row r="143" spans="18:32">
      <c r="R143">
        <v>3025334.0888999999</v>
      </c>
      <c r="S143">
        <v>836251.64260000002</v>
      </c>
      <c r="T143">
        <v>621513.00690000004</v>
      </c>
      <c r="U143">
        <v>87712.7693</v>
      </c>
      <c r="V143">
        <v>390907.49810000003</v>
      </c>
      <c r="W143">
        <v>255852.73699999999</v>
      </c>
      <c r="X143">
        <v>1897500</v>
      </c>
      <c r="Y143">
        <v>519854.60849999997</v>
      </c>
      <c r="Z143">
        <v>382596.43349999998</v>
      </c>
      <c r="AA143">
        <v>282192.70649999997</v>
      </c>
      <c r="AB143">
        <v>242012.13370000001</v>
      </c>
      <c r="AF143" s="38"/>
    </row>
    <row r="144" spans="18:32">
      <c r="R144">
        <v>3042440.1782</v>
      </c>
      <c r="S144">
        <v>852899.745</v>
      </c>
      <c r="T144">
        <v>619476.67139999999</v>
      </c>
      <c r="U144">
        <v>85600.403000000006</v>
      </c>
      <c r="V144">
        <v>384413.18170000002</v>
      </c>
      <c r="W144">
        <v>256964.54149999999</v>
      </c>
      <c r="X144">
        <v>1846800</v>
      </c>
      <c r="Y144">
        <v>511329.18790000002</v>
      </c>
      <c r="Z144">
        <v>382353.40590000001</v>
      </c>
      <c r="AA144">
        <v>280282.77279999998</v>
      </c>
      <c r="AB144">
        <v>240521.13329999999</v>
      </c>
      <c r="AF144" s="38"/>
    </row>
    <row r="145" spans="18:32">
      <c r="R145">
        <v>3055425.0364000001</v>
      </c>
      <c r="S145">
        <v>846635.3946</v>
      </c>
      <c r="T145">
        <v>611993.7452</v>
      </c>
      <c r="U145">
        <v>95616.394899999999</v>
      </c>
      <c r="V145">
        <v>391633.59450000001</v>
      </c>
      <c r="W145">
        <v>257164.6611</v>
      </c>
      <c r="X145">
        <v>1895600</v>
      </c>
      <c r="Y145">
        <v>514872.58669999999</v>
      </c>
      <c r="Z145">
        <v>387550.85940000002</v>
      </c>
      <c r="AA145">
        <v>283243.17009999999</v>
      </c>
      <c r="AB145">
        <v>241903.383</v>
      </c>
      <c r="AF145" s="38"/>
    </row>
    <row r="146" spans="18:32">
      <c r="R146">
        <v>2990199.7856000001</v>
      </c>
      <c r="S146">
        <v>858419.52599999995</v>
      </c>
      <c r="T146">
        <v>637978.15800000005</v>
      </c>
      <c r="U146">
        <v>102374.1232</v>
      </c>
      <c r="V146">
        <v>399170.52350000001</v>
      </c>
      <c r="W146">
        <v>258338.7525</v>
      </c>
      <c r="X146">
        <v>1908900</v>
      </c>
      <c r="Y146">
        <v>525755.88470000005</v>
      </c>
      <c r="Z146">
        <v>396733.64319999999</v>
      </c>
      <c r="AA146">
        <v>271592.57439999998</v>
      </c>
      <c r="AB146">
        <v>240100.1146</v>
      </c>
      <c r="AF146" s="38"/>
    </row>
    <row r="147" spans="18:32">
      <c r="R147">
        <v>3004861.6206</v>
      </c>
      <c r="S147">
        <v>871232.71389999997</v>
      </c>
      <c r="T147">
        <v>650348.67330000002</v>
      </c>
      <c r="U147">
        <v>103085.1556</v>
      </c>
      <c r="V147">
        <v>387648.24900000001</v>
      </c>
      <c r="W147">
        <v>260414.27919999999</v>
      </c>
      <c r="X147">
        <v>1947600</v>
      </c>
      <c r="Y147">
        <v>535596.63710000005</v>
      </c>
      <c r="Z147">
        <v>402635.96919999999</v>
      </c>
      <c r="AA147">
        <v>274266.4816</v>
      </c>
      <c r="AB147">
        <v>234935.4406</v>
      </c>
      <c r="AF147" s="38"/>
    </row>
    <row r="148" spans="18:32">
      <c r="R148">
        <v>3047976.4855999998</v>
      </c>
      <c r="S148">
        <v>860812.8334</v>
      </c>
      <c r="T148">
        <v>650884.20019999996</v>
      </c>
      <c r="U148">
        <v>99945.372099999993</v>
      </c>
      <c r="V148">
        <v>389515.53129999997</v>
      </c>
      <c r="W148">
        <v>261846.27439999999</v>
      </c>
      <c r="X148">
        <v>1952300.0000000002</v>
      </c>
      <c r="Y148">
        <v>552245.07559999998</v>
      </c>
      <c r="Z148">
        <v>405672.89520000003</v>
      </c>
      <c r="AA148">
        <v>277226.87890000001</v>
      </c>
      <c r="AB148">
        <v>242211.079</v>
      </c>
      <c r="AF148" s="38"/>
    </row>
    <row r="149" spans="18:32">
      <c r="R149">
        <v>3060896.1379</v>
      </c>
      <c r="S149">
        <v>881375.62430000002</v>
      </c>
      <c r="T149">
        <v>651816.66520000005</v>
      </c>
      <c r="U149">
        <v>103119.92140000001</v>
      </c>
      <c r="V149">
        <v>394784.09940000001</v>
      </c>
      <c r="W149">
        <v>261631.3688</v>
      </c>
      <c r="X149">
        <v>1952999.9999999998</v>
      </c>
      <c r="Y149">
        <v>560693.33649999998</v>
      </c>
      <c r="Z149">
        <v>406582.44189999998</v>
      </c>
      <c r="AA149">
        <v>280855.75290000002</v>
      </c>
      <c r="AB149">
        <v>239286.6012</v>
      </c>
      <c r="AF149" s="38"/>
    </row>
    <row r="150" spans="18:32">
      <c r="R150">
        <v>3104879.2116999999</v>
      </c>
      <c r="S150">
        <v>883714.54310000001</v>
      </c>
      <c r="T150">
        <v>662974.10179999995</v>
      </c>
      <c r="U150">
        <v>103390.443</v>
      </c>
      <c r="V150">
        <v>395825.37329999998</v>
      </c>
      <c r="W150">
        <v>262817.90710000001</v>
      </c>
      <c r="X150">
        <v>1984200</v>
      </c>
      <c r="Y150">
        <v>573129.57920000004</v>
      </c>
      <c r="Z150">
        <v>414049.76949999999</v>
      </c>
      <c r="AA150">
        <v>285057.60710000002</v>
      </c>
      <c r="AB150">
        <v>236779.848</v>
      </c>
      <c r="AF150" s="38"/>
    </row>
    <row r="151" spans="18:32">
      <c r="R151">
        <v>3103224.7222000002</v>
      </c>
      <c r="S151">
        <v>895986.49300000002</v>
      </c>
      <c r="T151">
        <v>665025.82640000002</v>
      </c>
      <c r="U151">
        <v>103007.773</v>
      </c>
      <c r="V151">
        <v>394306.4803</v>
      </c>
      <c r="W151">
        <v>262471.96539999999</v>
      </c>
      <c r="X151">
        <v>1982400.0000000002</v>
      </c>
      <c r="Y151">
        <v>573517.39969999995</v>
      </c>
      <c r="Z151">
        <v>418877.49229999998</v>
      </c>
      <c r="AA151">
        <v>284580.1237</v>
      </c>
      <c r="AB151">
        <v>227069.3659</v>
      </c>
      <c r="AF151" s="38"/>
    </row>
    <row r="152" spans="18:32">
      <c r="R152">
        <v>3059129.4029000001</v>
      </c>
      <c r="S152">
        <v>889892.87990000006</v>
      </c>
      <c r="T152">
        <v>691472.73770000006</v>
      </c>
      <c r="U152">
        <v>102897.80650000001</v>
      </c>
      <c r="V152">
        <v>395305.26030000002</v>
      </c>
      <c r="W152">
        <v>262089.30110000001</v>
      </c>
      <c r="X152">
        <v>1977400</v>
      </c>
      <c r="Y152">
        <v>570938.94319999998</v>
      </c>
      <c r="Z152">
        <v>420384.1298</v>
      </c>
      <c r="AA152">
        <v>280187.27610000002</v>
      </c>
      <c r="AB152">
        <v>226521.33910000001</v>
      </c>
      <c r="AF152" s="38"/>
    </row>
    <row r="153" spans="18:32">
      <c r="R153">
        <v>3094851.7382999999</v>
      </c>
      <c r="S153">
        <v>909234.86880000005</v>
      </c>
      <c r="T153">
        <v>697578.85860000004</v>
      </c>
      <c r="U153">
        <v>105943.7322</v>
      </c>
      <c r="V153">
        <v>405599.46669999999</v>
      </c>
      <c r="W153">
        <v>259646.71109999999</v>
      </c>
      <c r="X153">
        <v>1977199.9999999998</v>
      </c>
      <c r="Y153">
        <v>566127.07849999995</v>
      </c>
      <c r="Z153">
        <v>420232.63429999998</v>
      </c>
      <c r="AA153">
        <v>269778.13740000001</v>
      </c>
      <c r="AB153">
        <v>233188.29699999999</v>
      </c>
      <c r="AF153" s="38"/>
    </row>
    <row r="154" spans="18:32">
      <c r="R154">
        <v>3209569.6431999998</v>
      </c>
      <c r="S154">
        <v>922897.90150000004</v>
      </c>
      <c r="T154">
        <v>695553.16460000002</v>
      </c>
      <c r="U154">
        <v>105901.59149999999</v>
      </c>
      <c r="V154">
        <v>407897.15470000001</v>
      </c>
      <c r="W154">
        <v>259615.8953</v>
      </c>
      <c r="X154">
        <v>1979800</v>
      </c>
      <c r="Y154">
        <v>575565.05319999997</v>
      </c>
      <c r="Z154">
        <v>419995.67420000001</v>
      </c>
      <c r="AA154">
        <v>287162.45130000002</v>
      </c>
      <c r="AB154">
        <v>227856.486</v>
      </c>
      <c r="AF154" s="38"/>
    </row>
    <row r="155" spans="18:32">
      <c r="R155">
        <v>3223348.8171999999</v>
      </c>
      <c r="S155">
        <v>908477.80200000003</v>
      </c>
      <c r="T155">
        <v>701078.33589999995</v>
      </c>
      <c r="U155">
        <v>110588.9023</v>
      </c>
      <c r="V155">
        <v>412959.91119999997</v>
      </c>
      <c r="W155">
        <v>260113.7666</v>
      </c>
      <c r="X155">
        <v>1982900</v>
      </c>
      <c r="Y155">
        <v>575160.64480000001</v>
      </c>
      <c r="Z155">
        <v>420437.72570000001</v>
      </c>
      <c r="AA155">
        <v>288404.75140000001</v>
      </c>
      <c r="AB155">
        <v>235885.64780000001</v>
      </c>
      <c r="AF155" s="38"/>
    </row>
    <row r="156" spans="18:32">
      <c r="R156">
        <v>3293335.8568000002</v>
      </c>
      <c r="S156">
        <v>907542.40659999999</v>
      </c>
      <c r="T156">
        <v>695362.99320000003</v>
      </c>
      <c r="U156">
        <v>110446.8597</v>
      </c>
      <c r="V156">
        <v>386752.75020000001</v>
      </c>
      <c r="W156">
        <v>260186.22169999999</v>
      </c>
      <c r="X156">
        <v>1976700.0000000002</v>
      </c>
      <c r="Y156">
        <v>575461.32640000002</v>
      </c>
      <c r="Z156">
        <v>422745.0392</v>
      </c>
      <c r="AA156">
        <v>286302.39740000002</v>
      </c>
      <c r="AB156">
        <v>235857.63879999999</v>
      </c>
      <c r="AF156" s="38"/>
    </row>
    <row r="157" spans="18:32">
      <c r="R157">
        <v>3340446.6751000001</v>
      </c>
      <c r="S157">
        <v>918505.80830000003</v>
      </c>
      <c r="T157">
        <v>716229.99639999995</v>
      </c>
      <c r="U157">
        <v>107677.9929</v>
      </c>
      <c r="V157">
        <v>366929.49729999999</v>
      </c>
      <c r="W157">
        <v>261396.05420000001</v>
      </c>
      <c r="X157">
        <v>2012700.0000000002</v>
      </c>
      <c r="Y157">
        <v>573927.42050000001</v>
      </c>
      <c r="Z157">
        <v>421265.86090000003</v>
      </c>
      <c r="AA157">
        <v>298438.71389999997</v>
      </c>
      <c r="AB157">
        <v>236880.94440000001</v>
      </c>
      <c r="AF157" s="38"/>
    </row>
    <row r="158" spans="18:32">
      <c r="R158">
        <v>3353352.7491000001</v>
      </c>
      <c r="S158">
        <v>924865.45669999998</v>
      </c>
      <c r="T158">
        <v>712559.31830000004</v>
      </c>
      <c r="U158">
        <v>99558.366200000004</v>
      </c>
      <c r="V158">
        <v>356990.7622</v>
      </c>
      <c r="W158">
        <v>260501.98730000001</v>
      </c>
      <c r="X158">
        <v>1971800</v>
      </c>
      <c r="Y158">
        <v>572159.53480000002</v>
      </c>
      <c r="Z158">
        <v>418990.53690000001</v>
      </c>
      <c r="AA158">
        <v>288691.43609999999</v>
      </c>
      <c r="AB158">
        <v>236737.0753</v>
      </c>
      <c r="AF158" s="38"/>
    </row>
    <row r="159" spans="18:32">
      <c r="R159">
        <v>3403063.1546999998</v>
      </c>
      <c r="S159">
        <v>898390.51549999998</v>
      </c>
      <c r="T159">
        <v>710174.34329999995</v>
      </c>
      <c r="U159">
        <v>99043.251600000003</v>
      </c>
      <c r="V159">
        <v>335830.46309999999</v>
      </c>
      <c r="W159">
        <v>257441.5485</v>
      </c>
      <c r="X159">
        <v>1975400</v>
      </c>
      <c r="Y159">
        <v>564225.88320000004</v>
      </c>
      <c r="Z159">
        <v>419161.80160000001</v>
      </c>
      <c r="AA159">
        <v>291367.1594</v>
      </c>
      <c r="AB159">
        <v>237154.68729999999</v>
      </c>
      <c r="AF159" s="38"/>
    </row>
    <row r="160" spans="18:32">
      <c r="R160">
        <v>3324887.9781999998</v>
      </c>
      <c r="S160">
        <v>891280.67390000005</v>
      </c>
      <c r="T160">
        <v>707355.49549999996</v>
      </c>
      <c r="U160">
        <v>101309.05409999999</v>
      </c>
      <c r="V160">
        <v>343914.26860000001</v>
      </c>
      <c r="W160">
        <v>253742.7782</v>
      </c>
      <c r="X160">
        <v>1944900</v>
      </c>
      <c r="Y160">
        <v>565086.07149999996</v>
      </c>
      <c r="Z160">
        <v>435717.78019999998</v>
      </c>
      <c r="AA160">
        <v>290507.10550000001</v>
      </c>
      <c r="AB160">
        <v>234069.7414</v>
      </c>
      <c r="AF160" s="38"/>
    </row>
    <row r="161" spans="18:32">
      <c r="R161">
        <v>3350823.0007000002</v>
      </c>
      <c r="S161">
        <v>885670.82129999995</v>
      </c>
      <c r="T161">
        <v>729344.55940000003</v>
      </c>
      <c r="U161">
        <v>99866.775399999999</v>
      </c>
      <c r="V161">
        <v>332533.93939999997</v>
      </c>
      <c r="W161">
        <v>253802.80319999999</v>
      </c>
      <c r="X161">
        <v>1950100</v>
      </c>
      <c r="Y161">
        <v>572807.78830000001</v>
      </c>
      <c r="Z161">
        <v>437249.61619999999</v>
      </c>
      <c r="AA161">
        <v>291462.72090000001</v>
      </c>
      <c r="AB161">
        <v>231864.31080000001</v>
      </c>
      <c r="AF161" s="38"/>
    </row>
    <row r="162" spans="18:32">
      <c r="R162">
        <v>3419911.9336000001</v>
      </c>
      <c r="S162">
        <v>894735.01859999995</v>
      </c>
      <c r="T162">
        <v>711005.23389999999</v>
      </c>
      <c r="U162">
        <v>98049.319199999998</v>
      </c>
      <c r="V162">
        <v>328558.70990000002</v>
      </c>
      <c r="W162">
        <v>253900.288</v>
      </c>
      <c r="X162">
        <v>1987299.9999999998</v>
      </c>
      <c r="Y162">
        <v>590008.80370000005</v>
      </c>
      <c r="Z162">
        <v>430330.8959</v>
      </c>
      <c r="AA162">
        <v>295571.86749999999</v>
      </c>
      <c r="AB162">
        <v>231921.1649</v>
      </c>
      <c r="AF162" s="38"/>
    </row>
    <row r="163" spans="18:32">
      <c r="R163">
        <v>3391287.7988</v>
      </c>
      <c r="S163">
        <v>901579.74809999997</v>
      </c>
      <c r="T163">
        <v>706455.16319999995</v>
      </c>
      <c r="U163">
        <v>90575.021999999997</v>
      </c>
      <c r="V163">
        <v>313286.2218</v>
      </c>
      <c r="W163">
        <v>253759.7776</v>
      </c>
      <c r="X163">
        <v>1983299.9999999998</v>
      </c>
      <c r="Y163">
        <v>588357.19339999999</v>
      </c>
      <c r="Z163">
        <v>421521.47930000001</v>
      </c>
      <c r="AA163">
        <v>294807.3751</v>
      </c>
      <c r="AB163">
        <v>225812.19380000001</v>
      </c>
      <c r="AF163" s="38"/>
    </row>
    <row r="164" spans="18:32">
      <c r="R164">
        <v>3326189.9075000002</v>
      </c>
      <c r="S164">
        <v>886752.51060000004</v>
      </c>
      <c r="T164">
        <v>699827.47169999999</v>
      </c>
      <c r="U164">
        <v>89973.524699999994</v>
      </c>
      <c r="V164">
        <v>304316.15029999998</v>
      </c>
      <c r="W164">
        <v>254452.1268</v>
      </c>
      <c r="X164">
        <v>1950000</v>
      </c>
      <c r="Y164">
        <v>576095.78830000001</v>
      </c>
      <c r="Z164">
        <v>414059.29950000002</v>
      </c>
      <c r="AA164">
        <v>290793.79009999998</v>
      </c>
      <c r="AB164">
        <v>224536.88740000001</v>
      </c>
    </row>
    <row r="165" spans="18:32">
      <c r="R165">
        <v>3339094.6737000002</v>
      </c>
      <c r="S165">
        <v>885458.71810000006</v>
      </c>
      <c r="T165">
        <v>696901.98990000004</v>
      </c>
      <c r="U165">
        <v>85395.610400000005</v>
      </c>
      <c r="V165">
        <v>297630.39010000002</v>
      </c>
      <c r="W165">
        <v>254845.5926</v>
      </c>
      <c r="X165">
        <v>1941600</v>
      </c>
      <c r="Y165">
        <v>571210.17189999996</v>
      </c>
      <c r="Z165">
        <v>404544.07799999998</v>
      </c>
      <c r="AA165">
        <v>290793.79009999998</v>
      </c>
      <c r="AB165">
        <v>220160.95749999999</v>
      </c>
    </row>
    <row r="166" spans="18:32">
      <c r="R166">
        <v>3347113.5715000001</v>
      </c>
      <c r="S166">
        <v>870263.95849999995</v>
      </c>
      <c r="T166">
        <v>700548.18160000001</v>
      </c>
      <c r="U166">
        <v>80604.9571</v>
      </c>
      <c r="V166">
        <v>282829.6753</v>
      </c>
      <c r="W166">
        <v>253952.19529999999</v>
      </c>
      <c r="X166">
        <v>1967000</v>
      </c>
      <c r="Y166">
        <v>590129.42509999999</v>
      </c>
      <c r="Z166">
        <v>408257.50160000002</v>
      </c>
      <c r="AA166">
        <v>292418.33639999997</v>
      </c>
      <c r="AB166">
        <v>219471.04810000001</v>
      </c>
    </row>
    <row r="167" spans="18:32">
      <c r="R167">
        <v>3235451.1162</v>
      </c>
      <c r="S167">
        <v>871831.68640000001</v>
      </c>
      <c r="T167">
        <v>707392.82389999996</v>
      </c>
      <c r="U167">
        <v>78236.225200000001</v>
      </c>
      <c r="V167">
        <v>276301.88339999999</v>
      </c>
      <c r="W167">
        <v>255220.55059999999</v>
      </c>
      <c r="X167">
        <v>1948700</v>
      </c>
      <c r="Y167">
        <v>584871.20499999996</v>
      </c>
      <c r="Z167">
        <v>403454.48019999999</v>
      </c>
      <c r="AA167">
        <v>289360.36690000002</v>
      </c>
      <c r="AB167">
        <v>220116.2274</v>
      </c>
    </row>
    <row r="168" spans="18:32">
      <c r="R168">
        <v>3240216.5282999999</v>
      </c>
      <c r="S168">
        <v>859070.12820000004</v>
      </c>
      <c r="T168">
        <v>666999.34569999995</v>
      </c>
      <c r="U168">
        <v>75564.966</v>
      </c>
      <c r="V168">
        <v>245694.32070000001</v>
      </c>
      <c r="W168">
        <v>255327.05230000001</v>
      </c>
      <c r="X168">
        <v>1932599.9999999998</v>
      </c>
      <c r="Y168">
        <v>577394.93189999997</v>
      </c>
      <c r="Z168">
        <v>396415.56390000001</v>
      </c>
      <c r="AA168">
        <v>286493.52049999998</v>
      </c>
      <c r="AB168">
        <v>208607.3792</v>
      </c>
    </row>
    <row r="169" spans="18:32">
      <c r="R169">
        <v>3300477.3982000002</v>
      </c>
      <c r="S169">
        <v>863862.99580000003</v>
      </c>
      <c r="T169">
        <v>640336.94189999998</v>
      </c>
      <c r="U169">
        <v>72039.156499999997</v>
      </c>
      <c r="V169">
        <v>221065.56539999999</v>
      </c>
      <c r="W169">
        <v>255468.27830000001</v>
      </c>
      <c r="X169">
        <v>1938500</v>
      </c>
      <c r="Y169">
        <v>581901.554</v>
      </c>
      <c r="Z169">
        <v>393614.65470000001</v>
      </c>
      <c r="AA169">
        <v>285346.7819</v>
      </c>
      <c r="AB169">
        <v>202201.64910000001</v>
      </c>
    </row>
    <row r="170" spans="18:32">
      <c r="R170">
        <v>3271126.5869999998</v>
      </c>
      <c r="S170">
        <v>862941.10699999996</v>
      </c>
      <c r="T170">
        <v>661499.82849999995</v>
      </c>
      <c r="U170">
        <v>71445.329400000002</v>
      </c>
      <c r="V170">
        <v>238750.5024</v>
      </c>
      <c r="W170">
        <v>255127.13709999999</v>
      </c>
      <c r="X170">
        <v>1936100.0000000002</v>
      </c>
      <c r="Y170">
        <v>585822.36289999995</v>
      </c>
      <c r="Z170">
        <v>399659.02970000001</v>
      </c>
      <c r="AA170">
        <v>284582.28950000001</v>
      </c>
      <c r="AB170">
        <v>201983.11</v>
      </c>
    </row>
    <row r="171" spans="18:32">
      <c r="R171">
        <v>3262985.4059000001</v>
      </c>
      <c r="S171">
        <v>874902.55110000004</v>
      </c>
      <c r="T171">
        <v>675769.00840000005</v>
      </c>
      <c r="U171">
        <v>72147.956399999995</v>
      </c>
      <c r="V171">
        <v>243212.98809999999</v>
      </c>
      <c r="W171">
        <v>252966.65609999999</v>
      </c>
      <c r="X171">
        <v>1760000</v>
      </c>
      <c r="Y171">
        <v>599269.16359999997</v>
      </c>
      <c r="Z171">
        <v>402463.56189999997</v>
      </c>
      <c r="AA171">
        <v>288404.75140000001</v>
      </c>
      <c r="AB171">
        <v>204520.66639999999</v>
      </c>
    </row>
    <row r="172" spans="18:32">
      <c r="R172">
        <v>3295550.1305</v>
      </c>
      <c r="S172">
        <v>874916.76100000006</v>
      </c>
      <c r="T172">
        <v>688855.76850000001</v>
      </c>
      <c r="U172">
        <v>70949.659299999999</v>
      </c>
      <c r="V172">
        <v>257936.7072</v>
      </c>
      <c r="W172">
        <v>252605.47450000001</v>
      </c>
      <c r="X172">
        <v>1762800</v>
      </c>
      <c r="Y172">
        <v>595326.61860000005</v>
      </c>
      <c r="Z172">
        <v>408416.00349999999</v>
      </c>
      <c r="AA172">
        <v>291462.72090000001</v>
      </c>
      <c r="AB172">
        <v>201334.23389999999</v>
      </c>
    </row>
    <row r="173" spans="18:32">
      <c r="R173">
        <v>3346025.4536000001</v>
      </c>
      <c r="S173">
        <v>902133.06850000005</v>
      </c>
      <c r="T173">
        <v>707133.01430000004</v>
      </c>
      <c r="U173">
        <v>69543.495299999995</v>
      </c>
      <c r="V173">
        <v>271995.7145</v>
      </c>
      <c r="W173">
        <v>253213.10389999999</v>
      </c>
      <c r="X173">
        <v>1781299.9999999998</v>
      </c>
      <c r="Y173">
        <v>605277.04859999998</v>
      </c>
      <c r="Z173">
        <v>411115.18410000001</v>
      </c>
      <c r="AA173">
        <v>291653.84399999998</v>
      </c>
      <c r="AB173">
        <v>203856.15</v>
      </c>
    </row>
    <row r="174" spans="18:32">
      <c r="R174">
        <v>3371263.1151999999</v>
      </c>
      <c r="S174">
        <v>909762.35900000005</v>
      </c>
      <c r="T174">
        <v>688047.22250000003</v>
      </c>
      <c r="U174">
        <v>70779.4519</v>
      </c>
      <c r="V174">
        <v>272878.64720000001</v>
      </c>
      <c r="W174">
        <v>253202.8217</v>
      </c>
      <c r="X174">
        <v>1789900</v>
      </c>
      <c r="Y174">
        <v>605510.57400000002</v>
      </c>
      <c r="Z174">
        <v>410962.27350000001</v>
      </c>
      <c r="AA174">
        <v>291653.84399999998</v>
      </c>
      <c r="AB174">
        <v>202645.09700000001</v>
      </c>
    </row>
    <row r="175" spans="18:32">
      <c r="R175">
        <v>3392430.1861999999</v>
      </c>
      <c r="S175">
        <v>901887.70220000006</v>
      </c>
      <c r="T175">
        <v>692345.58319999999</v>
      </c>
      <c r="U175">
        <v>69857.984599999996</v>
      </c>
      <c r="V175">
        <v>278339.98810000002</v>
      </c>
      <c r="W175">
        <v>253325.663</v>
      </c>
      <c r="X175">
        <v>1789900</v>
      </c>
      <c r="Y175">
        <v>605510.57400000002</v>
      </c>
      <c r="Z175">
        <v>410962.27350000001</v>
      </c>
      <c r="AA175">
        <v>291653.84399999998</v>
      </c>
      <c r="AB175">
        <v>202645.09700000001</v>
      </c>
    </row>
    <row r="176" spans="18:32">
      <c r="R176">
        <v>3392430.1861999999</v>
      </c>
      <c r="S176">
        <v>901887.70220000006</v>
      </c>
      <c r="T176">
        <v>689329.82889999996</v>
      </c>
      <c r="U176">
        <v>69857.984599999996</v>
      </c>
      <c r="V176">
        <v>275934.8321</v>
      </c>
      <c r="W176">
        <v>253325.663</v>
      </c>
      <c r="X176">
        <v>1789900</v>
      </c>
      <c r="Y176">
        <v>605510.57400000002</v>
      </c>
      <c r="Z176">
        <v>410962.27350000001</v>
      </c>
      <c r="AA176">
        <v>291653.84399999998</v>
      </c>
      <c r="AB176">
        <v>202645.09700000001</v>
      </c>
    </row>
    <row r="177" spans="18:28">
      <c r="R177">
        <v>3301248.9572999999</v>
      </c>
      <c r="S177">
        <v>896682.16890000005</v>
      </c>
      <c r="T177">
        <v>683380.53300000005</v>
      </c>
      <c r="U177">
        <v>64326.765399999997</v>
      </c>
      <c r="V177">
        <v>260391.2403</v>
      </c>
      <c r="W177">
        <v>253407.89430000001</v>
      </c>
      <c r="X177">
        <v>1786000</v>
      </c>
      <c r="Y177">
        <v>598640.5307</v>
      </c>
      <c r="Z177">
        <v>406722.77189999999</v>
      </c>
      <c r="AA177">
        <v>291749.4056</v>
      </c>
      <c r="AB177">
        <v>199823.46419999999</v>
      </c>
    </row>
    <row r="178" spans="18:28">
      <c r="R178">
        <v>3276011.2957000001</v>
      </c>
      <c r="S178">
        <v>885971.50390000001</v>
      </c>
      <c r="T178">
        <v>682793.89670000004</v>
      </c>
      <c r="U178">
        <v>60245.894399999997</v>
      </c>
      <c r="V178">
        <v>267912.11469999998</v>
      </c>
      <c r="W178">
        <v>251808.2751</v>
      </c>
      <c r="X178">
        <v>1758900.0000000002</v>
      </c>
      <c r="Y178">
        <v>600459.93220000004</v>
      </c>
      <c r="Z178">
        <v>402452.01890000002</v>
      </c>
      <c r="AA178">
        <v>294998.49819999997</v>
      </c>
      <c r="AB178">
        <v>199226.0074</v>
      </c>
    </row>
    <row r="179" spans="18:28">
      <c r="R179">
        <v>3268587.5825</v>
      </c>
      <c r="S179">
        <v>901615.46710000001</v>
      </c>
      <c r="T179">
        <v>698792.78799999994</v>
      </c>
      <c r="U179">
        <v>60153.3946</v>
      </c>
      <c r="V179">
        <v>267912.11469999998</v>
      </c>
      <c r="W179">
        <v>250058.41250000001</v>
      </c>
      <c r="X179">
        <v>1758900.0000000002</v>
      </c>
      <c r="Y179">
        <v>600459.93220000004</v>
      </c>
      <c r="Z179">
        <v>402452.01890000002</v>
      </c>
      <c r="AA179">
        <v>290602.66700000002</v>
      </c>
      <c r="AB179">
        <v>199226.0074</v>
      </c>
    </row>
    <row r="180" spans="18:28">
      <c r="R180">
        <v>3264517.1123000002</v>
      </c>
      <c r="S180">
        <v>901904.70400000003</v>
      </c>
      <c r="T180">
        <v>700239.75719999999</v>
      </c>
      <c r="U180">
        <v>60008.142899999999</v>
      </c>
      <c r="V180">
        <v>267912.11469999998</v>
      </c>
      <c r="W180">
        <v>252488.13990000001</v>
      </c>
      <c r="X180">
        <v>1758900.0000000002</v>
      </c>
      <c r="Y180">
        <v>601013.35190000001</v>
      </c>
      <c r="Z180">
        <v>405338.5906</v>
      </c>
      <c r="AA180">
        <v>292705.02110000001</v>
      </c>
      <c r="AB180">
        <v>197873.28570000001</v>
      </c>
    </row>
    <row r="181" spans="18:28">
      <c r="R181">
        <v>3194505.0246000001</v>
      </c>
      <c r="S181">
        <v>903650.03260000004</v>
      </c>
      <c r="T181">
        <v>713195.64430000004</v>
      </c>
      <c r="U181">
        <v>60585.2451</v>
      </c>
      <c r="V181">
        <v>265568.0282</v>
      </c>
      <c r="W181">
        <v>252848.6471</v>
      </c>
      <c r="X181">
        <v>1728400.0000000002</v>
      </c>
      <c r="Y181">
        <v>590682.63919999998</v>
      </c>
      <c r="Z181">
        <v>407120.11780000001</v>
      </c>
      <c r="AA181">
        <v>291080.47480000003</v>
      </c>
      <c r="AB181">
        <v>196004.837</v>
      </c>
    </row>
    <row r="182" spans="18:28">
      <c r="R182">
        <v>3141588.9117999999</v>
      </c>
      <c r="S182">
        <v>889802.27780000004</v>
      </c>
      <c r="T182">
        <v>717329.81759999995</v>
      </c>
      <c r="U182">
        <v>57132.534800000001</v>
      </c>
      <c r="V182">
        <v>266262.80900000001</v>
      </c>
      <c r="W182">
        <v>253626.49299999999</v>
      </c>
      <c r="X182">
        <v>1699500</v>
      </c>
      <c r="Y182">
        <v>587725.45700000005</v>
      </c>
      <c r="Z182">
        <v>401618.0992</v>
      </c>
      <c r="AA182">
        <v>289551.49</v>
      </c>
      <c r="AB182">
        <v>196004.837</v>
      </c>
    </row>
    <row r="183" spans="18:28">
      <c r="R183">
        <v>3202645.9649999999</v>
      </c>
      <c r="S183">
        <v>880979.5159</v>
      </c>
      <c r="T183">
        <v>710476.04590000003</v>
      </c>
      <c r="U183">
        <v>45901.048499999997</v>
      </c>
      <c r="V183">
        <v>266262.80900000001</v>
      </c>
      <c r="W183">
        <v>253271.603</v>
      </c>
      <c r="X183">
        <v>1719500</v>
      </c>
      <c r="Y183">
        <v>592544.79599999997</v>
      </c>
      <c r="Z183">
        <v>403082.29519999999</v>
      </c>
      <c r="AA183">
        <v>295285.18290000001</v>
      </c>
      <c r="AB183">
        <v>196062.9307</v>
      </c>
    </row>
    <row r="184" spans="18:28">
      <c r="R184">
        <v>3250677.5136000002</v>
      </c>
      <c r="S184">
        <v>913613.5453</v>
      </c>
      <c r="T184">
        <v>720340.04929999996</v>
      </c>
      <c r="U184">
        <v>50254.458200000001</v>
      </c>
      <c r="V184">
        <v>262895.4313</v>
      </c>
      <c r="W184">
        <v>252441.06270000001</v>
      </c>
      <c r="X184">
        <v>1745000</v>
      </c>
      <c r="Y184">
        <v>600308.31140000001</v>
      </c>
      <c r="Z184">
        <v>402096.06209999998</v>
      </c>
      <c r="AA184">
        <v>296814.16759999999</v>
      </c>
      <c r="AB184">
        <v>196904.5318</v>
      </c>
    </row>
    <row r="185" spans="18:28">
      <c r="R185">
        <v>3195319.1187</v>
      </c>
      <c r="S185">
        <v>903857.86869999999</v>
      </c>
      <c r="T185">
        <v>717065.36609999998</v>
      </c>
      <c r="U185">
        <v>50220.035300000003</v>
      </c>
      <c r="V185">
        <v>254034.07310000001</v>
      </c>
      <c r="W185">
        <v>252368.37580000001</v>
      </c>
      <c r="X185">
        <v>1728899.9999999998</v>
      </c>
      <c r="Y185">
        <v>624625.875</v>
      </c>
      <c r="Z185">
        <v>405919.17499999999</v>
      </c>
      <c r="AA185">
        <v>297100.85230000003</v>
      </c>
      <c r="AB185">
        <v>194815.3689</v>
      </c>
    </row>
    <row r="186" spans="18:28">
      <c r="R186">
        <v>3239280.1970000002</v>
      </c>
      <c r="S186">
        <v>912494.11840000004</v>
      </c>
      <c r="T186">
        <v>716951.41619999998</v>
      </c>
      <c r="U186">
        <v>50130.219899999996</v>
      </c>
      <c r="V186">
        <v>248166.9136</v>
      </c>
      <c r="W186">
        <v>251917.03080000001</v>
      </c>
      <c r="X186">
        <v>1732400.0000000002</v>
      </c>
      <c r="Y186">
        <v>622101.85919999995</v>
      </c>
      <c r="Z186">
        <v>408580.47850000003</v>
      </c>
      <c r="AA186">
        <v>297865.34470000002</v>
      </c>
      <c r="AB186">
        <v>190251.9094</v>
      </c>
    </row>
    <row r="187" spans="18:28">
      <c r="R187">
        <v>3254747.9838</v>
      </c>
      <c r="S187">
        <v>913598.15319999994</v>
      </c>
      <c r="T187">
        <v>719021.60739999998</v>
      </c>
      <c r="U187">
        <v>48781.610500000003</v>
      </c>
      <c r="V187">
        <v>233436.17600000001</v>
      </c>
      <c r="W187">
        <v>251492.19330000001</v>
      </c>
      <c r="X187">
        <v>1773800</v>
      </c>
      <c r="Y187">
        <v>619382.54449999996</v>
      </c>
      <c r="Z187">
        <v>422470.55489999999</v>
      </c>
      <c r="AA187">
        <v>300254.38329999999</v>
      </c>
      <c r="AB187">
        <v>195593.4149</v>
      </c>
    </row>
    <row r="188" spans="18:28">
      <c r="R188">
        <v>3267773.4885</v>
      </c>
      <c r="S188">
        <v>874390.40390000003</v>
      </c>
      <c r="T188">
        <v>717444.41059999994</v>
      </c>
      <c r="U188">
        <v>47907.376300000004</v>
      </c>
      <c r="V188">
        <v>230265.34770000001</v>
      </c>
      <c r="W188">
        <v>250365.90960000001</v>
      </c>
      <c r="X188">
        <v>1752100</v>
      </c>
      <c r="Y188">
        <v>614160.88820000004</v>
      </c>
      <c r="Z188">
        <v>416626.88329999999</v>
      </c>
      <c r="AA188">
        <v>299872.1372</v>
      </c>
      <c r="AB188">
        <v>196670.99900000001</v>
      </c>
    </row>
    <row r="189" spans="18:28">
      <c r="R189">
        <v>3258004.36</v>
      </c>
      <c r="S189">
        <v>881552.36080000002</v>
      </c>
      <c r="T189">
        <v>728155.45649999997</v>
      </c>
      <c r="U189">
        <v>47149.95</v>
      </c>
      <c r="V189">
        <v>238376.53030000001</v>
      </c>
      <c r="W189">
        <v>247581.77530000001</v>
      </c>
      <c r="X189">
        <v>2030500</v>
      </c>
      <c r="Y189">
        <v>604030.147</v>
      </c>
      <c r="Z189">
        <v>415008.79950000002</v>
      </c>
      <c r="AA189">
        <v>297674.22159999999</v>
      </c>
      <c r="AB189">
        <v>191263.44149999999</v>
      </c>
    </row>
    <row r="190" spans="18:28">
      <c r="R190">
        <v>3330458.7297999999</v>
      </c>
      <c r="S190">
        <v>882551.53559999994</v>
      </c>
      <c r="T190">
        <v>743800.68680000002</v>
      </c>
      <c r="U190">
        <v>43740.909399999997</v>
      </c>
      <c r="V190">
        <v>238971.77230000001</v>
      </c>
      <c r="W190">
        <v>246450.5159</v>
      </c>
      <c r="X190">
        <v>2040000</v>
      </c>
      <c r="Y190">
        <v>604681.29429999995</v>
      </c>
      <c r="Z190">
        <v>409407.19510000001</v>
      </c>
      <c r="AA190">
        <v>297865.34470000002</v>
      </c>
      <c r="AB190">
        <v>186073.81390000001</v>
      </c>
    </row>
    <row r="191" spans="18:28">
      <c r="R191">
        <v>3373605.7141</v>
      </c>
      <c r="S191">
        <v>895460.87210000004</v>
      </c>
      <c r="T191">
        <v>737734.34369999997</v>
      </c>
      <c r="U191">
        <v>45437.540399999998</v>
      </c>
      <c r="V191">
        <v>235160.4566</v>
      </c>
      <c r="W191">
        <v>246483.21059999999</v>
      </c>
      <c r="X191">
        <v>2016800</v>
      </c>
      <c r="Y191">
        <v>599303.27190000005</v>
      </c>
      <c r="Z191">
        <v>406333.94020000001</v>
      </c>
      <c r="AA191">
        <v>310575.03049999999</v>
      </c>
      <c r="AB191">
        <v>179736.76819999999</v>
      </c>
    </row>
    <row r="192" spans="18:28">
      <c r="R192">
        <v>3429778.2030000002</v>
      </c>
      <c r="S192">
        <v>903691.4841</v>
      </c>
      <c r="T192">
        <v>747035.54890000005</v>
      </c>
      <c r="U192">
        <v>43887.666700000002</v>
      </c>
      <c r="V192">
        <v>236778.0349</v>
      </c>
      <c r="W192">
        <v>247860.91459999999</v>
      </c>
      <c r="X192">
        <v>2053300.0000000002</v>
      </c>
      <c r="Y192">
        <v>585044.25769999996</v>
      </c>
      <c r="Z192">
        <v>408065.16259999998</v>
      </c>
      <c r="AA192">
        <v>312199.57679999998</v>
      </c>
      <c r="AB192">
        <v>181818.67970000001</v>
      </c>
    </row>
    <row r="193" spans="18:28">
      <c r="R193">
        <v>3428964.1090000002</v>
      </c>
      <c r="S193">
        <v>905083.12230000005</v>
      </c>
      <c r="T193">
        <v>758919.04850000003</v>
      </c>
      <c r="U193">
        <v>53799.917000000001</v>
      </c>
      <c r="V193">
        <v>241921.91209999999</v>
      </c>
      <c r="W193">
        <v>244853.29019999999</v>
      </c>
      <c r="X193">
        <v>2045500</v>
      </c>
      <c r="Y193">
        <v>591774.30260000005</v>
      </c>
      <c r="Z193">
        <v>409012.1643</v>
      </c>
      <c r="AA193">
        <v>311530.64600000001</v>
      </c>
      <c r="AB193">
        <v>182616.33850000001</v>
      </c>
    </row>
    <row r="194" spans="18:28">
      <c r="R194">
        <v>3509559.4191999999</v>
      </c>
      <c r="S194">
        <v>912726.49930000002</v>
      </c>
      <c r="T194">
        <v>764240.53760000004</v>
      </c>
      <c r="U194">
        <v>59192.360999999997</v>
      </c>
      <c r="V194">
        <v>251772.5802</v>
      </c>
      <c r="W194">
        <v>241219.13860000001</v>
      </c>
      <c r="X194">
        <v>2074800.0000000002</v>
      </c>
      <c r="Y194">
        <v>579369.0514</v>
      </c>
      <c r="Z194">
        <v>405227.26169999997</v>
      </c>
      <c r="AA194">
        <v>315544.23100000003</v>
      </c>
      <c r="AB194">
        <v>191958.57980000001</v>
      </c>
    </row>
    <row r="195" spans="18:28">
      <c r="R195">
        <v>3468040.6230000001</v>
      </c>
      <c r="S195">
        <v>934953.08559999999</v>
      </c>
      <c r="T195">
        <v>757969.20030000003</v>
      </c>
      <c r="U195">
        <v>55213.575299999997</v>
      </c>
      <c r="V195">
        <v>232056.54949999999</v>
      </c>
      <c r="W195">
        <v>241048.9615</v>
      </c>
      <c r="X195">
        <v>2046600.0000000002</v>
      </c>
      <c r="Y195">
        <v>593422.01789999998</v>
      </c>
      <c r="Z195">
        <v>408477.28580000001</v>
      </c>
      <c r="AA195">
        <v>311339.52289999998</v>
      </c>
      <c r="AB195">
        <v>204175.06140000001</v>
      </c>
    </row>
    <row r="196" spans="18:28">
      <c r="R196">
        <v>3436290.9553999999</v>
      </c>
      <c r="S196">
        <v>909491.49450000003</v>
      </c>
      <c r="T196">
        <v>728956.71039999998</v>
      </c>
      <c r="U196">
        <v>51027.812299999998</v>
      </c>
      <c r="V196">
        <v>228317.886</v>
      </c>
      <c r="W196">
        <v>240900.98989999999</v>
      </c>
      <c r="X196">
        <v>2048000</v>
      </c>
      <c r="Y196">
        <v>579107.95120000001</v>
      </c>
      <c r="Z196">
        <v>406482.42460000003</v>
      </c>
      <c r="AA196">
        <v>310001.66119999997</v>
      </c>
      <c r="AB196">
        <v>207115.03339999999</v>
      </c>
    </row>
    <row r="197" spans="18:28">
      <c r="R197">
        <v>3475367.4693999998</v>
      </c>
      <c r="S197">
        <v>910671.42310000001</v>
      </c>
      <c r="T197">
        <v>729196.79180000001</v>
      </c>
      <c r="U197">
        <v>46679.753100000002</v>
      </c>
      <c r="V197">
        <v>224344.9235</v>
      </c>
      <c r="W197">
        <v>241175.46729999999</v>
      </c>
      <c r="X197">
        <v>2033100.0000000002</v>
      </c>
      <c r="Y197">
        <v>595181.25930000003</v>
      </c>
      <c r="Z197">
        <v>407781.25839999999</v>
      </c>
      <c r="AA197">
        <v>309906.09970000002</v>
      </c>
      <c r="AB197">
        <v>207966.46900000001</v>
      </c>
    </row>
    <row r="198" spans="18:28">
      <c r="R198">
        <v>3493277.5384</v>
      </c>
      <c r="S198">
        <v>912977.3504</v>
      </c>
      <c r="T198">
        <v>710394.22290000005</v>
      </c>
      <c r="U198">
        <v>46068.517999999996</v>
      </c>
      <c r="V198">
        <v>219407.88519999999</v>
      </c>
      <c r="W198">
        <v>242289.58489999999</v>
      </c>
      <c r="X198">
        <v>2017399.9999999998</v>
      </c>
      <c r="Y198">
        <v>600264.87529999996</v>
      </c>
      <c r="Z198">
        <v>407768.32939999999</v>
      </c>
      <c r="AA198">
        <v>305796.95309999998</v>
      </c>
      <c r="AB198">
        <v>209629.3346</v>
      </c>
    </row>
    <row r="199" spans="18:28">
      <c r="R199">
        <v>3403852.0225999998</v>
      </c>
      <c r="S199">
        <v>904298.25970000005</v>
      </c>
      <c r="T199">
        <v>699916.59669999999</v>
      </c>
      <c r="U199">
        <v>42514.079700000002</v>
      </c>
      <c r="V199">
        <v>219639.59039999999</v>
      </c>
      <c r="W199">
        <v>241990.5993</v>
      </c>
      <c r="X199">
        <v>2023299.9999999998</v>
      </c>
      <c r="Y199">
        <v>593192.26569999999</v>
      </c>
      <c r="Z199">
        <v>400462.84350000002</v>
      </c>
      <c r="AA199">
        <v>304267.96840000001</v>
      </c>
      <c r="AB199">
        <v>210746.851</v>
      </c>
    </row>
    <row r="200" spans="18:28">
      <c r="R200">
        <v>3364755.3733999999</v>
      </c>
      <c r="S200">
        <v>903733.13580000005</v>
      </c>
      <c r="T200">
        <v>706933.86120000004</v>
      </c>
      <c r="U200">
        <v>44286.387699999999</v>
      </c>
      <c r="V200">
        <v>219331.3272</v>
      </c>
      <c r="W200">
        <v>242842.12770000001</v>
      </c>
      <c r="X200">
        <v>2000200</v>
      </c>
      <c r="Y200">
        <v>591182.56909999996</v>
      </c>
      <c r="Z200">
        <v>401961.28909999999</v>
      </c>
      <c r="AA200">
        <v>304172.4068</v>
      </c>
      <c r="AB200">
        <v>210418.88630000001</v>
      </c>
    </row>
    <row r="201" spans="18:28">
      <c r="R201">
        <v>3430730.9689000002</v>
      </c>
      <c r="S201">
        <v>948731.05740000005</v>
      </c>
      <c r="T201">
        <v>709527.17729999998</v>
      </c>
      <c r="U201">
        <v>46603.1391</v>
      </c>
      <c r="V201">
        <v>229214.71979999999</v>
      </c>
      <c r="W201">
        <v>243642.75709999999</v>
      </c>
      <c r="X201">
        <v>2010900</v>
      </c>
      <c r="Y201">
        <v>598700.32070000004</v>
      </c>
      <c r="Z201">
        <v>411970.97779999999</v>
      </c>
      <c r="AA201">
        <v>301018.87569999998</v>
      </c>
      <c r="AB201">
        <v>210784.94020000001</v>
      </c>
    </row>
    <row r="202" spans="18:28">
      <c r="R202">
        <v>3445392.2124000001</v>
      </c>
      <c r="S202">
        <v>945660.87809999997</v>
      </c>
      <c r="T202">
        <v>688674.72290000005</v>
      </c>
      <c r="U202">
        <v>46584.092299999997</v>
      </c>
      <c r="V202">
        <v>221474.17120000001</v>
      </c>
      <c r="W202">
        <v>241783.47469999999</v>
      </c>
      <c r="X202">
        <v>2014600.0000000002</v>
      </c>
      <c r="Y202">
        <v>603783.05169999995</v>
      </c>
      <c r="Z202">
        <v>407102.86259999999</v>
      </c>
      <c r="AA202">
        <v>302165.61430000002</v>
      </c>
      <c r="AB202">
        <v>210036.7562</v>
      </c>
    </row>
    <row r="203" spans="18:28">
      <c r="R203">
        <v>3600149.7821999998</v>
      </c>
      <c r="S203">
        <v>946941.85010000004</v>
      </c>
      <c r="T203">
        <v>674830.49120000005</v>
      </c>
      <c r="U203">
        <v>45961.999199999998</v>
      </c>
      <c r="V203">
        <v>229970.196</v>
      </c>
      <c r="W203">
        <v>240992.4356</v>
      </c>
      <c r="X203">
        <v>1995900</v>
      </c>
      <c r="Y203">
        <v>609954.74529999995</v>
      </c>
      <c r="Z203">
        <v>390188.90659999999</v>
      </c>
      <c r="AA203">
        <v>301209.9988</v>
      </c>
      <c r="AB203">
        <v>208517.70490000001</v>
      </c>
    </row>
    <row r="204" spans="18:28">
      <c r="R204">
        <v>3608294.9175</v>
      </c>
      <c r="S204">
        <v>927644.73719999997</v>
      </c>
      <c r="T204">
        <v>658197.54029999999</v>
      </c>
      <c r="U204">
        <v>46558.632100000003</v>
      </c>
      <c r="V204">
        <v>235267.15549999999</v>
      </c>
      <c r="W204">
        <v>238564.18340000001</v>
      </c>
      <c r="X204">
        <v>1986500</v>
      </c>
      <c r="Y204">
        <v>601887.76690000005</v>
      </c>
      <c r="Z204">
        <v>394749.82250000001</v>
      </c>
      <c r="AA204">
        <v>301305.56040000002</v>
      </c>
      <c r="AB204">
        <v>208763.20980000001</v>
      </c>
    </row>
    <row r="205" spans="18:28">
      <c r="R205">
        <v>3556166.0518999998</v>
      </c>
      <c r="S205">
        <v>921134.56709999999</v>
      </c>
      <c r="T205">
        <v>638353.647</v>
      </c>
      <c r="U205">
        <v>47125.083599999998</v>
      </c>
      <c r="V205">
        <v>242916.42559999999</v>
      </c>
      <c r="W205">
        <v>238308.39369999999</v>
      </c>
      <c r="X205">
        <v>1963900</v>
      </c>
      <c r="Y205">
        <v>594867.04229999997</v>
      </c>
      <c r="Z205">
        <v>396546.88510000001</v>
      </c>
      <c r="AA205">
        <v>299776.57559999998</v>
      </c>
      <c r="AB205">
        <v>207586.0765</v>
      </c>
    </row>
    <row r="206" spans="18:28">
      <c r="R206">
        <v>3614811.0257000001</v>
      </c>
      <c r="S206">
        <v>923721.07689999999</v>
      </c>
      <c r="T206">
        <v>633515.9584</v>
      </c>
      <c r="U206">
        <v>48187.6944</v>
      </c>
      <c r="V206">
        <v>238693.89850000001</v>
      </c>
      <c r="W206">
        <v>237200.6874</v>
      </c>
      <c r="X206">
        <v>1962800</v>
      </c>
      <c r="Y206">
        <v>610911.74580000003</v>
      </c>
      <c r="Z206">
        <v>393641.11680000002</v>
      </c>
      <c r="AA206">
        <v>301114.43729999999</v>
      </c>
      <c r="AB206">
        <v>206061.75779999999</v>
      </c>
    </row>
    <row r="207" spans="18:28">
      <c r="R207">
        <v>3746762.2168000001</v>
      </c>
      <c r="S207">
        <v>937138.3077</v>
      </c>
      <c r="T207">
        <v>636307.67590000003</v>
      </c>
      <c r="U207">
        <v>46325.803999999996</v>
      </c>
      <c r="V207">
        <v>242952.86559999999</v>
      </c>
      <c r="W207">
        <v>237196.34330000001</v>
      </c>
      <c r="X207">
        <v>1959900</v>
      </c>
      <c r="Y207">
        <v>616295.85620000004</v>
      </c>
      <c r="Z207">
        <v>392396.15330000001</v>
      </c>
      <c r="AA207">
        <v>305796.95309999998</v>
      </c>
      <c r="AB207">
        <v>204319.4185</v>
      </c>
    </row>
    <row r="208" spans="18:28">
      <c r="R208">
        <v>3665310.8643</v>
      </c>
      <c r="S208">
        <v>931379.74029999995</v>
      </c>
      <c r="T208">
        <v>669048.22349999996</v>
      </c>
      <c r="U208">
        <v>45368.106099999997</v>
      </c>
      <c r="V208">
        <v>238879.11749999999</v>
      </c>
      <c r="W208">
        <v>236959.19930000001</v>
      </c>
      <c r="X208">
        <v>1938600</v>
      </c>
      <c r="Y208">
        <v>611126.98979999998</v>
      </c>
      <c r="Z208">
        <v>392358.19150000002</v>
      </c>
      <c r="AA208">
        <v>309332.7304</v>
      </c>
      <c r="AB208">
        <v>197815.07139999999</v>
      </c>
    </row>
    <row r="209" spans="18:28">
      <c r="R209">
        <v>3576528.89</v>
      </c>
      <c r="S209">
        <v>932280.43559999997</v>
      </c>
      <c r="T209">
        <v>668829.56400000001</v>
      </c>
      <c r="U209">
        <v>47617.249100000001</v>
      </c>
      <c r="V209">
        <v>251427.92540000001</v>
      </c>
      <c r="W209">
        <v>237578.15169999999</v>
      </c>
      <c r="X209">
        <v>1927400</v>
      </c>
      <c r="Y209">
        <v>604082.85060000001</v>
      </c>
      <c r="Z209">
        <v>396791.9889</v>
      </c>
      <c r="AA209">
        <v>305796.95309999998</v>
      </c>
      <c r="AB209">
        <v>218442.18470000001</v>
      </c>
    </row>
    <row r="210" spans="18:28">
      <c r="R210">
        <v>3699194.2559000002</v>
      </c>
      <c r="S210">
        <v>975313.18689999997</v>
      </c>
      <c r="T210">
        <v>664420.95920000004</v>
      </c>
      <c r="U210">
        <v>48373.441299999999</v>
      </c>
      <c r="V210">
        <v>252453.91459999999</v>
      </c>
      <c r="W210">
        <v>237214.95670000001</v>
      </c>
      <c r="X210">
        <v>1936599.9999999998</v>
      </c>
      <c r="Y210">
        <v>600065.55830000003</v>
      </c>
      <c r="Z210">
        <v>394293.21419999999</v>
      </c>
      <c r="AA210">
        <v>309619.41499999998</v>
      </c>
      <c r="AB210">
        <v>217459.6115</v>
      </c>
    </row>
    <row r="211" spans="18:28">
      <c r="R211">
        <v>3643957.4186</v>
      </c>
      <c r="S211">
        <v>989253.76029999997</v>
      </c>
      <c r="T211">
        <v>667190.62029999995</v>
      </c>
      <c r="U211">
        <v>48804.492200000001</v>
      </c>
      <c r="V211">
        <v>258295.80360000001</v>
      </c>
      <c r="W211">
        <v>234800.91440000001</v>
      </c>
      <c r="X211">
        <v>1906600</v>
      </c>
      <c r="Y211">
        <v>594230.40830000001</v>
      </c>
      <c r="Z211">
        <v>393737.56809999997</v>
      </c>
      <c r="AA211">
        <v>309046.04580000002</v>
      </c>
      <c r="AB211">
        <v>214458.3278</v>
      </c>
    </row>
    <row r="212" spans="18:28">
      <c r="R212">
        <v>3656511.2451999998</v>
      </c>
      <c r="S212">
        <v>1006500</v>
      </c>
      <c r="T212">
        <v>682892.22309999994</v>
      </c>
      <c r="U212">
        <v>48294.582399999999</v>
      </c>
      <c r="V212">
        <v>256915.4161</v>
      </c>
      <c r="W212">
        <v>235208.35430000001</v>
      </c>
      <c r="X212">
        <v>1884199.9999999998</v>
      </c>
      <c r="Y212">
        <v>595790.29370000004</v>
      </c>
      <c r="Z212">
        <v>396713.08960000001</v>
      </c>
      <c r="AA212">
        <v>309906.09970000002</v>
      </c>
      <c r="AB212">
        <v>215882.2126</v>
      </c>
    </row>
    <row r="213" spans="18:28">
      <c r="R213">
        <v>3692498.8816</v>
      </c>
      <c r="S213">
        <v>1015099.9999999999</v>
      </c>
      <c r="T213">
        <v>690965.12060000002</v>
      </c>
      <c r="U213">
        <v>47949.472000000002</v>
      </c>
      <c r="V213">
        <v>254473.5025</v>
      </c>
      <c r="W213">
        <v>235542.15669999999</v>
      </c>
      <c r="X213">
        <v>1912399.9999999998</v>
      </c>
      <c r="Y213">
        <v>606873.86410000001</v>
      </c>
      <c r="Z213">
        <v>403424.8823</v>
      </c>
      <c r="AA213">
        <v>312486.26150000002</v>
      </c>
      <c r="AB213">
        <v>216163.24549999999</v>
      </c>
    </row>
    <row r="214" spans="18:28">
      <c r="R214">
        <v>3705889.6301000002</v>
      </c>
      <c r="S214">
        <v>1006599.9999999999</v>
      </c>
      <c r="T214">
        <v>677368.06539999996</v>
      </c>
      <c r="U214">
        <v>45822.934099999999</v>
      </c>
      <c r="V214">
        <v>254473.5025</v>
      </c>
      <c r="W214">
        <v>233868.96580000001</v>
      </c>
      <c r="X214">
        <v>1888800</v>
      </c>
      <c r="Y214">
        <v>603743.03390000004</v>
      </c>
      <c r="Z214">
        <v>403693.93050000002</v>
      </c>
      <c r="AA214">
        <v>312964.06920000003</v>
      </c>
      <c r="AB214">
        <v>216932.49849999999</v>
      </c>
    </row>
    <row r="215" spans="18:28">
      <c r="R215">
        <v>3741040.3446999998</v>
      </c>
      <c r="S215">
        <v>1005600</v>
      </c>
      <c r="T215">
        <v>689027.08470000001</v>
      </c>
      <c r="U215">
        <v>46344.245900000002</v>
      </c>
      <c r="V215">
        <v>243865.7592</v>
      </c>
      <c r="W215">
        <v>233657.45430000001</v>
      </c>
      <c r="X215">
        <v>1915400</v>
      </c>
      <c r="Y215">
        <v>596948.57279999997</v>
      </c>
      <c r="Z215">
        <v>405456.95299999998</v>
      </c>
      <c r="AA215">
        <v>310957.27669999999</v>
      </c>
      <c r="AB215">
        <v>220922.0791</v>
      </c>
    </row>
    <row r="216" spans="18:28">
      <c r="R216">
        <v>3714258.8478999999</v>
      </c>
      <c r="S216">
        <v>1006500</v>
      </c>
      <c r="T216">
        <v>671015.24159999995</v>
      </c>
      <c r="U216">
        <v>45782.377699999997</v>
      </c>
      <c r="V216">
        <v>240478.50289999999</v>
      </c>
      <c r="W216">
        <v>234413.90410000001</v>
      </c>
      <c r="X216">
        <v>1904000</v>
      </c>
      <c r="Y216">
        <v>600490.10660000006</v>
      </c>
      <c r="Z216">
        <v>413392.65629999997</v>
      </c>
      <c r="AA216">
        <v>314110.80780000001</v>
      </c>
      <c r="AB216">
        <v>222669.6384</v>
      </c>
    </row>
    <row r="217" spans="18:28">
      <c r="R217">
        <v>3779538.7464999999</v>
      </c>
      <c r="S217">
        <v>998987.07380000001</v>
      </c>
      <c r="T217">
        <v>669439.73930000002</v>
      </c>
      <c r="U217">
        <v>45270.885300000002</v>
      </c>
      <c r="V217">
        <v>254731.43830000001</v>
      </c>
      <c r="W217">
        <v>232741.62239999999</v>
      </c>
      <c r="X217">
        <v>1909700</v>
      </c>
      <c r="Y217">
        <v>592094.00100000005</v>
      </c>
      <c r="Z217">
        <v>415675.38760000002</v>
      </c>
      <c r="AA217">
        <v>319462.25449999998</v>
      </c>
      <c r="AB217">
        <v>224552.78649999999</v>
      </c>
    </row>
    <row r="218" spans="18:28">
      <c r="R218">
        <v>3813858.3245999999</v>
      </c>
      <c r="S218">
        <v>983494.92480000004</v>
      </c>
      <c r="T218">
        <v>658770.53940000001</v>
      </c>
      <c r="U218">
        <v>44722.0389</v>
      </c>
      <c r="V218">
        <v>254519.2818</v>
      </c>
      <c r="W218">
        <v>232538.30869999999</v>
      </c>
      <c r="X218">
        <v>1924200</v>
      </c>
      <c r="Y218">
        <v>593928.8308</v>
      </c>
      <c r="Z218">
        <v>416109.14079999999</v>
      </c>
      <c r="AA218">
        <v>324049.20880000002</v>
      </c>
      <c r="AB218">
        <v>226411.56779999999</v>
      </c>
    </row>
    <row r="219" spans="18:28">
      <c r="R219">
        <v>3817206.0167999999</v>
      </c>
      <c r="S219">
        <v>992072.58400000003</v>
      </c>
      <c r="T219">
        <v>662629.37379999994</v>
      </c>
      <c r="U219">
        <v>45281.102299999999</v>
      </c>
      <c r="V219">
        <v>253414.57879999999</v>
      </c>
      <c r="W219">
        <v>233783.149</v>
      </c>
      <c r="X219">
        <v>1925500</v>
      </c>
      <c r="Y219">
        <v>599183.0736</v>
      </c>
      <c r="Z219">
        <v>419895.89880000002</v>
      </c>
      <c r="AA219">
        <v>320608.99300000002</v>
      </c>
      <c r="AB219">
        <v>224028.18650000001</v>
      </c>
    </row>
    <row r="220" spans="18:28">
      <c r="R220">
        <v>3788750.6332</v>
      </c>
      <c r="S220">
        <v>974537.09539999999</v>
      </c>
      <c r="T220">
        <v>677273.42870000005</v>
      </c>
      <c r="U220">
        <v>45371.710299999999</v>
      </c>
      <c r="V220">
        <v>253124.3475</v>
      </c>
      <c r="W220">
        <v>232325.82550000001</v>
      </c>
      <c r="X220">
        <v>1915900.0000000002</v>
      </c>
      <c r="Y220">
        <v>594920.42220000003</v>
      </c>
      <c r="Z220">
        <v>420118.77120000002</v>
      </c>
      <c r="AA220">
        <v>320131.18530000001</v>
      </c>
      <c r="AB220">
        <v>218563.4871</v>
      </c>
    </row>
    <row r="221" spans="18:28">
      <c r="R221">
        <v>3841476.7851999998</v>
      </c>
      <c r="S221">
        <v>968155.36349999998</v>
      </c>
      <c r="T221">
        <v>654157.88309999998</v>
      </c>
      <c r="U221">
        <v>45137.886599999998</v>
      </c>
      <c r="V221">
        <v>253613.6691</v>
      </c>
      <c r="W221">
        <v>231647.6936</v>
      </c>
      <c r="X221">
        <v>1931700</v>
      </c>
      <c r="Y221">
        <v>588067.13549999997</v>
      </c>
      <c r="Z221">
        <v>422025.88829999999</v>
      </c>
      <c r="AA221">
        <v>320131.18530000001</v>
      </c>
      <c r="AB221">
        <v>216692.46179999999</v>
      </c>
    </row>
    <row r="222" spans="18:28">
      <c r="R222">
        <v>3863236.7843999998</v>
      </c>
      <c r="S222">
        <v>966741.72140000004</v>
      </c>
      <c r="T222">
        <v>640002.42460000003</v>
      </c>
      <c r="U222">
        <v>45012.828800000003</v>
      </c>
      <c r="V222">
        <v>255041.05979999999</v>
      </c>
      <c r="W222">
        <v>230263.4117</v>
      </c>
      <c r="X222">
        <v>1931800</v>
      </c>
      <c r="Y222">
        <v>590575.72900000005</v>
      </c>
      <c r="Z222">
        <v>425668.21260000003</v>
      </c>
      <c r="AA222">
        <v>322711.34710000001</v>
      </c>
      <c r="AB222">
        <v>216763.18290000001</v>
      </c>
    </row>
    <row r="223" spans="18:28">
      <c r="R223">
        <v>3843150.6312000002</v>
      </c>
      <c r="S223">
        <v>967518.63690000004</v>
      </c>
      <c r="T223">
        <v>634495.27769999998</v>
      </c>
      <c r="U223">
        <v>45951.496299999999</v>
      </c>
      <c r="V223">
        <v>262404.50420000002</v>
      </c>
      <c r="W223">
        <v>228982.36919999999</v>
      </c>
      <c r="X223">
        <v>1937300</v>
      </c>
      <c r="Y223">
        <v>589259.35640000005</v>
      </c>
      <c r="Z223">
        <v>416489.4829</v>
      </c>
      <c r="AA223">
        <v>319175.5698</v>
      </c>
      <c r="AB223">
        <v>212739.71539999999</v>
      </c>
    </row>
    <row r="224" spans="18:28">
      <c r="R224">
        <v>3799630.6327999998</v>
      </c>
      <c r="S224">
        <v>924924.4926</v>
      </c>
      <c r="T224">
        <v>640213.04590000003</v>
      </c>
      <c r="U224">
        <v>45332.226300000002</v>
      </c>
      <c r="V224">
        <v>262404.50420000002</v>
      </c>
      <c r="W224">
        <v>227589.75049999999</v>
      </c>
      <c r="X224">
        <v>1903000</v>
      </c>
      <c r="Y224">
        <v>591000.20160000003</v>
      </c>
      <c r="Z224">
        <v>408649.17989999999</v>
      </c>
      <c r="AA224">
        <v>315353.1079</v>
      </c>
      <c r="AB224">
        <v>210810.21059999999</v>
      </c>
    </row>
    <row r="225" spans="18:28">
      <c r="R225">
        <v>3707569.0976999998</v>
      </c>
      <c r="S225">
        <v>918249.36780000001</v>
      </c>
      <c r="T225">
        <v>615605.75150000001</v>
      </c>
      <c r="U225">
        <v>43984.3338</v>
      </c>
      <c r="V225">
        <v>246271.4137</v>
      </c>
      <c r="W225">
        <v>226252.25109999999</v>
      </c>
      <c r="X225">
        <v>1881400</v>
      </c>
      <c r="Y225">
        <v>579441.59750000003</v>
      </c>
      <c r="Z225">
        <v>394224.43290000001</v>
      </c>
      <c r="AA225">
        <v>313059.63079999998</v>
      </c>
      <c r="AB225">
        <v>207895.05009999999</v>
      </c>
    </row>
    <row r="226" spans="18:28">
      <c r="R226">
        <v>3736861.4043000001</v>
      </c>
      <c r="S226">
        <v>901390.09970000002</v>
      </c>
      <c r="T226">
        <v>634018.36410000001</v>
      </c>
      <c r="U226">
        <v>43876.848100000003</v>
      </c>
      <c r="V226">
        <v>249940.96650000001</v>
      </c>
      <c r="W226">
        <v>226135.16200000001</v>
      </c>
      <c r="X226">
        <v>1912200</v>
      </c>
      <c r="Y226">
        <v>589821.68590000004</v>
      </c>
      <c r="Z226">
        <v>394637.0098</v>
      </c>
      <c r="AA226">
        <v>314588.61550000001</v>
      </c>
      <c r="AB226">
        <v>212405.11470000001</v>
      </c>
    </row>
    <row r="227" spans="18:28">
      <c r="R227">
        <v>3756110.6343999999</v>
      </c>
      <c r="S227">
        <v>883198.69420000003</v>
      </c>
      <c r="T227">
        <v>651229.22129999998</v>
      </c>
      <c r="U227">
        <v>44096.283900000002</v>
      </c>
      <c r="V227">
        <v>246144.83739999999</v>
      </c>
      <c r="W227">
        <v>228127.60389999999</v>
      </c>
      <c r="X227">
        <v>1922300</v>
      </c>
      <c r="Y227">
        <v>602169.07220000005</v>
      </c>
      <c r="Z227">
        <v>390261.08600000001</v>
      </c>
      <c r="AA227">
        <v>318984.44669999997</v>
      </c>
      <c r="AB227">
        <v>215260.52929999999</v>
      </c>
    </row>
    <row r="228" spans="18:28">
      <c r="R228">
        <v>3781218.3258000002</v>
      </c>
      <c r="S228">
        <v>901811.8382</v>
      </c>
      <c r="T228">
        <v>613918.61250000005</v>
      </c>
      <c r="U228">
        <v>43304.202400000002</v>
      </c>
      <c r="V228">
        <v>242174.3799</v>
      </c>
      <c r="W228">
        <v>227207.58679999999</v>
      </c>
      <c r="X228">
        <v>1959200</v>
      </c>
      <c r="Y228">
        <v>601750.07129999995</v>
      </c>
      <c r="Z228">
        <v>391352.14679999999</v>
      </c>
      <c r="AA228">
        <v>322329.10090000002</v>
      </c>
      <c r="AB228">
        <v>207232.76010000001</v>
      </c>
    </row>
    <row r="229" spans="18:28">
      <c r="R229">
        <v>3779544.4797</v>
      </c>
      <c r="S229">
        <v>912812.67059999995</v>
      </c>
      <c r="T229">
        <v>628991.62899999996</v>
      </c>
      <c r="U229">
        <v>42165.995999999999</v>
      </c>
      <c r="V229">
        <v>236803.07449999999</v>
      </c>
      <c r="W229">
        <v>228255.1453</v>
      </c>
      <c r="X229">
        <v>1957800</v>
      </c>
      <c r="Y229">
        <v>610186.50580000004</v>
      </c>
      <c r="Z229">
        <v>387865.43359999999</v>
      </c>
      <c r="AA229">
        <v>333414.24050000001</v>
      </c>
      <c r="AB229">
        <v>208342.51199999999</v>
      </c>
    </row>
    <row r="230" spans="18:28">
      <c r="R230">
        <v>3794609.0945000001</v>
      </c>
      <c r="S230">
        <v>936492.93819999998</v>
      </c>
      <c r="T230">
        <v>657493.91269999999</v>
      </c>
      <c r="U230">
        <v>40880.976600000002</v>
      </c>
      <c r="V230">
        <v>241912.54930000001</v>
      </c>
      <c r="W230">
        <v>230860.66279999999</v>
      </c>
      <c r="X230">
        <v>1972700.0000000002</v>
      </c>
      <c r="Y230">
        <v>606162.66610000003</v>
      </c>
      <c r="Z230">
        <v>386473.50709999999</v>
      </c>
      <c r="AA230">
        <v>332745.30959999998</v>
      </c>
      <c r="AB230">
        <v>210521.3725</v>
      </c>
    </row>
    <row r="231" spans="18:28">
      <c r="R231">
        <v>3838129.0929999999</v>
      </c>
      <c r="S231">
        <v>938205.34120000002</v>
      </c>
      <c r="T231">
        <v>661839.19449999998</v>
      </c>
      <c r="U231">
        <v>40566.175300000003</v>
      </c>
      <c r="V231">
        <v>242939.5999</v>
      </c>
      <c r="W231">
        <v>233118.28349999999</v>
      </c>
      <c r="X231">
        <v>2007200</v>
      </c>
      <c r="Y231">
        <v>610527.92099999997</v>
      </c>
      <c r="Z231">
        <v>388768.80699999997</v>
      </c>
      <c r="AA231">
        <v>330260.70939999999</v>
      </c>
      <c r="AB231">
        <v>215979.6048</v>
      </c>
    </row>
    <row r="232" spans="18:28">
      <c r="R232">
        <v>3876627.5531000001</v>
      </c>
      <c r="S232">
        <v>938693.67649999994</v>
      </c>
      <c r="T232">
        <v>658742.24439999997</v>
      </c>
      <c r="U232">
        <v>40217.830199999997</v>
      </c>
      <c r="V232">
        <v>245635.20619999999</v>
      </c>
      <c r="W232">
        <v>233348.01500000001</v>
      </c>
      <c r="X232">
        <v>2021999.9999999998</v>
      </c>
      <c r="Y232">
        <v>618585.04090000002</v>
      </c>
      <c r="Z232">
        <v>394069.43569999997</v>
      </c>
      <c r="AA232">
        <v>324527.01650000003</v>
      </c>
      <c r="AB232">
        <v>218267.1568</v>
      </c>
    </row>
    <row r="233" spans="18:28">
      <c r="R233">
        <v>3895039.8602</v>
      </c>
      <c r="S233">
        <v>953700.35600000003</v>
      </c>
      <c r="T233">
        <v>665161.42009999999</v>
      </c>
      <c r="U233">
        <v>40009.846899999997</v>
      </c>
      <c r="V233">
        <v>232888.29389999999</v>
      </c>
      <c r="W233">
        <v>233467.8964</v>
      </c>
      <c r="X233">
        <v>2015200</v>
      </c>
      <c r="Y233">
        <v>626425.86259999999</v>
      </c>
      <c r="Z233">
        <v>392450.7059</v>
      </c>
      <c r="AA233">
        <v>336950.01770000003</v>
      </c>
      <c r="AB233">
        <v>219709.84460000001</v>
      </c>
    </row>
    <row r="234" spans="18:28">
      <c r="R234">
        <v>3895039.8602</v>
      </c>
      <c r="S234">
        <v>968300.39910000004</v>
      </c>
      <c r="T234">
        <v>671902.71990000003</v>
      </c>
      <c r="U234">
        <v>40669.422200000001</v>
      </c>
      <c r="V234">
        <v>230966.62450000001</v>
      </c>
      <c r="W234">
        <v>237475.1465</v>
      </c>
      <c r="X234">
        <v>2054800.0000000002</v>
      </c>
      <c r="Y234">
        <v>625429.86199999996</v>
      </c>
      <c r="Z234">
        <v>397185.57130000001</v>
      </c>
      <c r="AA234">
        <v>334465.41749999998</v>
      </c>
      <c r="AB234">
        <v>220174.28409999999</v>
      </c>
    </row>
    <row r="235" spans="18:28">
      <c r="R235">
        <v>3895876.7831999999</v>
      </c>
      <c r="S235">
        <v>982273.82259999996</v>
      </c>
      <c r="T235">
        <v>667303.83330000006</v>
      </c>
      <c r="U235">
        <v>40964.198799999998</v>
      </c>
      <c r="V235">
        <v>257905.23540000001</v>
      </c>
      <c r="W235">
        <v>237484.8872</v>
      </c>
      <c r="X235">
        <v>2098800</v>
      </c>
      <c r="Y235">
        <v>630000.61609999998</v>
      </c>
      <c r="Z235">
        <v>403311.7475</v>
      </c>
      <c r="AA235">
        <v>333796.4866</v>
      </c>
      <c r="AB235">
        <v>223711.94349999999</v>
      </c>
    </row>
    <row r="236" spans="18:28">
      <c r="R236">
        <v>3938141.3971000002</v>
      </c>
      <c r="S236">
        <v>972413.61809999996</v>
      </c>
      <c r="T236">
        <v>660285.33609999996</v>
      </c>
      <c r="U236">
        <v>40770.614300000001</v>
      </c>
      <c r="V236">
        <v>256226.9228</v>
      </c>
      <c r="W236">
        <v>238750.79019999999</v>
      </c>
      <c r="X236">
        <v>2085900</v>
      </c>
      <c r="Y236">
        <v>598500.402</v>
      </c>
      <c r="Z236">
        <v>404259.1102</v>
      </c>
      <c r="AA236">
        <v>333892.04820000002</v>
      </c>
      <c r="AB236">
        <v>222311.14850000001</v>
      </c>
    </row>
    <row r="237" spans="18:28">
      <c r="R237">
        <v>3869513.7072000001</v>
      </c>
      <c r="S237">
        <v>957328.91139999998</v>
      </c>
      <c r="T237">
        <v>650309.28890000004</v>
      </c>
      <c r="U237">
        <v>39245.706299999998</v>
      </c>
      <c r="V237">
        <v>249801.22659999999</v>
      </c>
      <c r="W237">
        <v>237614.2666</v>
      </c>
      <c r="X237">
        <v>2075899.9999999998</v>
      </c>
      <c r="Y237">
        <v>619511.77690000006</v>
      </c>
      <c r="Z237">
        <v>399374.41389999999</v>
      </c>
      <c r="AA237">
        <v>331120.76329999999</v>
      </c>
      <c r="AB237">
        <v>221365.16880000001</v>
      </c>
    </row>
    <row r="238" spans="18:28">
      <c r="R238">
        <v>3799630.6327999998</v>
      </c>
      <c r="S238">
        <v>953541.67050000001</v>
      </c>
      <c r="T238">
        <v>632497.44169999997</v>
      </c>
      <c r="U238">
        <v>39738.820800000001</v>
      </c>
      <c r="V238">
        <v>245102.10190000001</v>
      </c>
      <c r="W238">
        <v>237324.3652</v>
      </c>
      <c r="X238">
        <v>2065500</v>
      </c>
      <c r="Y238">
        <v>637640.22809999995</v>
      </c>
      <c r="Z238">
        <v>393933.114</v>
      </c>
      <c r="AA238">
        <v>324813.70110000001</v>
      </c>
      <c r="AB238">
        <v>219423.51620000001</v>
      </c>
    </row>
    <row r="239" spans="18:28">
      <c r="R239">
        <v>3751507.5575999999</v>
      </c>
      <c r="S239">
        <v>958697.79500000004</v>
      </c>
      <c r="T239">
        <v>626060.22770000005</v>
      </c>
      <c r="U239">
        <v>37847.667000000001</v>
      </c>
      <c r="V239">
        <v>245059.12340000001</v>
      </c>
      <c r="W239">
        <v>237619.39129999999</v>
      </c>
      <c r="X239">
        <v>2062600.0000000002</v>
      </c>
      <c r="Y239">
        <v>641368.37769999995</v>
      </c>
      <c r="Z239">
        <v>398243.06719999999</v>
      </c>
      <c r="AA239">
        <v>327967.23220000003</v>
      </c>
      <c r="AB239">
        <v>222862.45389999999</v>
      </c>
    </row>
    <row r="240" spans="18:28">
      <c r="R240">
        <v>3667031.3848000001</v>
      </c>
      <c r="S240">
        <v>918058.91570000001</v>
      </c>
      <c r="T240">
        <v>626117.75520000001</v>
      </c>
      <c r="U240">
        <v>34990.2618</v>
      </c>
      <c r="V240">
        <v>244188.21900000001</v>
      </c>
      <c r="W240">
        <v>235231.38080000001</v>
      </c>
      <c r="X240">
        <v>2025200</v>
      </c>
      <c r="Y240">
        <v>623826.74069999997</v>
      </c>
      <c r="Z240">
        <v>391216.70250000001</v>
      </c>
      <c r="AA240">
        <v>328827.28619999997</v>
      </c>
      <c r="AB240">
        <v>221837.05</v>
      </c>
    </row>
    <row r="241" spans="18:28">
      <c r="R241">
        <v>3695496.9251999999</v>
      </c>
      <c r="S241">
        <v>925291.9889</v>
      </c>
      <c r="T241">
        <v>626475.60549999995</v>
      </c>
      <c r="U241">
        <v>37865.124000000003</v>
      </c>
      <c r="V241">
        <v>249969.89139999999</v>
      </c>
      <c r="W241">
        <v>236408.21549999999</v>
      </c>
      <c r="X241">
        <v>2037599.9999999998</v>
      </c>
      <c r="Y241">
        <v>648290.96620000002</v>
      </c>
      <c r="Z241">
        <v>395877.82539999997</v>
      </c>
      <c r="AA241">
        <v>339721.3026</v>
      </c>
      <c r="AB241">
        <v>225571.93160000001</v>
      </c>
    </row>
    <row r="242" spans="18:28">
      <c r="R242">
        <v>3708055.2519</v>
      </c>
      <c r="S242">
        <v>937001.89549999998</v>
      </c>
      <c r="T242">
        <v>639791.6213</v>
      </c>
      <c r="U242">
        <v>40543.334900000002</v>
      </c>
      <c r="V242">
        <v>256147.56210000001</v>
      </c>
      <c r="W242">
        <v>238642.20439999999</v>
      </c>
      <c r="X242">
        <v>2064900.0000000002</v>
      </c>
      <c r="Y242">
        <v>645124.13809999998</v>
      </c>
      <c r="Z242">
        <v>395877.82539999997</v>
      </c>
      <c r="AA242">
        <v>338001.1948</v>
      </c>
      <c r="AB242">
        <v>232011.16810000001</v>
      </c>
    </row>
    <row r="243" spans="18:28">
      <c r="R243">
        <v>3708055.2519</v>
      </c>
      <c r="S243">
        <v>937001.89549999998</v>
      </c>
      <c r="T243">
        <v>653322.00710000005</v>
      </c>
      <c r="U243">
        <v>40543.334900000002</v>
      </c>
      <c r="V243">
        <v>269183.10460000002</v>
      </c>
      <c r="W243">
        <v>238642.20439999999</v>
      </c>
      <c r="X243">
        <v>2064900.0000000002</v>
      </c>
      <c r="Y243">
        <v>645124.13809999998</v>
      </c>
      <c r="Z243">
        <v>395877.82539999997</v>
      </c>
      <c r="AA243">
        <v>338001.1948</v>
      </c>
      <c r="AB243">
        <v>232011.16810000001</v>
      </c>
    </row>
    <row r="244" spans="18:28">
      <c r="R244">
        <v>3747404.6754000001</v>
      </c>
      <c r="S244">
        <v>930308.31279999996</v>
      </c>
      <c r="T244">
        <v>636651.37430000002</v>
      </c>
      <c r="U244">
        <v>39166.351900000001</v>
      </c>
      <c r="V244">
        <v>275730.52279999998</v>
      </c>
      <c r="W244">
        <v>237299.58429999999</v>
      </c>
      <c r="X244">
        <v>2070500</v>
      </c>
      <c r="Y244">
        <v>655235.50450000004</v>
      </c>
      <c r="Z244">
        <v>407605.08039999998</v>
      </c>
      <c r="AA244">
        <v>334465.41749999998</v>
      </c>
      <c r="AB244">
        <v>236757.7678</v>
      </c>
    </row>
    <row r="245" spans="18:28">
      <c r="R245">
        <v>3719776.3566999999</v>
      </c>
      <c r="S245">
        <v>909806.64359999995</v>
      </c>
      <c r="T245">
        <v>631637.71259999997</v>
      </c>
      <c r="U245">
        <v>38688.238100000002</v>
      </c>
      <c r="V245">
        <v>280610.95299999998</v>
      </c>
      <c r="W245">
        <v>235584.6697</v>
      </c>
      <c r="X245">
        <v>2057599.9999999998</v>
      </c>
      <c r="Y245">
        <v>643080.99549999996</v>
      </c>
      <c r="Z245">
        <v>407780.33470000001</v>
      </c>
      <c r="AA245">
        <v>333987.60969999997</v>
      </c>
      <c r="AB245">
        <v>237648.0349</v>
      </c>
    </row>
    <row r="246" spans="18:28">
      <c r="R246">
        <v>3798475.2037999998</v>
      </c>
      <c r="S246">
        <v>911636.63820000004</v>
      </c>
      <c r="T246">
        <v>636462.02509999997</v>
      </c>
      <c r="U246">
        <v>40050.123599999999</v>
      </c>
      <c r="V246">
        <v>278795.1398</v>
      </c>
      <c r="W246">
        <v>235831.9982</v>
      </c>
      <c r="X246">
        <v>2072000</v>
      </c>
      <c r="Y246">
        <v>643510.13100000005</v>
      </c>
      <c r="Z246">
        <v>408783.52750000003</v>
      </c>
      <c r="AA246">
        <v>340199.11040000001</v>
      </c>
      <c r="AB246">
        <v>237960.67550000001</v>
      </c>
    </row>
    <row r="247" spans="18:28">
      <c r="R247">
        <v>3806428.8106999998</v>
      </c>
      <c r="S247">
        <v>913674.79359999998</v>
      </c>
      <c r="T247">
        <v>631637.95169999998</v>
      </c>
      <c r="U247">
        <v>39333.883900000001</v>
      </c>
      <c r="V247">
        <v>278778.74459999998</v>
      </c>
      <c r="W247">
        <v>235615.6568</v>
      </c>
      <c r="X247">
        <v>1982900</v>
      </c>
      <c r="Y247">
        <v>651645.08990000002</v>
      </c>
      <c r="Z247">
        <v>407997.59600000002</v>
      </c>
      <c r="AA247">
        <v>337141.14079999999</v>
      </c>
      <c r="AB247">
        <v>238747.4889</v>
      </c>
    </row>
    <row r="248" spans="18:28">
      <c r="R248">
        <v>3817731.3047000002</v>
      </c>
      <c r="S248">
        <v>951581.3567</v>
      </c>
      <c r="T248">
        <v>628287.6433</v>
      </c>
      <c r="U248">
        <v>39841.338799999998</v>
      </c>
      <c r="V248">
        <v>286795.72029999999</v>
      </c>
      <c r="W248">
        <v>234613.24429999999</v>
      </c>
      <c r="X248">
        <v>1995200</v>
      </c>
      <c r="Y248">
        <v>648204.83279999997</v>
      </c>
      <c r="Z248">
        <v>406154.92719999998</v>
      </c>
      <c r="AA248">
        <v>339530.17950000003</v>
      </c>
      <c r="AB248">
        <v>240131.26860000001</v>
      </c>
    </row>
    <row r="249" spans="18:28">
      <c r="R249">
        <v>3817731.3047000002</v>
      </c>
      <c r="S249">
        <v>947952.22589999996</v>
      </c>
      <c r="T249">
        <v>621374.31350000005</v>
      </c>
      <c r="U249">
        <v>39886.394800000002</v>
      </c>
      <c r="V249">
        <v>294511.6839</v>
      </c>
      <c r="W249">
        <v>235330.42509999999</v>
      </c>
      <c r="X249">
        <v>1984900</v>
      </c>
      <c r="Y249">
        <v>648610.43709999998</v>
      </c>
      <c r="Z249">
        <v>404116.87050000002</v>
      </c>
      <c r="AA249">
        <v>338670.12560000003</v>
      </c>
      <c r="AB249">
        <v>238125.61919999999</v>
      </c>
    </row>
    <row r="250" spans="18:28">
      <c r="R250">
        <v>3810196.3086999999</v>
      </c>
      <c r="S250">
        <v>927287.09329999995</v>
      </c>
      <c r="T250">
        <v>612815.07259999996</v>
      </c>
      <c r="U250">
        <v>39953.782599999999</v>
      </c>
      <c r="V250">
        <v>298427.54190000001</v>
      </c>
      <c r="W250">
        <v>234209.63759999999</v>
      </c>
      <c r="X250">
        <v>1992400</v>
      </c>
      <c r="Y250">
        <v>635605.65289999999</v>
      </c>
      <c r="Z250">
        <v>403454.01610000001</v>
      </c>
      <c r="AA250">
        <v>334943.22519999999</v>
      </c>
      <c r="AB250">
        <v>236677.4583</v>
      </c>
    </row>
    <row r="251" spans="18:28">
      <c r="R251">
        <v>3784242.4336000001</v>
      </c>
      <c r="S251">
        <v>920786.19169999997</v>
      </c>
      <c r="T251">
        <v>608885.34149999998</v>
      </c>
      <c r="U251">
        <v>39133.332900000001</v>
      </c>
      <c r="V251">
        <v>301408.10279999999</v>
      </c>
      <c r="W251">
        <v>234783.3474</v>
      </c>
      <c r="X251">
        <v>1982500</v>
      </c>
      <c r="Y251">
        <v>620784.55090000003</v>
      </c>
      <c r="Z251">
        <v>406451.80670000002</v>
      </c>
      <c r="AA251">
        <v>332745.30959999998</v>
      </c>
      <c r="AB251">
        <v>239658.46239999999</v>
      </c>
    </row>
    <row r="252" spans="18:28">
      <c r="R252">
        <v>3767497.9980000001</v>
      </c>
      <c r="S252">
        <v>911223.66819999996</v>
      </c>
      <c r="T252">
        <v>603435.20490000001</v>
      </c>
      <c r="U252">
        <v>38165.006300000001</v>
      </c>
      <c r="V252">
        <v>281715.6605</v>
      </c>
      <c r="W252">
        <v>235663.89679999999</v>
      </c>
      <c r="X252">
        <v>1968100</v>
      </c>
      <c r="Y252">
        <v>603520.83120000002</v>
      </c>
      <c r="Z252">
        <v>407956.25689999998</v>
      </c>
      <c r="AA252">
        <v>330834.07870000001</v>
      </c>
      <c r="AB252">
        <v>238678.36619999999</v>
      </c>
    </row>
    <row r="253" spans="18:28">
      <c r="R253">
        <v>3792614.6513999999</v>
      </c>
      <c r="S253">
        <v>916749.80070000002</v>
      </c>
      <c r="T253">
        <v>593895.57109999994</v>
      </c>
      <c r="U253">
        <v>39498.025500000003</v>
      </c>
      <c r="V253">
        <v>277844.92330000002</v>
      </c>
      <c r="W253">
        <v>235697.47769999999</v>
      </c>
      <c r="X253">
        <v>1998100</v>
      </c>
      <c r="Y253">
        <v>618949.76679999998</v>
      </c>
      <c r="Z253">
        <v>406424.26679999998</v>
      </c>
      <c r="AA253">
        <v>333987.60969999997</v>
      </c>
      <c r="AB253">
        <v>243688.4748</v>
      </c>
    </row>
  </sheetData>
  <phoneticPr fontId="1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icesH"/>
  <dimension ref="A1:AD253"/>
  <sheetViews>
    <sheetView workbookViewId="0"/>
  </sheetViews>
  <sheetFormatPr defaultRowHeight="15"/>
  <sheetData>
    <row r="1" spans="1:30">
      <c r="A1" s="14" t="s">
        <v>382</v>
      </c>
    </row>
    <row r="3" spans="1:30">
      <c r="A3" t="str">
        <f>Peers!A18</f>
        <v>005930 KS</v>
      </c>
      <c r="B3" t="str">
        <f>Peers!A19</f>
        <v>BB CN</v>
      </c>
      <c r="C3" t="str">
        <f>Peers!A20</f>
        <v>6758 JP</v>
      </c>
      <c r="D3" t="str">
        <f>Peers!A21</f>
        <v>066570 KS</v>
      </c>
      <c r="E3" t="str">
        <f>Peers!A22</f>
        <v>HPQ US</v>
      </c>
      <c r="F3" t="str">
        <f>Peers!A23</f>
        <v>CSCO US</v>
      </c>
      <c r="G3" t="str">
        <f>Peers!A24</f>
        <v>ALU FP</v>
      </c>
      <c r="H3" t="str">
        <f>Peers!A25</f>
        <v>ERICB SS</v>
      </c>
      <c r="I3" t="str">
        <f>Peers!A26</f>
        <v/>
      </c>
      <c r="J3" t="str">
        <f>Peers!A27</f>
        <v/>
      </c>
      <c r="K3" t="str">
        <f>Peers!A28</f>
        <v/>
      </c>
      <c r="L3" t="str">
        <f>Peers!A29</f>
        <v/>
      </c>
      <c r="M3" t="str">
        <f>Peers!A30</f>
        <v/>
      </c>
      <c r="N3" t="str">
        <f>Peers!A31</f>
        <v/>
      </c>
      <c r="O3" t="str">
        <f>Peers!A32</f>
        <v/>
      </c>
      <c r="P3" t="str">
        <f>Peers!A33</f>
        <v/>
      </c>
      <c r="Q3" t="str">
        <f>Peers!A34</f>
        <v/>
      </c>
      <c r="R3" t="str">
        <f>Peers!A35</f>
        <v/>
      </c>
      <c r="S3" t="str">
        <f>Peers!A36</f>
        <v/>
      </c>
      <c r="T3" t="str">
        <f>Peers!A37</f>
        <v/>
      </c>
      <c r="U3" s="46" t="str">
        <f>Peers!A38</f>
        <v/>
      </c>
      <c r="V3" s="46" t="str">
        <f>Peers!A39</f>
        <v/>
      </c>
      <c r="W3" t="str">
        <f>Peers!A40</f>
        <v/>
      </c>
      <c r="X3" t="str">
        <f>Peers!A41</f>
        <v/>
      </c>
      <c r="Y3" t="str">
        <f>Peers!A42</f>
        <v/>
      </c>
      <c r="Z3" t="str">
        <f>Peers!A43</f>
        <v/>
      </c>
      <c r="AA3" t="str">
        <f>Peers!A44</f>
        <v/>
      </c>
      <c r="AB3" t="str">
        <f>Peers!A45</f>
        <v/>
      </c>
      <c r="AC3" t="str">
        <f>Peers!A46</f>
        <v/>
      </c>
      <c r="AD3" t="str">
        <f>Peers!A47</f>
        <v/>
      </c>
    </row>
    <row r="4" spans="1:30">
      <c r="A4">
        <f>_xll.BDH(A3 &amp; " EQUITY","PX_LAST",SD,ED,"Dts=H","FX=" &amp; CURRENCY,calCODE,dayCODE,"PER=" &amp; PERIODICITY,"cols=1;rows=69")</f>
        <v>1203.0972999999999</v>
      </c>
      <c r="B4">
        <f>_xll.BDH(B3 &amp; " EQUITY","PX_LAST",SD,ED,"Dts=H","FX=" &amp; CURRENCY,calCODE,dayCODE,"PER=" &amp; PERIODICITY,"cols=1;rows=69")</f>
        <v>10.84994</v>
      </c>
      <c r="C4">
        <f>_xll.BDH(C3 &amp; " EQUITY","PX_LAST",SD,ED,"Dts=H","FX=" &amp; CURRENCY,calCODE,dayCODE,"PER=" &amp; PERIODICITY,"cols=1;rows=69")</f>
        <v>20.697299999999998</v>
      </c>
      <c r="D4">
        <f>_xll.BDH(D3 &amp; " EQUITY","PX_LAST",SD,ED,"Dts=H","FX=" &amp; CURRENCY,calCODE,dayCODE,"PER=" &amp; PERIODICITY,"cols=1;rows=69")</f>
        <v>53.18956</v>
      </c>
      <c r="E4">
        <f>_xll.BDH(E3 &amp; " EQUITY","PX_LAST",SD,ED,"Dts=H","FX=" &amp; CURRENCY,calCODE,dayCODE,"PER=" &amp; PERIODICITY,"cols=1;rows=69")</f>
        <v>40.24</v>
      </c>
      <c r="F4">
        <f>_xll.BDH(F3 &amp; " EQUITY","PX_LAST",SD,ED,"Dts=H","FX=" &amp; CURRENCY,calCODE,dayCODE,"PER=" &amp; PERIODICITY,"cols=1;rows=69")</f>
        <v>27.61</v>
      </c>
      <c r="G4">
        <f>_xll.BDH(G3 &amp; " EQUITY","PX_LAST",SD,ED,"Dts=H","FX=" &amp; CURRENCY,calCODE,dayCODE,"PER=" &amp; PERIODICITY,"cols=1;rows=69")</f>
        <v>3.55016</v>
      </c>
      <c r="H4">
        <f>_xll.BDH(H3 &amp; " EQUITY","PX_LAST",SD,ED,"Dts=H","FX=" &amp; CURRENCY,calCODE,dayCODE,"PER=" &amp; PERIODICITY,"cols=1;rows=69")</f>
        <v>11.954789999999999</v>
      </c>
      <c r="I4" t="str">
        <f>_xll.BDH(I3 &amp; " EQUITY","PX_LAST",SD,ED,"Dts=H","FX=" &amp; CURRENCY,calCODE,dayCODE,"PER=" &amp; PERIODICITY)</f>
        <v>#N/A Invalid Security</v>
      </c>
      <c r="J4" t="str">
        <f>_xll.BDH(J3 &amp; " EQUITY","PX_LAST",SD,ED,"Dts=H","FX=" &amp; CURRENCY,calCODE,dayCODE,"PER=" &amp; PERIODICITY)</f>
        <v>#N/A Invalid Security</v>
      </c>
      <c r="K4" t="str">
        <f>_xll.BDH(K3 &amp; " EQUITY","PX_LAST",SD,ED,"Dts=H","FX=" &amp; CURRENCY,calCODE,dayCODE,"PER=" &amp; PERIODICITY)</f>
        <v>#N/A Invalid Security</v>
      </c>
      <c r="L4" t="str">
        <f>_xll.BDH(L3 &amp; " EQUITY","PX_LAST",SD,ED,"Dts=H","FX=" &amp; CURRENCY,calCODE,dayCODE,"PER=" &amp; PERIODICITY)</f>
        <v>#N/A Invalid Security</v>
      </c>
      <c r="M4" t="str">
        <f>_xll.BDH(M3 &amp; " EQUITY","PX_LAST",SD,ED,"Dts=H","FX=" &amp; CURRENCY,calCODE,dayCODE,"PER=" &amp; PERIODICITY)</f>
        <v>#N/A Invalid Security</v>
      </c>
      <c r="N4" t="str">
        <f>_xll.BDH(N3 &amp; " EQUITY","PX_LAST",SD,ED,"Dts=H","FX=" &amp; CURRENCY,calCODE,dayCODE,"PER=" &amp; PERIODICITY)</f>
        <v>#N/A Invalid Security</v>
      </c>
      <c r="O4" t="str">
        <f>_xll.BDH(O3 &amp; " EQUITY","PX_LAST",SD,ED,"Dts=H","FX=" &amp; CURRENCY,calCODE,dayCODE,"PER=" &amp; PERIODICITY)</f>
        <v>#N/A Invalid Security</v>
      </c>
      <c r="P4" t="str">
        <f>_xll.BDH(P3 &amp; " EQUITY","PX_LAST",SD,ED,"Dts=H","FX=" &amp; CURRENCY,calCODE,dayCODE,"PER=" &amp; PERIODICITY)</f>
        <v>#N/A Invalid Security</v>
      </c>
      <c r="Q4" t="str">
        <f>_xll.BDH(Q3 &amp; " EQUITY","PX_LAST",SD,ED,"Dts=H","FX=" &amp; CURRENCY,calCODE,dayCODE,"PER=" &amp; PERIODICITY)</f>
        <v>#N/A Invalid Security</v>
      </c>
      <c r="R4" t="str">
        <f>_xll.BDH(R3 &amp; " EQUITY","PX_LAST",SD,ED,"Dts=H","FX=" &amp; CURRENCY,calCODE,dayCODE,"PER=" &amp; PERIODICITY)</f>
        <v>#N/A Invalid Security</v>
      </c>
      <c r="S4" t="str">
        <f>_xll.BDH(S3 &amp; " EQUITY","PX_LAST",SD,ED,"Dts=H","FX=" &amp; CURRENCY,calCODE,dayCODE,"PER=" &amp; PERIODICITY)</f>
        <v>#N/A Invalid Security</v>
      </c>
      <c r="T4" t="str">
        <f>_xll.BDH(T3 &amp; " EQUITY","PX_LAST",SD,ED,"Dts=H","FX=" &amp; CURRENCY,calCODE,dayCODE,"PER=" &amp; PERIODICITY)</f>
        <v>#N/A Invalid Security</v>
      </c>
      <c r="U4" t="str">
        <f>_xll.BDH(U3 &amp; " EQUITY","PX_LAST",SD,ED,"Dts=H","FX=" &amp; CURRENCY,calCODE,dayCODE,"PER=" &amp; PERIODICITY)</f>
        <v>#N/A Invalid Security</v>
      </c>
      <c r="V4" t="str">
        <f>_xll.BDH(V3 &amp; " EQUITY","PX_LAST",SD,ED,"Dts=H","FX=" &amp; CURRENCY,calCODE,dayCODE,"PER=" &amp; PERIODICITY)</f>
        <v>#N/A Invalid Security</v>
      </c>
      <c r="W4" t="str">
        <f>_xll.BDH(W3 &amp; " EQUITY","PX_LAST",SD,ED,"Dts=H","FX=" &amp; CURRENCY,calCODE,dayCODE,"PER=" &amp; PERIODICITY)</f>
        <v>#N/A Invalid Security</v>
      </c>
      <c r="X4" t="str">
        <f>_xll.BDH(X3 &amp; " EQUITY","PX_LAST",SD,ED,"Dts=H","FX=" &amp; CURRENCY,calCODE,dayCODE,"PER=" &amp; PERIODICITY)</f>
        <v>#N/A Invalid Security</v>
      </c>
      <c r="Y4" t="str">
        <f>_xll.BDH(Y3 &amp; " EQUITY","PX_LAST",SD,ED,"Dts=H","FX=" &amp; CURRENCY,calCODE,dayCODE,"PER=" &amp; PERIODICITY)</f>
        <v>#N/A Invalid Security</v>
      </c>
      <c r="Z4" t="str">
        <f>_xll.BDH(Z3 &amp; " EQUITY","PX_LAST",SD,ED,"Dts=H","FX=" &amp; CURRENCY,calCODE,dayCODE,"PER=" &amp; PERIODICITY)</f>
        <v>#N/A Invalid Security</v>
      </c>
      <c r="AA4" t="str">
        <f>_xll.BDH(AA3 &amp; " EQUITY","PX_LAST",SD,ED,"Dts=H","FX=" &amp; CURRENCY,calCODE,dayCODE,"PER=" &amp; PERIODICITY)</f>
        <v>#N/A Invalid Security</v>
      </c>
      <c r="AB4" t="str">
        <f>_xll.BDH(AB3 &amp; " EQUITY","PX_LAST",SD,ED,"Dts=H","FX=" &amp; CURRENCY,calCODE,dayCODE,"PER=" &amp; PERIODICITY)</f>
        <v>#N/A Invalid Security</v>
      </c>
      <c r="AC4" t="str">
        <f>_xll.BDH(AC3 &amp; " EQUITY","PX_LAST",SD,ED,"Dts=H","FX=" &amp; CURRENCY,calCODE,dayCODE,"PER=" &amp; PERIODICITY)</f>
        <v>#N/A Invalid Security</v>
      </c>
      <c r="AD4" t="str">
        <f>_xll.BDH(AD3 &amp; " EQUITY","PX_LAST",SD,ED,"Dts=H","FX=" &amp; CURRENCY,calCODE,dayCODE,"PER=" &amp; PERIODICITY)</f>
        <v>#N/A Invalid Security</v>
      </c>
    </row>
    <row r="5" spans="1:30">
      <c r="A5">
        <v>1201.0091</v>
      </c>
      <c r="B5">
        <v>10.733980000000001</v>
      </c>
      <c r="C5">
        <v>20.637910000000002</v>
      </c>
      <c r="D5">
        <v>52.617350000000002</v>
      </c>
      <c r="E5">
        <v>39.57</v>
      </c>
      <c r="F5">
        <v>27.06</v>
      </c>
      <c r="G5">
        <v>3.4230900000000002</v>
      </c>
      <c r="H5">
        <v>11.953419999999999</v>
      </c>
    </row>
    <row r="6" spans="1:30">
      <c r="A6">
        <v>1180.2232899999999</v>
      </c>
      <c r="B6">
        <v>10.63992</v>
      </c>
      <c r="C6">
        <v>20.589970000000001</v>
      </c>
      <c r="D6">
        <v>54.773299999999999</v>
      </c>
      <c r="E6">
        <v>39.270000000000003</v>
      </c>
      <c r="F6">
        <v>27.05</v>
      </c>
      <c r="G6">
        <v>3.3774999999999999</v>
      </c>
      <c r="H6">
        <v>11.953419999999999</v>
      </c>
    </row>
    <row r="7" spans="1:30">
      <c r="A7">
        <v>1185.35851</v>
      </c>
      <c r="B7">
        <v>10.63955</v>
      </c>
      <c r="C7">
        <v>21.361619999999998</v>
      </c>
      <c r="D7">
        <v>54.415849999999999</v>
      </c>
      <c r="E7">
        <v>39.729999999999997</v>
      </c>
      <c r="F7">
        <v>27.3</v>
      </c>
      <c r="G7">
        <v>3.3206799999999999</v>
      </c>
      <c r="H7">
        <v>11.7746</v>
      </c>
    </row>
    <row r="8" spans="1:30">
      <c r="A8">
        <v>1198.0743299999999</v>
      </c>
      <c r="B8">
        <v>10.65414</v>
      </c>
      <c r="C8">
        <v>21.459050000000001</v>
      </c>
      <c r="D8">
        <v>56.712499999999999</v>
      </c>
      <c r="E8">
        <v>40.68</v>
      </c>
      <c r="F8">
        <v>27.51</v>
      </c>
      <c r="G8">
        <v>3.4257499999999999</v>
      </c>
      <c r="H8">
        <v>12.222390000000001</v>
      </c>
    </row>
    <row r="9" spans="1:30">
      <c r="A9">
        <v>1208.74269</v>
      </c>
      <c r="B9">
        <v>10.397169999999999</v>
      </c>
      <c r="C9">
        <v>21.919540000000001</v>
      </c>
      <c r="D9">
        <v>56.757550000000002</v>
      </c>
      <c r="E9">
        <v>40.67</v>
      </c>
      <c r="F9">
        <v>27.79</v>
      </c>
      <c r="G9">
        <v>3.4673699999999998</v>
      </c>
      <c r="H9">
        <v>12.090070000000001</v>
      </c>
    </row>
    <row r="10" spans="1:30">
      <c r="A10">
        <v>1214.20136</v>
      </c>
      <c r="B10">
        <v>10.14493</v>
      </c>
      <c r="C10">
        <v>21.919540000000001</v>
      </c>
      <c r="D10">
        <v>57.296280000000003</v>
      </c>
      <c r="E10">
        <v>39.92</v>
      </c>
      <c r="F10">
        <v>28.05</v>
      </c>
      <c r="G10">
        <v>3.3810500000000001</v>
      </c>
      <c r="H10">
        <v>12.201320000000001</v>
      </c>
    </row>
    <row r="11" spans="1:30">
      <c r="A11">
        <v>1241.0903800000001</v>
      </c>
      <c r="B11">
        <v>9.7087400000000006</v>
      </c>
      <c r="C11">
        <v>21.36317</v>
      </c>
      <c r="D11">
        <v>57.003030000000003</v>
      </c>
      <c r="E11">
        <v>39.81</v>
      </c>
      <c r="F11">
        <v>28.094999999999999</v>
      </c>
      <c r="G11">
        <v>3.3716900000000001</v>
      </c>
      <c r="H11">
        <v>12.06948</v>
      </c>
    </row>
    <row r="12" spans="1:30">
      <c r="A12">
        <v>1242.13851</v>
      </c>
      <c r="B12">
        <v>12.741250000000001</v>
      </c>
      <c r="C12">
        <v>20.79204</v>
      </c>
      <c r="D12">
        <v>57.35078</v>
      </c>
      <c r="E12">
        <v>39.46</v>
      </c>
      <c r="F12">
        <v>27.92</v>
      </c>
      <c r="G12">
        <v>3.3112500000000002</v>
      </c>
      <c r="H12">
        <v>12.008179999999999</v>
      </c>
    </row>
    <row r="13" spans="1:30">
      <c r="A13">
        <v>1237.8098</v>
      </c>
      <c r="B13">
        <v>10.12743</v>
      </c>
      <c r="C13">
        <v>21.42062</v>
      </c>
      <c r="D13">
        <v>56.508710000000001</v>
      </c>
      <c r="E13">
        <v>38.19</v>
      </c>
      <c r="F13">
        <v>27.41</v>
      </c>
      <c r="G13">
        <v>3.2888799999999998</v>
      </c>
      <c r="H13">
        <v>11.93385</v>
      </c>
    </row>
    <row r="14" spans="1:30">
      <c r="A14">
        <v>1220.75657</v>
      </c>
      <c r="B14">
        <v>10.209530000000001</v>
      </c>
      <c r="C14">
        <v>20.280729999999998</v>
      </c>
      <c r="D14">
        <v>56.399700000000003</v>
      </c>
      <c r="E14">
        <v>38.340000000000003</v>
      </c>
      <c r="F14">
        <v>27.68</v>
      </c>
      <c r="G14">
        <v>3.2057199999999999</v>
      </c>
      <c r="H14">
        <v>12.04997</v>
      </c>
    </row>
    <row r="15" spans="1:30">
      <c r="A15">
        <v>1261.2032899999999</v>
      </c>
      <c r="B15">
        <v>10.0306</v>
      </c>
      <c r="C15">
        <v>20.74558</v>
      </c>
      <c r="D15">
        <v>55.614289999999997</v>
      </c>
      <c r="E15">
        <v>38.619999999999997</v>
      </c>
      <c r="F15">
        <v>28.07</v>
      </c>
      <c r="G15">
        <v>3.3189000000000002</v>
      </c>
      <c r="H15">
        <v>12.268890000000001</v>
      </c>
    </row>
    <row r="16" spans="1:30">
      <c r="A16">
        <v>1286.4849899999999</v>
      </c>
      <c r="B16">
        <v>9.907</v>
      </c>
      <c r="C16">
        <v>22.008980000000001</v>
      </c>
      <c r="D16">
        <v>55.332689999999999</v>
      </c>
      <c r="E16">
        <v>38.57</v>
      </c>
      <c r="F16">
        <v>27.84</v>
      </c>
      <c r="G16">
        <v>3.29772</v>
      </c>
      <c r="H16">
        <v>12.20764</v>
      </c>
    </row>
    <row r="17" spans="1:8">
      <c r="A17">
        <v>1272.4737500000001</v>
      </c>
      <c r="B17">
        <v>10.54927</v>
      </c>
      <c r="C17">
        <v>22.09666</v>
      </c>
      <c r="D17">
        <v>57.067399999999999</v>
      </c>
      <c r="E17">
        <v>40.06</v>
      </c>
      <c r="F17">
        <v>28.5</v>
      </c>
      <c r="G17">
        <v>3.4080699999999999</v>
      </c>
      <c r="H17">
        <v>12.115270000000001</v>
      </c>
    </row>
    <row r="18" spans="1:8">
      <c r="A18">
        <v>1287.7689800000001</v>
      </c>
      <c r="B18">
        <v>10.73387</v>
      </c>
      <c r="C18">
        <v>23.226410000000001</v>
      </c>
      <c r="D18">
        <v>57.605829999999997</v>
      </c>
      <c r="E18">
        <v>40.08</v>
      </c>
      <c r="F18">
        <v>28.21</v>
      </c>
      <c r="G18">
        <v>3.5104299999999999</v>
      </c>
      <c r="H18">
        <v>12.34389</v>
      </c>
    </row>
    <row r="19" spans="1:8">
      <c r="A19">
        <v>1285.06402</v>
      </c>
      <c r="B19">
        <v>10.54241</v>
      </c>
      <c r="C19">
        <v>23.26829</v>
      </c>
      <c r="D19">
        <v>58.100810000000003</v>
      </c>
      <c r="E19">
        <v>38.840000000000003</v>
      </c>
      <c r="F19">
        <v>27.97</v>
      </c>
      <c r="G19">
        <v>3.5069499999999998</v>
      </c>
      <c r="H19">
        <v>12.44106</v>
      </c>
    </row>
    <row r="20" spans="1:8">
      <c r="A20">
        <v>1300.2451900000001</v>
      </c>
      <c r="B20">
        <v>10.56406</v>
      </c>
      <c r="C20">
        <v>23.322299999999998</v>
      </c>
      <c r="D20">
        <v>59.718400000000003</v>
      </c>
      <c r="E20">
        <v>37.36</v>
      </c>
      <c r="F20">
        <v>26.9</v>
      </c>
      <c r="G20">
        <v>3.4649399999999999</v>
      </c>
      <c r="H20">
        <v>12.103949999999999</v>
      </c>
    </row>
    <row r="21" spans="1:8">
      <c r="A21">
        <v>1269.73011</v>
      </c>
      <c r="B21">
        <v>10.167859999999999</v>
      </c>
      <c r="C21">
        <v>23.972840000000001</v>
      </c>
      <c r="D21">
        <v>58.51079</v>
      </c>
      <c r="E21">
        <v>37.159999999999997</v>
      </c>
      <c r="F21">
        <v>26.805</v>
      </c>
      <c r="G21">
        <v>3.58446</v>
      </c>
      <c r="H21">
        <v>12.096920000000001</v>
      </c>
    </row>
    <row r="22" spans="1:8">
      <c r="A22">
        <v>1236.2175400000001</v>
      </c>
      <c r="B22">
        <v>10.20553</v>
      </c>
      <c r="C22">
        <v>23.449380000000001</v>
      </c>
      <c r="D22">
        <v>56.902369999999998</v>
      </c>
      <c r="E22">
        <v>37.74</v>
      </c>
      <c r="F22">
        <v>27.22</v>
      </c>
      <c r="G22">
        <v>3.5497700000000001</v>
      </c>
      <c r="H22">
        <v>12.2629</v>
      </c>
    </row>
    <row r="23" spans="1:8">
      <c r="A23">
        <v>1235.6967</v>
      </c>
      <c r="B23">
        <v>10.146179999999999</v>
      </c>
      <c r="C23">
        <v>23.624600000000001</v>
      </c>
      <c r="D23">
        <v>55.040559999999999</v>
      </c>
      <c r="E23">
        <v>36.130000000000003</v>
      </c>
      <c r="F23">
        <v>26.364999999999998</v>
      </c>
      <c r="G23">
        <v>3.4925100000000002</v>
      </c>
      <c r="H23">
        <v>12.19026</v>
      </c>
    </row>
    <row r="24" spans="1:8">
      <c r="A24">
        <v>1243.6929</v>
      </c>
      <c r="B24">
        <v>10.047689999999999</v>
      </c>
      <c r="C24">
        <v>23.003150000000002</v>
      </c>
      <c r="D24">
        <v>55.002499999999998</v>
      </c>
      <c r="E24">
        <v>36.47</v>
      </c>
      <c r="F24">
        <v>26.83</v>
      </c>
      <c r="G24">
        <v>3.4611000000000001</v>
      </c>
      <c r="H24">
        <v>12.192769999999999</v>
      </c>
    </row>
    <row r="25" spans="1:8">
      <c r="A25">
        <v>1245.1461200000001</v>
      </c>
      <c r="B25">
        <v>9.8938199999999998</v>
      </c>
      <c r="C25">
        <v>22.984829999999999</v>
      </c>
      <c r="D25">
        <v>54.965090000000004</v>
      </c>
      <c r="E25">
        <v>37.770000000000003</v>
      </c>
      <c r="F25">
        <v>27.12</v>
      </c>
      <c r="G25">
        <v>3.5479799999999999</v>
      </c>
      <c r="H25">
        <v>12.469279999999999</v>
      </c>
    </row>
    <row r="26" spans="1:8">
      <c r="A26">
        <v>1249.3564799999999</v>
      </c>
      <c r="B26">
        <v>9.9108400000000003</v>
      </c>
      <c r="C26">
        <v>23.56195</v>
      </c>
      <c r="D26">
        <v>56.354340000000001</v>
      </c>
      <c r="E26">
        <v>37.9</v>
      </c>
      <c r="F26">
        <v>26.69</v>
      </c>
      <c r="G26">
        <v>3.61741</v>
      </c>
      <c r="H26">
        <v>12.249000000000001</v>
      </c>
    </row>
    <row r="27" spans="1:8">
      <c r="A27">
        <v>1250.47192</v>
      </c>
      <c r="B27">
        <v>10.069979999999999</v>
      </c>
      <c r="C27">
        <v>26.440750000000001</v>
      </c>
      <c r="D27">
        <v>55.80162</v>
      </c>
      <c r="E27">
        <v>37.950000000000003</v>
      </c>
      <c r="F27">
        <v>27.26</v>
      </c>
      <c r="G27">
        <v>3.6231</v>
      </c>
      <c r="H27">
        <v>12.22156</v>
      </c>
    </row>
    <row r="28" spans="1:8">
      <c r="A28">
        <v>1249.43084</v>
      </c>
      <c r="B28">
        <v>10.0032</v>
      </c>
      <c r="C28">
        <v>26.33633</v>
      </c>
      <c r="D28">
        <v>54.913029999999999</v>
      </c>
      <c r="E28">
        <v>37.950000000000003</v>
      </c>
      <c r="F28">
        <v>27.24</v>
      </c>
      <c r="G28">
        <v>3.7079599999999999</v>
      </c>
      <c r="H28">
        <v>12.110250000000001</v>
      </c>
    </row>
    <row r="29" spans="1:8">
      <c r="A29">
        <v>1271.32546</v>
      </c>
      <c r="B29">
        <v>9.8756500000000003</v>
      </c>
      <c r="C29">
        <v>25.815149999999999</v>
      </c>
      <c r="D29">
        <v>54.771799999999999</v>
      </c>
      <c r="E29">
        <v>37.64</v>
      </c>
      <c r="F29">
        <v>27.12</v>
      </c>
      <c r="G29">
        <v>3.6785299999999999</v>
      </c>
      <c r="H29">
        <v>12.123900000000001</v>
      </c>
    </row>
    <row r="30" spans="1:8">
      <c r="A30">
        <v>1253.44515</v>
      </c>
      <c r="B30">
        <v>9.9307200000000009</v>
      </c>
      <c r="C30">
        <v>25.747679999999999</v>
      </c>
      <c r="D30">
        <v>53.939979999999998</v>
      </c>
      <c r="E30">
        <v>37.89</v>
      </c>
      <c r="F30">
        <v>27.49</v>
      </c>
      <c r="G30">
        <v>3.7329599999999998</v>
      </c>
      <c r="H30">
        <v>12.52928</v>
      </c>
    </row>
    <row r="31" spans="1:8">
      <c r="A31">
        <v>1221.93164</v>
      </c>
      <c r="B31">
        <v>9.8765400000000003</v>
      </c>
      <c r="C31">
        <v>25.747679999999999</v>
      </c>
      <c r="D31">
        <v>54.107669999999999</v>
      </c>
      <c r="E31">
        <v>38.18</v>
      </c>
      <c r="F31">
        <v>26.93</v>
      </c>
      <c r="G31">
        <v>3.7789700000000002</v>
      </c>
      <c r="H31">
        <v>12.48466</v>
      </c>
    </row>
    <row r="32" spans="1:8">
      <c r="A32">
        <v>1219.645</v>
      </c>
      <c r="B32">
        <v>9.8623100000000008</v>
      </c>
      <c r="C32">
        <v>27.18516</v>
      </c>
      <c r="D32">
        <v>54.357689999999998</v>
      </c>
      <c r="E32">
        <v>38.369999999999997</v>
      </c>
      <c r="F32">
        <v>29.46</v>
      </c>
      <c r="G32">
        <v>3.9504999999999999</v>
      </c>
      <c r="H32">
        <v>12.72503</v>
      </c>
    </row>
    <row r="33" spans="1:8">
      <c r="A33">
        <v>1239.2781</v>
      </c>
      <c r="B33">
        <v>10.086729999999999</v>
      </c>
      <c r="C33">
        <v>27.131419999999999</v>
      </c>
      <c r="D33">
        <v>54.633859999999999</v>
      </c>
      <c r="E33">
        <v>38.56</v>
      </c>
      <c r="F33">
        <v>29.43</v>
      </c>
      <c r="G33">
        <v>3.91066</v>
      </c>
      <c r="H33">
        <v>12.719620000000001</v>
      </c>
    </row>
    <row r="34" spans="1:8">
      <c r="A34">
        <v>1242.4545900000001</v>
      </c>
      <c r="B34">
        <v>10.34121</v>
      </c>
      <c r="C34">
        <v>26.23846</v>
      </c>
      <c r="D34">
        <v>54.678829999999998</v>
      </c>
      <c r="E34">
        <v>38.53</v>
      </c>
      <c r="F34">
        <v>29.31</v>
      </c>
      <c r="G34">
        <v>3.8855499999999998</v>
      </c>
      <c r="H34">
        <v>12.84009</v>
      </c>
    </row>
    <row r="35" spans="1:8">
      <c r="A35">
        <v>1242.4545900000001</v>
      </c>
      <c r="B35">
        <v>10.3512</v>
      </c>
      <c r="C35">
        <v>26.618310000000001</v>
      </c>
      <c r="D35">
        <v>54.678829999999998</v>
      </c>
      <c r="E35">
        <v>38.15</v>
      </c>
      <c r="F35">
        <v>29.49</v>
      </c>
      <c r="G35">
        <v>3.96665</v>
      </c>
      <c r="H35">
        <v>12.86636</v>
      </c>
    </row>
    <row r="36" spans="1:8">
      <c r="A36">
        <v>1242.4545900000001</v>
      </c>
      <c r="B36">
        <v>10.37298</v>
      </c>
      <c r="C36">
        <v>27.133610000000001</v>
      </c>
      <c r="D36">
        <v>54.678829999999998</v>
      </c>
      <c r="E36">
        <v>38.380000000000003</v>
      </c>
      <c r="F36">
        <v>29.31</v>
      </c>
      <c r="G36">
        <v>3.9464299999999999</v>
      </c>
      <c r="H36">
        <v>12.99226</v>
      </c>
    </row>
    <row r="37" spans="1:8">
      <c r="A37">
        <v>1242.4545900000001</v>
      </c>
      <c r="B37">
        <v>10.286949999999999</v>
      </c>
      <c r="C37">
        <v>26.951250000000002</v>
      </c>
      <c r="D37">
        <v>54.678829999999998</v>
      </c>
      <c r="E37">
        <v>38.39</v>
      </c>
      <c r="F37">
        <v>29.61</v>
      </c>
      <c r="G37">
        <v>3.8929900000000002</v>
      </c>
      <c r="H37">
        <v>12.94928</v>
      </c>
    </row>
    <row r="38" spans="1:8">
      <c r="A38">
        <v>1232.3197700000001</v>
      </c>
      <c r="B38">
        <v>10.090579999999999</v>
      </c>
      <c r="C38">
        <v>26.9619</v>
      </c>
      <c r="D38">
        <v>54.899979999999999</v>
      </c>
      <c r="E38">
        <v>38.19</v>
      </c>
      <c r="F38">
        <v>29.63</v>
      </c>
      <c r="G38">
        <v>3.8902799999999997</v>
      </c>
      <c r="H38">
        <v>12.87421</v>
      </c>
    </row>
    <row r="39" spans="1:8">
      <c r="A39">
        <v>1235.31538</v>
      </c>
      <c r="B39">
        <v>10.159409999999999</v>
      </c>
      <c r="C39">
        <v>27.552569999999999</v>
      </c>
      <c r="D39">
        <v>55.304540000000003</v>
      </c>
      <c r="E39">
        <v>38.49</v>
      </c>
      <c r="F39">
        <v>29.63</v>
      </c>
      <c r="G39">
        <v>3.9222600000000001</v>
      </c>
      <c r="H39">
        <v>13.024889999999999</v>
      </c>
    </row>
    <row r="40" spans="1:8">
      <c r="A40">
        <v>1250.3173400000001</v>
      </c>
      <c r="B40">
        <v>10.4696</v>
      </c>
      <c r="C40">
        <v>27.579250000000002</v>
      </c>
      <c r="D40">
        <v>55.761069999999997</v>
      </c>
      <c r="E40">
        <v>34.67</v>
      </c>
      <c r="F40">
        <v>29.49</v>
      </c>
      <c r="G40">
        <v>3.9827300000000001</v>
      </c>
      <c r="H40">
        <v>13.00357</v>
      </c>
    </row>
    <row r="41" spans="1:8">
      <c r="A41">
        <v>1248.0031899999999</v>
      </c>
      <c r="B41">
        <v>10.78055</v>
      </c>
      <c r="C41">
        <v>28.020600000000002</v>
      </c>
      <c r="D41">
        <v>55.456719999999997</v>
      </c>
      <c r="E41">
        <v>34.01</v>
      </c>
      <c r="F41">
        <v>29.91</v>
      </c>
      <c r="G41">
        <v>3.9641500000000001</v>
      </c>
      <c r="H41">
        <v>12.88387</v>
      </c>
    </row>
    <row r="42" spans="1:8">
      <c r="A42">
        <v>1232.6614400000001</v>
      </c>
      <c r="B42">
        <v>10.824210000000001</v>
      </c>
      <c r="C42">
        <v>28.51595</v>
      </c>
      <c r="D42">
        <v>56.137419999999999</v>
      </c>
      <c r="E42">
        <v>34.840000000000003</v>
      </c>
      <c r="F42">
        <v>29.51</v>
      </c>
      <c r="G42">
        <v>3.9148899999999998</v>
      </c>
      <c r="H42">
        <v>12.93929</v>
      </c>
    </row>
    <row r="43" spans="1:8">
      <c r="A43">
        <v>1291.3002799999999</v>
      </c>
      <c r="B43">
        <v>11.053509999999999</v>
      </c>
      <c r="C43">
        <v>27.846679999999999</v>
      </c>
      <c r="D43">
        <v>54.900680000000001</v>
      </c>
      <c r="E43">
        <v>34.92</v>
      </c>
      <c r="F43">
        <v>30.19</v>
      </c>
      <c r="G43">
        <v>3.9268299999999998</v>
      </c>
      <c r="H43">
        <v>12.837859999999999</v>
      </c>
    </row>
    <row r="44" spans="1:8">
      <c r="A44">
        <v>1292.5690999999999</v>
      </c>
      <c r="B44">
        <v>10.986280000000001</v>
      </c>
      <c r="C44">
        <v>27.972909999999999</v>
      </c>
      <c r="D44">
        <v>55.239550000000001</v>
      </c>
      <c r="E44">
        <v>34.57</v>
      </c>
      <c r="F44">
        <v>29.54</v>
      </c>
      <c r="G44">
        <v>3.8878699999999999</v>
      </c>
      <c r="H44">
        <v>12.78373</v>
      </c>
    </row>
    <row r="45" spans="1:8">
      <c r="A45">
        <v>1305.29567</v>
      </c>
      <c r="B45">
        <v>10.8393</v>
      </c>
      <c r="C45">
        <v>27.76154</v>
      </c>
      <c r="D45">
        <v>55.318379999999998</v>
      </c>
      <c r="E45">
        <v>34.19</v>
      </c>
      <c r="F45">
        <v>29.33</v>
      </c>
      <c r="G45">
        <v>3.85894</v>
      </c>
      <c r="H45">
        <v>12.749779999999999</v>
      </c>
    </row>
    <row r="46" spans="1:8">
      <c r="A46">
        <v>1289.8544199999999</v>
      </c>
      <c r="B46">
        <v>10.891489999999999</v>
      </c>
      <c r="C46">
        <v>27.83419</v>
      </c>
      <c r="D46">
        <v>54.96848</v>
      </c>
      <c r="E46">
        <v>34</v>
      </c>
      <c r="F46">
        <v>29.3</v>
      </c>
      <c r="G46">
        <v>3.8812899999999999</v>
      </c>
      <c r="H46">
        <v>12.791029999999999</v>
      </c>
    </row>
    <row r="47" spans="1:8">
      <c r="A47">
        <v>1297.6144400000001</v>
      </c>
      <c r="B47">
        <v>10.653980000000001</v>
      </c>
      <c r="C47">
        <v>27.594480000000001</v>
      </c>
      <c r="D47">
        <v>54.352229999999999</v>
      </c>
      <c r="E47">
        <v>33.18</v>
      </c>
      <c r="F47">
        <v>28.925000000000001</v>
      </c>
      <c r="G47">
        <v>3.7898300000000003</v>
      </c>
      <c r="H47">
        <v>12.51652</v>
      </c>
    </row>
    <row r="48" spans="1:8">
      <c r="A48">
        <v>1271.7177099999999</v>
      </c>
      <c r="B48">
        <v>9.8745799999999999</v>
      </c>
      <c r="C48">
        <v>27.064789999999999</v>
      </c>
      <c r="D48">
        <v>53.824109999999997</v>
      </c>
      <c r="E48">
        <v>32.950000000000003</v>
      </c>
      <c r="F48">
        <v>29.36</v>
      </c>
      <c r="G48">
        <v>3.8281499999999999</v>
      </c>
      <c r="H48">
        <v>12.54618</v>
      </c>
    </row>
    <row r="49" spans="1:8">
      <c r="A49">
        <v>1262.4826800000001</v>
      </c>
      <c r="B49">
        <v>9.7890499999999996</v>
      </c>
      <c r="C49">
        <v>26.80932</v>
      </c>
      <c r="D49">
        <v>53.484490000000001</v>
      </c>
      <c r="E49">
        <v>32.67</v>
      </c>
      <c r="F49">
        <v>28.66</v>
      </c>
      <c r="G49">
        <v>3.7484299999999999</v>
      </c>
      <c r="H49">
        <v>12.26657</v>
      </c>
    </row>
    <row r="50" spans="1:8">
      <c r="A50">
        <v>1301.7981400000001</v>
      </c>
      <c r="B50">
        <v>9.8950999999999993</v>
      </c>
      <c r="C50">
        <v>26.820129999999999</v>
      </c>
      <c r="D50">
        <v>52.90211</v>
      </c>
      <c r="E50">
        <v>32.61</v>
      </c>
      <c r="F50">
        <v>28.26</v>
      </c>
      <c r="G50">
        <v>3.8820999999999999</v>
      </c>
      <c r="H50">
        <v>12.46081</v>
      </c>
    </row>
    <row r="51" spans="1:8">
      <c r="A51">
        <v>1286.55387</v>
      </c>
      <c r="B51">
        <v>9.9377899999999997</v>
      </c>
      <c r="C51">
        <v>26.880610000000001</v>
      </c>
      <c r="D51">
        <v>53.080350000000003</v>
      </c>
      <c r="E51">
        <v>32.72</v>
      </c>
      <c r="F51">
        <v>28.24</v>
      </c>
      <c r="G51">
        <v>3.9317000000000002</v>
      </c>
      <c r="H51">
        <v>12.66323</v>
      </c>
    </row>
    <row r="52" spans="1:8">
      <c r="A52">
        <v>1281.22829</v>
      </c>
      <c r="B52">
        <v>9.7919599999999996</v>
      </c>
      <c r="C52">
        <v>26.577059999999999</v>
      </c>
      <c r="D52">
        <v>52.321950000000001</v>
      </c>
      <c r="E52">
        <v>32.43</v>
      </c>
      <c r="F52">
        <v>27.94</v>
      </c>
      <c r="G52">
        <v>3.89778</v>
      </c>
      <c r="H52">
        <v>12.59573</v>
      </c>
    </row>
    <row r="53" spans="1:8">
      <c r="A53">
        <v>1300.67777</v>
      </c>
      <c r="B53">
        <v>9.7125400000000006</v>
      </c>
      <c r="C53">
        <v>25.558209999999999</v>
      </c>
      <c r="D53">
        <v>52.734960000000001</v>
      </c>
      <c r="E53">
        <v>32.380000000000003</v>
      </c>
      <c r="F53">
        <v>28.3</v>
      </c>
      <c r="G53">
        <v>3.9077099999999998</v>
      </c>
      <c r="H53">
        <v>12.86858</v>
      </c>
    </row>
    <row r="54" spans="1:8">
      <c r="A54">
        <v>1324.8491100000001</v>
      </c>
      <c r="B54">
        <v>9.72668</v>
      </c>
      <c r="C54">
        <v>26.647449999999999</v>
      </c>
      <c r="D54">
        <v>53.277169999999998</v>
      </c>
      <c r="E54">
        <v>32.43</v>
      </c>
      <c r="F54">
        <v>28.15</v>
      </c>
      <c r="G54">
        <v>3.8046600000000002</v>
      </c>
      <c r="H54">
        <v>12.775029999999999</v>
      </c>
    </row>
    <row r="55" spans="1:8">
      <c r="A55">
        <v>1335.20481</v>
      </c>
      <c r="B55">
        <v>9.6049600000000002</v>
      </c>
      <c r="C55">
        <v>28.18648</v>
      </c>
      <c r="D55">
        <v>53.390430000000002</v>
      </c>
      <c r="E55">
        <v>33.03</v>
      </c>
      <c r="F55">
        <v>28.15</v>
      </c>
      <c r="G55">
        <v>3.8521200000000002</v>
      </c>
      <c r="H55">
        <v>12.9201</v>
      </c>
    </row>
    <row r="56" spans="1:8">
      <c r="A56">
        <v>1309.74019</v>
      </c>
      <c r="B56">
        <v>9.6964000000000006</v>
      </c>
      <c r="C56">
        <v>27.958320000000001</v>
      </c>
      <c r="D56">
        <v>53.547879999999999</v>
      </c>
      <c r="E56">
        <v>32.840000000000003</v>
      </c>
      <c r="F56">
        <v>28.26</v>
      </c>
      <c r="G56">
        <v>3.8690099999999998</v>
      </c>
      <c r="H56">
        <v>12.97105</v>
      </c>
    </row>
    <row r="57" spans="1:8">
      <c r="A57">
        <v>1316.1680100000001</v>
      </c>
      <c r="B57">
        <v>9.5158500000000004</v>
      </c>
      <c r="C57">
        <v>28.00517</v>
      </c>
      <c r="D57">
        <v>53.761510000000001</v>
      </c>
      <c r="E57">
        <v>33.28</v>
      </c>
      <c r="F57">
        <v>28.44</v>
      </c>
      <c r="G57">
        <v>3.8669599999999997</v>
      </c>
      <c r="H57">
        <v>13.061500000000001</v>
      </c>
    </row>
    <row r="58" spans="1:8">
      <c r="A58">
        <v>1323.57718</v>
      </c>
      <c r="B58">
        <v>9.5108700000000006</v>
      </c>
      <c r="C58">
        <v>27.926200000000001</v>
      </c>
      <c r="D58">
        <v>54.134039999999999</v>
      </c>
      <c r="E58">
        <v>33.450000000000003</v>
      </c>
      <c r="F58">
        <v>28.405000000000001</v>
      </c>
      <c r="G58">
        <v>3.91038</v>
      </c>
      <c r="H58">
        <v>13.03157</v>
      </c>
    </row>
    <row r="59" spans="1:8">
      <c r="A59">
        <v>1336.81122</v>
      </c>
      <c r="B59">
        <v>9.5436300000000003</v>
      </c>
      <c r="C59">
        <v>27.63015</v>
      </c>
      <c r="D59">
        <v>54.7042</v>
      </c>
      <c r="E59">
        <v>33.31</v>
      </c>
      <c r="F59">
        <v>28</v>
      </c>
      <c r="G59">
        <v>3.9093599999999999</v>
      </c>
      <c r="H59">
        <v>13.03345</v>
      </c>
    </row>
    <row r="60" spans="1:8">
      <c r="A60">
        <v>1350.31917</v>
      </c>
      <c r="B60">
        <v>9.2768700000000006</v>
      </c>
      <c r="C60">
        <v>27.38683</v>
      </c>
      <c r="D60">
        <v>54.194629999999997</v>
      </c>
      <c r="E60">
        <v>32.200000000000003</v>
      </c>
      <c r="F60">
        <v>27.46</v>
      </c>
      <c r="G60">
        <v>3.8698600000000001</v>
      </c>
      <c r="H60">
        <v>12.964510000000001</v>
      </c>
    </row>
    <row r="61" spans="1:8">
      <c r="A61">
        <v>1285.70524</v>
      </c>
      <c r="B61">
        <v>9.2874300000000005</v>
      </c>
      <c r="C61">
        <v>26.511980000000001</v>
      </c>
      <c r="D61">
        <v>53.74447</v>
      </c>
      <c r="E61">
        <v>32.01</v>
      </c>
      <c r="F61">
        <v>27.09</v>
      </c>
      <c r="G61">
        <v>3.7621599999999997</v>
      </c>
      <c r="H61">
        <v>12.78037</v>
      </c>
    </row>
    <row r="62" spans="1:8">
      <c r="A62">
        <v>1287.06773</v>
      </c>
      <c r="B62">
        <v>9.4530100000000008</v>
      </c>
      <c r="C62">
        <v>26.825279999999999</v>
      </c>
      <c r="D62">
        <v>53.348550000000003</v>
      </c>
      <c r="E62">
        <v>31.49</v>
      </c>
      <c r="F62">
        <v>27.13</v>
      </c>
      <c r="G62">
        <v>3.7143100000000002</v>
      </c>
      <c r="H62">
        <v>12.728669999999999</v>
      </c>
    </row>
    <row r="63" spans="1:8">
      <c r="A63">
        <v>1289.4487300000001</v>
      </c>
      <c r="B63">
        <v>8.7994299999999992</v>
      </c>
      <c r="C63">
        <v>26.7408</v>
      </c>
      <c r="D63">
        <v>53.094949999999997</v>
      </c>
      <c r="E63">
        <v>31.57</v>
      </c>
      <c r="F63">
        <v>27.65</v>
      </c>
      <c r="G63">
        <v>3.81297</v>
      </c>
      <c r="H63">
        <v>12.75567</v>
      </c>
    </row>
    <row r="64" spans="1:8">
      <c r="A64">
        <v>1299.7321199999999</v>
      </c>
      <c r="B64">
        <v>8.9051899999999993</v>
      </c>
      <c r="C64">
        <v>26.59441</v>
      </c>
      <c r="D64">
        <v>53.12576</v>
      </c>
      <c r="E64">
        <v>31.16</v>
      </c>
      <c r="F64">
        <v>27.524999999999999</v>
      </c>
      <c r="G64">
        <v>3.7762599999999997</v>
      </c>
      <c r="H64">
        <v>12.55545</v>
      </c>
    </row>
    <row r="65" spans="1:8">
      <c r="A65">
        <v>1295.6505099999999</v>
      </c>
      <c r="B65">
        <v>8.9162400000000002</v>
      </c>
      <c r="C65">
        <v>27.07113</v>
      </c>
      <c r="D65">
        <v>53.355670000000003</v>
      </c>
      <c r="E65">
        <v>31.29</v>
      </c>
      <c r="F65">
        <v>27.25</v>
      </c>
      <c r="G65">
        <v>3.7525200000000001</v>
      </c>
      <c r="H65">
        <v>12.601929999999999</v>
      </c>
    </row>
    <row r="66" spans="1:8">
      <c r="A66">
        <v>1315.5601200000001</v>
      </c>
      <c r="B66">
        <v>9.0201100000000007</v>
      </c>
      <c r="C66">
        <v>27.867349999999998</v>
      </c>
      <c r="D66">
        <v>53.209539999999997</v>
      </c>
      <c r="E66">
        <v>31.4</v>
      </c>
      <c r="F66">
        <v>27.13</v>
      </c>
      <c r="G66">
        <v>3.8732799999999998</v>
      </c>
      <c r="H66">
        <v>12.65221</v>
      </c>
    </row>
    <row r="67" spans="1:8">
      <c r="A67">
        <v>1353.34193</v>
      </c>
      <c r="B67">
        <v>9.3574300000000008</v>
      </c>
      <c r="C67">
        <v>29.22786</v>
      </c>
      <c r="D67">
        <v>53.12097</v>
      </c>
      <c r="E67">
        <v>31.83</v>
      </c>
      <c r="F67">
        <v>27.22</v>
      </c>
      <c r="G67">
        <v>3.8732799999999998</v>
      </c>
      <c r="H67">
        <v>12.65221</v>
      </c>
    </row>
    <row r="68" spans="1:8">
      <c r="A68">
        <v>1335.48912</v>
      </c>
      <c r="B68">
        <v>9.3369599999999995</v>
      </c>
      <c r="C68">
        <v>29.01322</v>
      </c>
      <c r="D68">
        <v>53.163789999999999</v>
      </c>
      <c r="E68">
        <v>31.42</v>
      </c>
      <c r="F68">
        <v>27.39</v>
      </c>
      <c r="G68">
        <v>3.9389099999999999</v>
      </c>
      <c r="H68">
        <v>12.891220000000001</v>
      </c>
    </row>
    <row r="69" spans="1:8">
      <c r="A69">
        <v>1350.9933799999999</v>
      </c>
      <c r="B69">
        <v>9.3380200000000002</v>
      </c>
      <c r="C69">
        <v>29.389690000000002</v>
      </c>
      <c r="D69">
        <v>52.614750000000001</v>
      </c>
      <c r="E69">
        <v>31.52</v>
      </c>
      <c r="F69">
        <v>27.55</v>
      </c>
      <c r="G69">
        <v>3.8926799999999999</v>
      </c>
      <c r="H69">
        <v>12.782690000000001</v>
      </c>
    </row>
    <row r="70" spans="1:8">
      <c r="A70">
        <v>1354.41211</v>
      </c>
      <c r="B70">
        <v>9.5544899999999995</v>
      </c>
      <c r="C70">
        <v>30.064789999999999</v>
      </c>
      <c r="D70">
        <v>54.066890000000001</v>
      </c>
      <c r="E70">
        <v>31.55</v>
      </c>
      <c r="F70">
        <v>27.625</v>
      </c>
      <c r="G70">
        <v>3.8938199999999998</v>
      </c>
      <c r="H70">
        <v>12.89195</v>
      </c>
    </row>
    <row r="71" spans="1:8">
      <c r="A71">
        <v>1362.0989099999999</v>
      </c>
      <c r="B71">
        <v>9.5362899999999993</v>
      </c>
      <c r="C71">
        <v>30.587209999999999</v>
      </c>
      <c r="D71">
        <v>54.026879999999998</v>
      </c>
      <c r="E71">
        <v>32.11</v>
      </c>
      <c r="F71">
        <v>28.04</v>
      </c>
      <c r="G71">
        <v>4.0525000000000002</v>
      </c>
      <c r="H71">
        <v>12.84244</v>
      </c>
    </row>
    <row r="72" spans="1:8">
      <c r="A72">
        <v>1342.8729699999999</v>
      </c>
      <c r="B72">
        <v>9.6228700000000007</v>
      </c>
      <c r="C72">
        <v>30.524830000000001</v>
      </c>
      <c r="D72">
        <v>53.932830000000003</v>
      </c>
      <c r="E72">
        <v>32.700000000000003</v>
      </c>
      <c r="F72">
        <v>27.98</v>
      </c>
      <c r="G72">
        <v>4.0878300000000003</v>
      </c>
      <c r="H72">
        <v>12.98362</v>
      </c>
    </row>
    <row r="127" spans="18:28">
      <c r="R127">
        <v>360.1</v>
      </c>
      <c r="S127">
        <v>13185.85355</v>
      </c>
      <c r="T127">
        <v>166.53068999999999</v>
      </c>
      <c r="U127">
        <v>111.07256</v>
      </c>
      <c r="V127">
        <v>157.47148999999999</v>
      </c>
      <c r="W127">
        <v>1011.2097199999999</v>
      </c>
      <c r="X127">
        <v>34291.86103</v>
      </c>
      <c r="Y127">
        <v>2384.8497400000001</v>
      </c>
      <c r="Z127">
        <v>461.31482999999997</v>
      </c>
      <c r="AA127">
        <v>269.89999999999998</v>
      </c>
      <c r="AB127">
        <v>187.93455</v>
      </c>
    </row>
    <row r="128" spans="18:28">
      <c r="R128">
        <v>361.5</v>
      </c>
      <c r="S128">
        <v>13216.877699999999</v>
      </c>
      <c r="T128">
        <v>164.62227999999999</v>
      </c>
      <c r="U128">
        <v>106.5491</v>
      </c>
      <c r="V128">
        <v>151.84612000000001</v>
      </c>
      <c r="W128">
        <v>1002.43951</v>
      </c>
      <c r="X128">
        <v>33544.928569999996</v>
      </c>
      <c r="Y128">
        <v>2345.7563300000002</v>
      </c>
      <c r="Z128">
        <v>456.00438000000003</v>
      </c>
      <c r="AA128">
        <v>271.60000000000002</v>
      </c>
      <c r="AB128">
        <v>183.57245</v>
      </c>
    </row>
    <row r="129" spans="18:28">
      <c r="R129">
        <v>362.7</v>
      </c>
      <c r="S129">
        <v>13888.9388</v>
      </c>
      <c r="T129">
        <v>162.57595000000001</v>
      </c>
      <c r="U129">
        <v>96.322029999999998</v>
      </c>
      <c r="V129">
        <v>155.89166</v>
      </c>
      <c r="W129">
        <v>1006.06538</v>
      </c>
      <c r="X129">
        <v>33872.649879999997</v>
      </c>
      <c r="Y129">
        <v>2433.1230799999998</v>
      </c>
      <c r="Z129">
        <v>456.84769999999997</v>
      </c>
      <c r="AA129">
        <v>276.7</v>
      </c>
      <c r="AB129">
        <v>189.7345</v>
      </c>
    </row>
    <row r="130" spans="18:28">
      <c r="R130">
        <v>363.2</v>
      </c>
      <c r="S130">
        <v>13928.28275</v>
      </c>
      <c r="T130">
        <v>162.6266</v>
      </c>
      <c r="U130">
        <v>86.541589999999999</v>
      </c>
      <c r="V130">
        <v>154.26605000000001</v>
      </c>
      <c r="W130">
        <v>1004.8969</v>
      </c>
      <c r="X130">
        <v>34096.494789999997</v>
      </c>
      <c r="Y130">
        <v>2388.7698500000001</v>
      </c>
      <c r="Z130">
        <v>455.49407000000002</v>
      </c>
      <c r="AA130">
        <v>275</v>
      </c>
      <c r="AB130">
        <v>188.50005999999999</v>
      </c>
    </row>
    <row r="131" spans="18:28">
      <c r="R131">
        <v>369.8</v>
      </c>
      <c r="S131">
        <v>14146.462439999999</v>
      </c>
      <c r="T131">
        <v>166.48621</v>
      </c>
      <c r="U131">
        <v>79.157049999999998</v>
      </c>
      <c r="V131">
        <v>154.14895999999999</v>
      </c>
      <c r="W131">
        <v>1000.70933</v>
      </c>
      <c r="X131">
        <v>34310.276760000001</v>
      </c>
      <c r="Y131">
        <v>2452.4481500000002</v>
      </c>
      <c r="Z131">
        <v>460.51925999999997</v>
      </c>
      <c r="AA131">
        <v>275.7</v>
      </c>
      <c r="AB131">
        <v>185.14044999999999</v>
      </c>
    </row>
    <row r="132" spans="18:28">
      <c r="R132">
        <v>373.1</v>
      </c>
      <c r="S132">
        <v>13972.629569999999</v>
      </c>
      <c r="T132">
        <v>166.56825000000001</v>
      </c>
      <c r="U132">
        <v>77.603830000000002</v>
      </c>
      <c r="V132">
        <v>151.66641000000001</v>
      </c>
      <c r="W132">
        <v>1000.57731</v>
      </c>
      <c r="X132">
        <v>34714.772259999998</v>
      </c>
      <c r="Y132">
        <v>2447.3175799999999</v>
      </c>
      <c r="Z132">
        <v>467.98336999999998</v>
      </c>
      <c r="AA132">
        <v>282.8</v>
      </c>
      <c r="AB132">
        <v>185.28856999999999</v>
      </c>
    </row>
    <row r="133" spans="18:28">
      <c r="R133">
        <v>376.6</v>
      </c>
      <c r="S133">
        <v>13938.91886</v>
      </c>
      <c r="T133">
        <v>173.16246000000001</v>
      </c>
      <c r="U133">
        <v>82.939719999999994</v>
      </c>
      <c r="V133">
        <v>151.97798</v>
      </c>
      <c r="W133">
        <v>1005.21048</v>
      </c>
      <c r="X133">
        <v>34954.966079999998</v>
      </c>
      <c r="Y133">
        <v>2454.6057900000001</v>
      </c>
      <c r="Z133">
        <v>468.51053999999999</v>
      </c>
      <c r="AA133">
        <v>291.5</v>
      </c>
      <c r="AB133">
        <v>190.44450000000001</v>
      </c>
    </row>
    <row r="134" spans="18:28">
      <c r="R134">
        <v>370</v>
      </c>
      <c r="S134">
        <v>14127.495500000001</v>
      </c>
      <c r="T134">
        <v>175.61313000000001</v>
      </c>
      <c r="U134">
        <v>83.024140000000003</v>
      </c>
      <c r="V134">
        <v>153.02321000000001</v>
      </c>
      <c r="W134">
        <v>1005.50588</v>
      </c>
      <c r="X134">
        <v>35111.029240000003</v>
      </c>
      <c r="Y134">
        <v>2449.3696599999998</v>
      </c>
      <c r="Z134">
        <v>471.37974000000003</v>
      </c>
      <c r="AA134">
        <v>286.39999999999998</v>
      </c>
      <c r="AB134">
        <v>190.68116000000001</v>
      </c>
    </row>
    <row r="135" spans="18:28">
      <c r="R135">
        <v>369.3</v>
      </c>
      <c r="S135">
        <v>13861.00243</v>
      </c>
      <c r="T135">
        <v>173.20565999999999</v>
      </c>
      <c r="U135">
        <v>79.430880000000002</v>
      </c>
      <c r="V135">
        <v>151.14080000000001</v>
      </c>
      <c r="W135">
        <v>1003.91799</v>
      </c>
      <c r="X135">
        <v>35296.159979999997</v>
      </c>
      <c r="Y135">
        <v>2435.3286199999998</v>
      </c>
      <c r="Z135">
        <v>472.08589000000001</v>
      </c>
      <c r="AA135">
        <v>284.8</v>
      </c>
      <c r="AB135">
        <v>191.44573</v>
      </c>
    </row>
    <row r="136" spans="18:28">
      <c r="R136">
        <v>375.4</v>
      </c>
      <c r="S136">
        <v>13994.82458</v>
      </c>
      <c r="T136">
        <v>174.10495</v>
      </c>
      <c r="U136">
        <v>85.326589999999996</v>
      </c>
      <c r="V136">
        <v>150.46878000000001</v>
      </c>
      <c r="W136">
        <v>1005.6066499999999</v>
      </c>
      <c r="X136">
        <v>36226.687639999996</v>
      </c>
      <c r="Y136">
        <v>2465.1572000000001</v>
      </c>
      <c r="Z136">
        <v>476.05763000000002</v>
      </c>
      <c r="AA136">
        <v>288.8</v>
      </c>
      <c r="AB136">
        <v>190.30882</v>
      </c>
    </row>
    <row r="137" spans="18:28">
      <c r="R137">
        <v>375.5</v>
      </c>
      <c r="S137">
        <v>14084.707640000001</v>
      </c>
      <c r="T137">
        <v>174.10495</v>
      </c>
      <c r="U137">
        <v>88.939390000000003</v>
      </c>
      <c r="V137">
        <v>150.96091999999999</v>
      </c>
      <c r="W137">
        <v>1010.85469</v>
      </c>
      <c r="X137">
        <v>36249.284140000003</v>
      </c>
      <c r="Y137">
        <v>2477.0095500000002</v>
      </c>
      <c r="Z137">
        <v>480.76969000000003</v>
      </c>
      <c r="AA137">
        <v>290.39999999999998</v>
      </c>
      <c r="AB137">
        <v>191.65219999999999</v>
      </c>
    </row>
    <row r="138" spans="18:28">
      <c r="R138">
        <v>367.9</v>
      </c>
      <c r="S138">
        <v>13991.60728</v>
      </c>
      <c r="T138">
        <v>179.16048000000001</v>
      </c>
      <c r="U138">
        <v>94.197019999999995</v>
      </c>
      <c r="V138">
        <v>160.00366</v>
      </c>
      <c r="W138">
        <v>1005.03095</v>
      </c>
      <c r="X138">
        <v>36546.994939999997</v>
      </c>
      <c r="Y138">
        <v>2431.1500799999999</v>
      </c>
      <c r="Z138">
        <v>480.50664999999998</v>
      </c>
      <c r="AA138">
        <v>292.3</v>
      </c>
      <c r="AB138">
        <v>190.34878</v>
      </c>
    </row>
    <row r="139" spans="18:28">
      <c r="R139">
        <v>367.5</v>
      </c>
      <c r="S139">
        <v>13671.74878</v>
      </c>
      <c r="T139">
        <v>179.95803000000001</v>
      </c>
      <c r="U139">
        <v>102.40101</v>
      </c>
      <c r="V139">
        <v>155.81438</v>
      </c>
      <c r="W139">
        <v>998.15517</v>
      </c>
      <c r="X139">
        <v>36807.162349999999</v>
      </c>
      <c r="Y139">
        <v>2433.9630200000001</v>
      </c>
      <c r="Z139">
        <v>476.94155000000001</v>
      </c>
      <c r="AA139">
        <v>300.10000000000002</v>
      </c>
      <c r="AB139">
        <v>187.49608000000001</v>
      </c>
    </row>
    <row r="140" spans="18:28">
      <c r="R140">
        <v>367.3</v>
      </c>
      <c r="S140">
        <v>14389.84893</v>
      </c>
      <c r="T140">
        <v>179.68743000000001</v>
      </c>
      <c r="U140">
        <v>106.29353999999999</v>
      </c>
      <c r="V140">
        <v>154.63348999999999</v>
      </c>
      <c r="W140">
        <v>998.11270000000002</v>
      </c>
      <c r="X140">
        <v>36440.595130000002</v>
      </c>
      <c r="Y140">
        <v>2459.5902999999998</v>
      </c>
      <c r="Z140">
        <v>474.36212</v>
      </c>
      <c r="AA140">
        <v>300.89999999999998</v>
      </c>
      <c r="AB140">
        <v>186.37181000000001</v>
      </c>
    </row>
    <row r="141" spans="18:28">
      <c r="R141">
        <v>362.2</v>
      </c>
      <c r="S141">
        <v>14077.039839999999</v>
      </c>
      <c r="T141">
        <v>180.64651000000001</v>
      </c>
      <c r="U141">
        <v>93.899230000000003</v>
      </c>
      <c r="V141">
        <v>154.63348999999999</v>
      </c>
      <c r="W141">
        <v>1000.96425</v>
      </c>
      <c r="X141">
        <v>36371.28916</v>
      </c>
      <c r="Y141">
        <v>2464.9921199999999</v>
      </c>
      <c r="Z141">
        <v>478.73950000000002</v>
      </c>
      <c r="AA141">
        <v>295.89999999999998</v>
      </c>
      <c r="AB141">
        <v>185.22008</v>
      </c>
    </row>
    <row r="142" spans="18:28">
      <c r="R142">
        <v>371.3</v>
      </c>
      <c r="S142">
        <v>14353.40933</v>
      </c>
      <c r="T142">
        <v>175.67504</v>
      </c>
      <c r="U142">
        <v>96.549350000000004</v>
      </c>
      <c r="V142">
        <v>151.99556000000001</v>
      </c>
      <c r="W142">
        <v>997.54629999999997</v>
      </c>
      <c r="X142">
        <v>37303.837820000001</v>
      </c>
      <c r="Y142">
        <v>2498.4781499999999</v>
      </c>
      <c r="Z142">
        <v>472.82555000000002</v>
      </c>
      <c r="AA142">
        <v>299.10000000000002</v>
      </c>
      <c r="AB142">
        <v>183.40172000000001</v>
      </c>
    </row>
    <row r="143" spans="18:28">
      <c r="R143">
        <v>371.4</v>
      </c>
      <c r="S143">
        <v>14323.446970000001</v>
      </c>
      <c r="T143">
        <v>177.57514</v>
      </c>
      <c r="U143">
        <v>97.83775</v>
      </c>
      <c r="V143">
        <v>146.45094</v>
      </c>
      <c r="W143">
        <v>997.94507999999996</v>
      </c>
      <c r="X143">
        <v>36629.422310000002</v>
      </c>
      <c r="Y143">
        <v>2535.8761399999999</v>
      </c>
      <c r="Z143">
        <v>471.17786999999998</v>
      </c>
      <c r="AA143">
        <v>295.5</v>
      </c>
      <c r="AB143">
        <v>184.41023000000001</v>
      </c>
    </row>
    <row r="144" spans="18:28">
      <c r="R144">
        <v>373.5</v>
      </c>
      <c r="S144">
        <v>14608.59823</v>
      </c>
      <c r="T144">
        <v>176.99332999999999</v>
      </c>
      <c r="U144">
        <v>95.481549999999999</v>
      </c>
      <c r="V144">
        <v>144.01788999999999</v>
      </c>
      <c r="W144">
        <v>1002.28163</v>
      </c>
      <c r="X144">
        <v>35651.285170000003</v>
      </c>
      <c r="Y144">
        <v>2494.28872</v>
      </c>
      <c r="Z144">
        <v>470.87858</v>
      </c>
      <c r="AA144">
        <v>293.5</v>
      </c>
      <c r="AB144">
        <v>183.27411000000001</v>
      </c>
    </row>
    <row r="145" spans="18:28">
      <c r="R145">
        <v>375.1</v>
      </c>
      <c r="S145">
        <v>14501.30148</v>
      </c>
      <c r="T145">
        <v>174.85535999999999</v>
      </c>
      <c r="U145">
        <v>106.65372000000001</v>
      </c>
      <c r="V145">
        <v>146.72297</v>
      </c>
      <c r="W145">
        <v>1003.06219</v>
      </c>
      <c r="X145">
        <v>36593.629560000001</v>
      </c>
      <c r="Y145">
        <v>2511.57359</v>
      </c>
      <c r="Z145">
        <v>477.27938</v>
      </c>
      <c r="AA145">
        <v>296.60000000000002</v>
      </c>
      <c r="AB145">
        <v>184.32736</v>
      </c>
    </row>
    <row r="146" spans="18:28">
      <c r="R146">
        <v>367.1</v>
      </c>
      <c r="S146">
        <v>14703.141890000001</v>
      </c>
      <c r="T146">
        <v>182.27947</v>
      </c>
      <c r="U146">
        <v>114.19152</v>
      </c>
      <c r="V146">
        <v>149.54662999999999</v>
      </c>
      <c r="W146">
        <v>1007.6417</v>
      </c>
      <c r="X146">
        <v>36850.719799999999</v>
      </c>
      <c r="Y146">
        <v>2564.6628500000002</v>
      </c>
      <c r="Z146">
        <v>488.58823000000001</v>
      </c>
      <c r="AA146">
        <v>284.39999999999998</v>
      </c>
      <c r="AB146">
        <v>182.95330000000001</v>
      </c>
    </row>
    <row r="147" spans="18:28">
      <c r="R147">
        <v>368.9</v>
      </c>
      <c r="S147">
        <v>14922.60815</v>
      </c>
      <c r="T147">
        <v>185.81390999999999</v>
      </c>
      <c r="U147">
        <v>114.98463</v>
      </c>
      <c r="V147">
        <v>145.22989000000001</v>
      </c>
      <c r="W147">
        <v>1015.73722</v>
      </c>
      <c r="X147">
        <v>37597.647259999998</v>
      </c>
      <c r="Y147">
        <v>2612.6665200000002</v>
      </c>
      <c r="Z147">
        <v>495.8571</v>
      </c>
      <c r="AA147">
        <v>287.2</v>
      </c>
      <c r="AB147">
        <v>179.01787999999999</v>
      </c>
    </row>
    <row r="148" spans="18:28">
      <c r="R148">
        <v>374.2</v>
      </c>
      <c r="S148">
        <v>14732.46041</v>
      </c>
      <c r="T148">
        <v>185.96691000000001</v>
      </c>
      <c r="U148">
        <v>111.48241</v>
      </c>
      <c r="V148">
        <v>145.92945</v>
      </c>
      <c r="W148">
        <v>1021.32267</v>
      </c>
      <c r="X148">
        <v>37688.590730000004</v>
      </c>
      <c r="Y148">
        <v>2693.87842</v>
      </c>
      <c r="Z148">
        <v>499.59715999999997</v>
      </c>
      <c r="AA148">
        <v>290.3</v>
      </c>
      <c r="AB148">
        <v>184.56182000000001</v>
      </c>
    </row>
    <row r="149" spans="18:28">
      <c r="R149">
        <v>375.8</v>
      </c>
      <c r="S149">
        <v>15084.384190000001</v>
      </c>
      <c r="T149">
        <v>186.23333</v>
      </c>
      <c r="U149">
        <v>115.0234</v>
      </c>
      <c r="V149">
        <v>147.90329</v>
      </c>
      <c r="W149">
        <v>1020.4844399999999</v>
      </c>
      <c r="X149">
        <v>37701.509769999997</v>
      </c>
      <c r="Y149">
        <v>2735.0894499999999</v>
      </c>
      <c r="Z149">
        <v>500.71728999999999</v>
      </c>
      <c r="AA149">
        <v>294.10000000000002</v>
      </c>
      <c r="AB149">
        <v>182.33340999999999</v>
      </c>
    </row>
    <row r="150" spans="18:28">
      <c r="R150">
        <v>381.2</v>
      </c>
      <c r="S150">
        <v>15124.41383</v>
      </c>
      <c r="T150">
        <v>189.42116999999999</v>
      </c>
      <c r="U150">
        <v>115.32514999999999</v>
      </c>
      <c r="V150">
        <v>148.29338999999999</v>
      </c>
      <c r="W150">
        <v>1025.11249</v>
      </c>
      <c r="X150">
        <v>38303.55457</v>
      </c>
      <c r="Y150">
        <v>2795.75405</v>
      </c>
      <c r="Z150">
        <v>509.91350999999997</v>
      </c>
      <c r="AA150">
        <v>298.5</v>
      </c>
      <c r="AB150">
        <v>180.42329000000001</v>
      </c>
    </row>
    <row r="151" spans="18:28">
      <c r="R151">
        <v>381</v>
      </c>
      <c r="S151">
        <v>15334.44325</v>
      </c>
      <c r="T151">
        <v>190.00738000000001</v>
      </c>
      <c r="U151">
        <v>114.89831</v>
      </c>
      <c r="V151">
        <v>147.72434999999999</v>
      </c>
      <c r="W151">
        <v>1023.76316</v>
      </c>
      <c r="X151">
        <v>38269.095150000001</v>
      </c>
      <c r="Y151">
        <v>2797.6458499999999</v>
      </c>
      <c r="Z151">
        <v>515.85897999999997</v>
      </c>
      <c r="AA151">
        <v>298</v>
      </c>
      <c r="AB151">
        <v>173.02403000000001</v>
      </c>
    </row>
    <row r="152" spans="18:28">
      <c r="R152">
        <v>375.6</v>
      </c>
      <c r="S152">
        <v>15230.153550000001</v>
      </c>
      <c r="T152">
        <v>197.56363999999999</v>
      </c>
      <c r="U152">
        <v>114.77565</v>
      </c>
      <c r="V152">
        <v>148.09854000000001</v>
      </c>
      <c r="W152">
        <v>1022.27059</v>
      </c>
      <c r="X152">
        <v>38172.639819999997</v>
      </c>
      <c r="Y152">
        <v>2785.0680200000002</v>
      </c>
      <c r="Z152">
        <v>517.71445000000006</v>
      </c>
      <c r="AA152">
        <v>293.39999999999998</v>
      </c>
      <c r="AB152">
        <v>172.60643999999999</v>
      </c>
    </row>
    <row r="153" spans="18:28">
      <c r="R153">
        <v>380</v>
      </c>
      <c r="S153">
        <v>15561.183789999999</v>
      </c>
      <c r="T153">
        <v>199.30824999999999</v>
      </c>
      <c r="U153">
        <v>118.17318</v>
      </c>
      <c r="V153">
        <v>151.95518999999999</v>
      </c>
      <c r="W153">
        <v>1012.74335</v>
      </c>
      <c r="X153">
        <v>38167.599309999998</v>
      </c>
      <c r="Y153">
        <v>2761.5954999999999</v>
      </c>
      <c r="Z153">
        <v>517.52787000000001</v>
      </c>
      <c r="AA153">
        <v>282.5</v>
      </c>
      <c r="AB153">
        <v>177.68657999999999</v>
      </c>
    </row>
    <row r="154" spans="18:28">
      <c r="R154">
        <v>394.1</v>
      </c>
      <c r="S154">
        <v>15795.02102</v>
      </c>
      <c r="T154">
        <v>198.72948</v>
      </c>
      <c r="U154">
        <v>118.12617</v>
      </c>
      <c r="V154">
        <v>152.81601000000001</v>
      </c>
      <c r="W154">
        <v>1012.62315</v>
      </c>
      <c r="X154">
        <v>38218.399250000002</v>
      </c>
      <c r="Y154">
        <v>2807.6344100000001</v>
      </c>
      <c r="Z154">
        <v>517.23604999999998</v>
      </c>
      <c r="AA154">
        <v>300.5</v>
      </c>
      <c r="AB154">
        <v>173.62379999999999</v>
      </c>
    </row>
    <row r="155" spans="18:28">
      <c r="R155">
        <v>395.8</v>
      </c>
      <c r="S155">
        <v>15548.226909999999</v>
      </c>
      <c r="T155">
        <v>200.3081</v>
      </c>
      <c r="U155">
        <v>123.35456000000001</v>
      </c>
      <c r="V155">
        <v>154.71274</v>
      </c>
      <c r="W155">
        <v>1013.8078400000001</v>
      </c>
      <c r="X155">
        <v>38278.657879999999</v>
      </c>
      <c r="Y155">
        <v>2805.6616800000002</v>
      </c>
      <c r="Z155">
        <v>517.78044999999997</v>
      </c>
      <c r="AA155">
        <v>301.8</v>
      </c>
      <c r="AB155">
        <v>179.74191999999999</v>
      </c>
    </row>
    <row r="156" spans="18:28">
      <c r="R156">
        <v>404.4</v>
      </c>
      <c r="S156">
        <v>15532.217989999999</v>
      </c>
      <c r="T156">
        <v>198.67514</v>
      </c>
      <c r="U156">
        <v>123.19611999999999</v>
      </c>
      <c r="V156">
        <v>144.89439999999999</v>
      </c>
      <c r="W156">
        <v>1014.09023</v>
      </c>
      <c r="X156">
        <v>38159.488899999997</v>
      </c>
      <c r="Y156">
        <v>2807.12842</v>
      </c>
      <c r="Z156">
        <v>520.62197000000003</v>
      </c>
      <c r="AA156">
        <v>299.60000000000002</v>
      </c>
      <c r="AB156">
        <v>179.72058000000001</v>
      </c>
    </row>
    <row r="157" spans="18:28">
      <c r="R157">
        <v>410.2</v>
      </c>
      <c r="S157">
        <v>15719.852140000001</v>
      </c>
      <c r="T157">
        <v>204.63713999999999</v>
      </c>
      <c r="U157">
        <v>120.10763</v>
      </c>
      <c r="V157">
        <v>137.46773999999999</v>
      </c>
      <c r="W157">
        <v>1018.80562</v>
      </c>
      <c r="X157">
        <v>38854.072890000003</v>
      </c>
      <c r="Y157">
        <v>2799.6459500000001</v>
      </c>
      <c r="Z157">
        <v>518.80032000000006</v>
      </c>
      <c r="AA157">
        <v>312.3</v>
      </c>
      <c r="AB157">
        <v>180.50032999999999</v>
      </c>
    </row>
    <row r="158" spans="18:28">
      <c r="R158">
        <v>411.8</v>
      </c>
      <c r="S158">
        <v>15828.69493</v>
      </c>
      <c r="T158">
        <v>203.58838</v>
      </c>
      <c r="U158">
        <v>111.05073</v>
      </c>
      <c r="V158">
        <v>133.74426</v>
      </c>
      <c r="W158">
        <v>1015.32095</v>
      </c>
      <c r="X158">
        <v>38063.793389999999</v>
      </c>
      <c r="Y158">
        <v>2791.0221200000001</v>
      </c>
      <c r="Z158">
        <v>515.9982</v>
      </c>
      <c r="AA158">
        <v>302.10000000000002</v>
      </c>
      <c r="AB158">
        <v>180.39070000000001</v>
      </c>
    </row>
    <row r="159" spans="18:28">
      <c r="R159">
        <v>417.9</v>
      </c>
      <c r="S159">
        <v>15375.58711</v>
      </c>
      <c r="T159">
        <v>202.90696</v>
      </c>
      <c r="U159">
        <v>110.47615</v>
      </c>
      <c r="V159">
        <v>125.81668999999999</v>
      </c>
      <c r="W159">
        <v>1003.3927200000001</v>
      </c>
      <c r="X159">
        <v>38133.058069999999</v>
      </c>
      <c r="Y159">
        <v>2752.3213799999999</v>
      </c>
      <c r="Z159">
        <v>516.20911999999998</v>
      </c>
      <c r="AA159">
        <v>304.89999999999998</v>
      </c>
      <c r="AB159">
        <v>180.70892000000001</v>
      </c>
    </row>
    <row r="160" spans="18:28">
      <c r="R160">
        <v>408.3</v>
      </c>
      <c r="S160">
        <v>15253.90508</v>
      </c>
      <c r="T160">
        <v>202.10157000000001</v>
      </c>
      <c r="U160">
        <v>113.0035</v>
      </c>
      <c r="V160">
        <v>128.84523999999999</v>
      </c>
      <c r="W160">
        <v>988.97654999999997</v>
      </c>
      <c r="X160">
        <v>37544.808409999998</v>
      </c>
      <c r="Y160">
        <v>2756.5174200000001</v>
      </c>
      <c r="Z160">
        <v>536.59825000000001</v>
      </c>
      <c r="AA160">
        <v>304</v>
      </c>
      <c r="AB160">
        <v>178.35822999999999</v>
      </c>
    </row>
    <row r="161" spans="18:28">
      <c r="R161">
        <v>411.5</v>
      </c>
      <c r="S161">
        <v>15157.89474</v>
      </c>
      <c r="T161">
        <v>208.38416000000001</v>
      </c>
      <c r="U161">
        <v>111.39474</v>
      </c>
      <c r="V161">
        <v>124.58167</v>
      </c>
      <c r="W161">
        <v>989.21051</v>
      </c>
      <c r="X161">
        <v>37644.739020000001</v>
      </c>
      <c r="Y161">
        <v>2794.18433</v>
      </c>
      <c r="Z161">
        <v>538.48474999999996</v>
      </c>
      <c r="AA161">
        <v>305</v>
      </c>
      <c r="AB161">
        <v>176.67771999999999</v>
      </c>
    </row>
    <row r="162" spans="18:28">
      <c r="R162">
        <v>420</v>
      </c>
      <c r="S162">
        <v>15313.02478</v>
      </c>
      <c r="T162">
        <v>203.14435</v>
      </c>
      <c r="U162">
        <v>109.36749</v>
      </c>
      <c r="V162">
        <v>123.09238000000001</v>
      </c>
      <c r="W162">
        <v>989.59046000000001</v>
      </c>
      <c r="X162">
        <v>38364.230530000001</v>
      </c>
      <c r="Y162">
        <v>2878.0917300000001</v>
      </c>
      <c r="Z162">
        <v>529.96415999999999</v>
      </c>
      <c r="AA162">
        <v>309.3</v>
      </c>
      <c r="AB162">
        <v>176.72103999999999</v>
      </c>
    </row>
    <row r="163" spans="18:28">
      <c r="R163">
        <v>416.5</v>
      </c>
      <c r="S163">
        <v>15430.169529999999</v>
      </c>
      <c r="T163">
        <v>201.84433000000001</v>
      </c>
      <c r="U163">
        <v>101.0304</v>
      </c>
      <c r="V163">
        <v>117.37063999999999</v>
      </c>
      <c r="W163">
        <v>989.04281000000003</v>
      </c>
      <c r="X163">
        <v>38285.712390000001</v>
      </c>
      <c r="Y163">
        <v>2870.0350899999999</v>
      </c>
      <c r="Z163">
        <v>519.11512000000005</v>
      </c>
      <c r="AA163">
        <v>308.5</v>
      </c>
      <c r="AB163">
        <v>172.06608</v>
      </c>
    </row>
    <row r="164" spans="18:28">
      <c r="R164">
        <v>408.5</v>
      </c>
      <c r="S164">
        <v>15176.40741</v>
      </c>
      <c r="T164">
        <v>199.95070999999999</v>
      </c>
      <c r="U164">
        <v>100.35947</v>
      </c>
      <c r="V164">
        <v>114.01006</v>
      </c>
      <c r="W164">
        <v>991.74127999999996</v>
      </c>
      <c r="X164">
        <v>37642.742919999997</v>
      </c>
      <c r="Y164">
        <v>2810.22336</v>
      </c>
      <c r="Z164">
        <v>509.92525000000001</v>
      </c>
      <c r="AA164">
        <v>304.3</v>
      </c>
      <c r="AB164">
        <v>171.09431000000001</v>
      </c>
    </row>
    <row r="165" spans="18:28">
      <c r="R165">
        <v>410.1</v>
      </c>
      <c r="S165">
        <v>15154.26468</v>
      </c>
      <c r="T165">
        <v>199.11484999999999</v>
      </c>
      <c r="U165">
        <v>95.253119999999996</v>
      </c>
      <c r="V165">
        <v>111.50528</v>
      </c>
      <c r="W165">
        <v>993.27482999999995</v>
      </c>
      <c r="X165">
        <v>37480.562140000002</v>
      </c>
      <c r="Y165">
        <v>2786.3910799999999</v>
      </c>
      <c r="Z165">
        <v>498.20699000000002</v>
      </c>
      <c r="AA165">
        <v>304.3</v>
      </c>
      <c r="AB165">
        <v>167.75990999999999</v>
      </c>
    </row>
    <row r="166" spans="18:28">
      <c r="R166">
        <v>411.1</v>
      </c>
      <c r="S166">
        <v>14894.21257</v>
      </c>
      <c r="T166">
        <v>200.15662</v>
      </c>
      <c r="U166">
        <v>89.909459999999996</v>
      </c>
      <c r="V166">
        <v>105.96029</v>
      </c>
      <c r="W166">
        <v>989.79277000000002</v>
      </c>
      <c r="X166">
        <v>37972.224150000002</v>
      </c>
      <c r="Y166">
        <v>2878.68012</v>
      </c>
      <c r="Z166">
        <v>502.78017</v>
      </c>
      <c r="AA166">
        <v>306</v>
      </c>
      <c r="AB166">
        <v>167.23419999999999</v>
      </c>
    </row>
    <row r="167" spans="18:28">
      <c r="R167">
        <v>397.4</v>
      </c>
      <c r="S167">
        <v>14921.043589999999</v>
      </c>
      <c r="T167">
        <v>202.11224000000001</v>
      </c>
      <c r="U167">
        <v>87.267300000000006</v>
      </c>
      <c r="V167">
        <v>103.5147</v>
      </c>
      <c r="W167">
        <v>994.73625000000004</v>
      </c>
      <c r="X167">
        <v>37617.79567</v>
      </c>
      <c r="Y167">
        <v>2853.0302700000002</v>
      </c>
      <c r="Z167">
        <v>496.86511999999999</v>
      </c>
      <c r="AA167">
        <v>302.8</v>
      </c>
      <c r="AB167">
        <v>167.72582</v>
      </c>
    </row>
    <row r="168" spans="18:28">
      <c r="R168">
        <v>398</v>
      </c>
      <c r="S168">
        <v>14702.63473</v>
      </c>
      <c r="T168">
        <v>190.57123999999999</v>
      </c>
      <c r="U168">
        <v>84.287689999999998</v>
      </c>
      <c r="V168">
        <v>92.04777</v>
      </c>
      <c r="W168">
        <v>995.15134999999998</v>
      </c>
      <c r="X168">
        <v>37308.207340000001</v>
      </c>
      <c r="Y168">
        <v>2816.5606400000001</v>
      </c>
      <c r="Z168">
        <v>488.19650999999999</v>
      </c>
      <c r="AA168">
        <v>299.8</v>
      </c>
      <c r="AB168">
        <v>158.95622</v>
      </c>
    </row>
    <row r="169" spans="18:28">
      <c r="R169">
        <v>405.4</v>
      </c>
      <c r="S169">
        <v>14784.662700000001</v>
      </c>
      <c r="T169">
        <v>182.95340999999999</v>
      </c>
      <c r="U169">
        <v>80.354879999999994</v>
      </c>
      <c r="V169">
        <v>82.820769999999996</v>
      </c>
      <c r="W169">
        <v>995.70178999999996</v>
      </c>
      <c r="X169">
        <v>37420.459869999999</v>
      </c>
      <c r="Y169">
        <v>2838.5441700000001</v>
      </c>
      <c r="Z169">
        <v>484.74711000000002</v>
      </c>
      <c r="AA169">
        <v>298.60000000000002</v>
      </c>
      <c r="AB169">
        <v>154.07514</v>
      </c>
    </row>
    <row r="170" spans="18:28">
      <c r="R170">
        <v>401.8</v>
      </c>
      <c r="S170">
        <v>14768.88495</v>
      </c>
      <c r="T170">
        <v>188.99995000000001</v>
      </c>
      <c r="U170">
        <v>79.692509999999999</v>
      </c>
      <c r="V170">
        <v>89.44632</v>
      </c>
      <c r="W170">
        <v>994.37216999999998</v>
      </c>
      <c r="X170">
        <v>37375.328520000003</v>
      </c>
      <c r="Y170">
        <v>2857.6700599999999</v>
      </c>
      <c r="Z170">
        <v>492.19092000000001</v>
      </c>
      <c r="AA170">
        <v>297.8</v>
      </c>
      <c r="AB170">
        <v>153.90861000000001</v>
      </c>
    </row>
    <row r="171" spans="18:28">
      <c r="R171">
        <v>400.8</v>
      </c>
      <c r="S171">
        <v>14973.600189999999</v>
      </c>
      <c r="T171">
        <v>193.07686000000001</v>
      </c>
      <c r="U171">
        <v>80.476240000000004</v>
      </c>
      <c r="V171">
        <v>91.118160000000003</v>
      </c>
      <c r="W171">
        <v>985.95158000000004</v>
      </c>
      <c r="X171">
        <v>33975.388700000003</v>
      </c>
      <c r="Y171">
        <v>2923.2642099999998</v>
      </c>
      <c r="Z171">
        <v>495.64478000000003</v>
      </c>
      <c r="AA171">
        <v>301.8</v>
      </c>
      <c r="AB171">
        <v>155.84219999999999</v>
      </c>
    </row>
    <row r="172" spans="18:28">
      <c r="R172">
        <v>404.8</v>
      </c>
      <c r="S172">
        <v>14973.84338</v>
      </c>
      <c r="T172">
        <v>196.81593000000001</v>
      </c>
      <c r="U172">
        <v>79.139619999999994</v>
      </c>
      <c r="V172">
        <v>96.634309999999999</v>
      </c>
      <c r="W172">
        <v>984.54385000000002</v>
      </c>
      <c r="X172">
        <v>34030.484109999998</v>
      </c>
      <c r="Y172">
        <v>2904.0322900000001</v>
      </c>
      <c r="Z172">
        <v>502.97537</v>
      </c>
      <c r="AA172">
        <v>305</v>
      </c>
      <c r="AB172">
        <v>153.41417999999999</v>
      </c>
    </row>
    <row r="173" spans="18:28">
      <c r="R173">
        <v>411</v>
      </c>
      <c r="S173">
        <v>15439.639380000001</v>
      </c>
      <c r="T173">
        <v>202.03800000000001</v>
      </c>
      <c r="U173">
        <v>77.57114</v>
      </c>
      <c r="V173">
        <v>101.90142</v>
      </c>
      <c r="W173">
        <v>986.91211999999996</v>
      </c>
      <c r="X173">
        <v>34386.75</v>
      </c>
      <c r="Y173">
        <v>2952.5709700000002</v>
      </c>
      <c r="Z173">
        <v>506.29948999999999</v>
      </c>
      <c r="AA173">
        <v>305.2</v>
      </c>
      <c r="AB173">
        <v>155.33584999999999</v>
      </c>
    </row>
    <row r="174" spans="18:28">
      <c r="R174">
        <v>414.1</v>
      </c>
      <c r="S174">
        <v>15570.211569999999</v>
      </c>
      <c r="T174">
        <v>196.58492000000001</v>
      </c>
      <c r="U174">
        <v>78.949759999999998</v>
      </c>
      <c r="V174">
        <v>102.23220999999999</v>
      </c>
      <c r="W174">
        <v>986.87203999999997</v>
      </c>
      <c r="X174">
        <v>34553.268170000003</v>
      </c>
      <c r="Y174">
        <v>2953.7101200000002</v>
      </c>
      <c r="Z174">
        <v>506.11117000000002</v>
      </c>
      <c r="AA174">
        <v>305.2</v>
      </c>
      <c r="AB174">
        <v>154.41304</v>
      </c>
    </row>
    <row r="175" spans="18:28">
      <c r="R175">
        <v>416.7</v>
      </c>
      <c r="S175">
        <v>15435.440039999999</v>
      </c>
      <c r="T175">
        <v>197.81301999999999</v>
      </c>
      <c r="U175">
        <v>77.921930000000003</v>
      </c>
      <c r="V175">
        <v>104.27826</v>
      </c>
      <c r="W175">
        <v>987.35082</v>
      </c>
      <c r="X175">
        <v>34553.268170000003</v>
      </c>
      <c r="Y175">
        <v>2953.7101200000002</v>
      </c>
      <c r="Z175">
        <v>506.11117000000002</v>
      </c>
      <c r="AA175">
        <v>305.2</v>
      </c>
      <c r="AB175">
        <v>154.41304</v>
      </c>
    </row>
    <row r="176" spans="18:28">
      <c r="R176">
        <v>416.7</v>
      </c>
      <c r="S176">
        <v>15435.440039999999</v>
      </c>
      <c r="T176">
        <v>196.95138</v>
      </c>
      <c r="U176">
        <v>77.921930000000003</v>
      </c>
      <c r="V176">
        <v>103.37719</v>
      </c>
      <c r="W176">
        <v>987.35082</v>
      </c>
      <c r="X176">
        <v>34553.268170000003</v>
      </c>
      <c r="Y176">
        <v>2953.7101200000002</v>
      </c>
      <c r="Z176">
        <v>506.11117000000002</v>
      </c>
      <c r="AA176">
        <v>305.2</v>
      </c>
      <c r="AB176">
        <v>154.41304</v>
      </c>
    </row>
    <row r="177" spans="18:28">
      <c r="R177">
        <v>405.5</v>
      </c>
      <c r="S177">
        <v>15346.349459999999</v>
      </c>
      <c r="T177">
        <v>195.25157999999999</v>
      </c>
      <c r="U177">
        <v>71.752219999999994</v>
      </c>
      <c r="V177">
        <v>97.553880000000007</v>
      </c>
      <c r="W177">
        <v>987.67133000000001</v>
      </c>
      <c r="X177">
        <v>34477.1469</v>
      </c>
      <c r="Y177">
        <v>2920.1977099999999</v>
      </c>
      <c r="Z177">
        <v>500.89010999999999</v>
      </c>
      <c r="AA177">
        <v>305.3</v>
      </c>
      <c r="AB177">
        <v>152.26299</v>
      </c>
    </row>
    <row r="178" spans="18:28">
      <c r="R178">
        <v>402.4</v>
      </c>
      <c r="S178">
        <v>15163.040800000001</v>
      </c>
      <c r="T178">
        <v>195.08396999999999</v>
      </c>
      <c r="U178">
        <v>67.200280000000006</v>
      </c>
      <c r="V178">
        <v>100.37153000000001</v>
      </c>
      <c r="W178">
        <v>981.43672000000004</v>
      </c>
      <c r="X178">
        <v>33954.108</v>
      </c>
      <c r="Y178">
        <v>2929.0728399999998</v>
      </c>
      <c r="Z178">
        <v>495.63056999999998</v>
      </c>
      <c r="AA178">
        <v>308.7</v>
      </c>
      <c r="AB178">
        <v>151.80772999999999</v>
      </c>
    </row>
    <row r="179" spans="18:28">
      <c r="R179">
        <v>401.5</v>
      </c>
      <c r="S179">
        <v>15430.780839999999</v>
      </c>
      <c r="T179">
        <v>199.65508</v>
      </c>
      <c r="U179">
        <v>67.097110000000001</v>
      </c>
      <c r="V179">
        <v>100.37153000000001</v>
      </c>
      <c r="W179">
        <v>974.61653000000001</v>
      </c>
      <c r="X179">
        <v>33954.108</v>
      </c>
      <c r="Y179">
        <v>2929.0728399999998</v>
      </c>
      <c r="Z179">
        <v>495.63056999999998</v>
      </c>
      <c r="AA179">
        <v>304.10000000000002</v>
      </c>
      <c r="AB179">
        <v>151.80772999999999</v>
      </c>
    </row>
    <row r="180" spans="18:28">
      <c r="R180">
        <v>401</v>
      </c>
      <c r="S180">
        <v>15435.731019999999</v>
      </c>
      <c r="T180">
        <v>200.0685</v>
      </c>
      <c r="U180">
        <v>66.935090000000002</v>
      </c>
      <c r="V180">
        <v>100.37153000000001</v>
      </c>
      <c r="W180">
        <v>984.08653000000004</v>
      </c>
      <c r="X180">
        <v>33954.108</v>
      </c>
      <c r="Y180">
        <v>2931.7724499999999</v>
      </c>
      <c r="Z180">
        <v>499.18545999999998</v>
      </c>
      <c r="AA180">
        <v>306.3</v>
      </c>
      <c r="AB180">
        <v>150.77698000000001</v>
      </c>
    </row>
    <row r="181" spans="18:28">
      <c r="R181">
        <v>392.4</v>
      </c>
      <c r="S181">
        <v>15465.6016</v>
      </c>
      <c r="T181">
        <v>203.77018000000001</v>
      </c>
      <c r="U181">
        <v>67.578810000000004</v>
      </c>
      <c r="V181">
        <v>99.49333</v>
      </c>
      <c r="W181">
        <v>985.49162999999999</v>
      </c>
      <c r="X181">
        <v>33366.433010000001</v>
      </c>
      <c r="Y181">
        <v>2881.3787299999999</v>
      </c>
      <c r="Z181">
        <v>501.37945999999999</v>
      </c>
      <c r="AA181">
        <v>304.60000000000002</v>
      </c>
      <c r="AB181">
        <v>149.35324</v>
      </c>
    </row>
    <row r="182" spans="18:28">
      <c r="R182">
        <v>385.9</v>
      </c>
      <c r="S182">
        <v>15228.602929999999</v>
      </c>
      <c r="T182">
        <v>204.95138</v>
      </c>
      <c r="U182">
        <v>63.727539999999998</v>
      </c>
      <c r="V182">
        <v>99.753619999999998</v>
      </c>
      <c r="W182">
        <v>988.52332999999999</v>
      </c>
      <c r="X182">
        <v>32808.24871</v>
      </c>
      <c r="Y182">
        <v>2866.95345</v>
      </c>
      <c r="Z182">
        <v>494.60356999999999</v>
      </c>
      <c r="AA182">
        <v>303</v>
      </c>
      <c r="AB182">
        <v>149.35324</v>
      </c>
    </row>
    <row r="183" spans="18:28">
      <c r="R183">
        <v>393.4</v>
      </c>
      <c r="S183">
        <v>15077.604960000001</v>
      </c>
      <c r="T183">
        <v>202.99315999999999</v>
      </c>
      <c r="U183">
        <v>51.199559999999998</v>
      </c>
      <c r="V183">
        <v>99.753619999999998</v>
      </c>
      <c r="W183">
        <v>987.14012000000002</v>
      </c>
      <c r="X183">
        <v>33194.405550000003</v>
      </c>
      <c r="Y183">
        <v>2890.4624199999998</v>
      </c>
      <c r="Z183">
        <v>496.40676999999999</v>
      </c>
      <c r="AA183">
        <v>309</v>
      </c>
      <c r="AB183">
        <v>149.39751000000001</v>
      </c>
    </row>
    <row r="184" spans="18:28">
      <c r="R184">
        <v>399.3</v>
      </c>
      <c r="S184">
        <v>15636.12306</v>
      </c>
      <c r="T184">
        <v>205.81144</v>
      </c>
      <c r="U184">
        <v>56.055500000000002</v>
      </c>
      <c r="V184">
        <v>98.492059999999995</v>
      </c>
      <c r="W184">
        <v>983.90305000000001</v>
      </c>
      <c r="X184">
        <v>33685.077140000001</v>
      </c>
      <c r="Y184">
        <v>2928.3332300000002</v>
      </c>
      <c r="Z184">
        <v>495.19218999999998</v>
      </c>
      <c r="AA184">
        <v>310.60000000000002</v>
      </c>
      <c r="AB184">
        <v>150.03880000000001</v>
      </c>
    </row>
    <row r="185" spans="18:28">
      <c r="R185">
        <v>392.5</v>
      </c>
      <c r="S185">
        <v>15469.15863</v>
      </c>
      <c r="T185">
        <v>204.87582</v>
      </c>
      <c r="U185">
        <v>56.055500000000002</v>
      </c>
      <c r="V185">
        <v>95.172210000000007</v>
      </c>
      <c r="W185">
        <v>983.61974999999995</v>
      </c>
      <c r="X185">
        <v>33375.309020000001</v>
      </c>
      <c r="Y185">
        <v>3046.9554899999998</v>
      </c>
      <c r="Z185">
        <v>499.90046000000001</v>
      </c>
      <c r="AA185">
        <v>310.89999999999998</v>
      </c>
      <c r="AB185">
        <v>148.44687999999999</v>
      </c>
    </row>
    <row r="186" spans="18:28">
      <c r="R186">
        <v>397.9</v>
      </c>
      <c r="S186">
        <v>15616.96452</v>
      </c>
      <c r="T186">
        <v>204.84325999999999</v>
      </c>
      <c r="U186">
        <v>56.055500000000002</v>
      </c>
      <c r="V186">
        <v>92.974119999999999</v>
      </c>
      <c r="W186">
        <v>981.86059999999998</v>
      </c>
      <c r="X186">
        <v>33443.638899999998</v>
      </c>
      <c r="Y186">
        <v>3034.6432199999999</v>
      </c>
      <c r="Z186">
        <v>503.17793</v>
      </c>
      <c r="AA186">
        <v>311.7</v>
      </c>
      <c r="AB186">
        <v>144.96958000000001</v>
      </c>
    </row>
    <row r="187" spans="18:28">
      <c r="R187">
        <v>399.8</v>
      </c>
      <c r="S187">
        <v>15635.859630000001</v>
      </c>
      <c r="T187">
        <v>205.43474000000001</v>
      </c>
      <c r="U187">
        <v>54.412640000000003</v>
      </c>
      <c r="V187">
        <v>87.455340000000007</v>
      </c>
      <c r="W187">
        <v>980.20478000000003</v>
      </c>
      <c r="X187">
        <v>34241.567719999999</v>
      </c>
      <c r="Y187">
        <v>3021.3782700000002</v>
      </c>
      <c r="Z187">
        <v>520.28393000000005</v>
      </c>
      <c r="AA187">
        <v>314.2</v>
      </c>
      <c r="AB187">
        <v>149.03973999999999</v>
      </c>
    </row>
    <row r="188" spans="18:28">
      <c r="R188">
        <v>401.4</v>
      </c>
      <c r="S188">
        <v>14958.623799999999</v>
      </c>
      <c r="T188">
        <v>204.98411999999999</v>
      </c>
      <c r="U188">
        <v>53.437489999999997</v>
      </c>
      <c r="V188">
        <v>86.267409999999998</v>
      </c>
      <c r="W188">
        <v>975.81502</v>
      </c>
      <c r="X188">
        <v>33823.096940000003</v>
      </c>
      <c r="Y188">
        <v>2995.9067700000001</v>
      </c>
      <c r="Z188">
        <v>513.08729000000005</v>
      </c>
      <c r="AA188">
        <v>313.8</v>
      </c>
      <c r="AB188">
        <v>149.86085</v>
      </c>
    </row>
    <row r="189" spans="18:28">
      <c r="R189">
        <v>400.2</v>
      </c>
      <c r="S189">
        <v>15081.14689</v>
      </c>
      <c r="T189">
        <v>208.04442</v>
      </c>
      <c r="U189">
        <v>52.59263</v>
      </c>
      <c r="V189">
        <v>89.306209999999993</v>
      </c>
      <c r="W189">
        <v>964.96370000000002</v>
      </c>
      <c r="X189">
        <v>39198.193440000003</v>
      </c>
      <c r="Y189">
        <v>2946.4885199999999</v>
      </c>
      <c r="Z189">
        <v>511.09458000000001</v>
      </c>
      <c r="AA189">
        <v>311.5</v>
      </c>
      <c r="AB189">
        <v>145.74036000000001</v>
      </c>
    </row>
    <row r="190" spans="18:28">
      <c r="R190">
        <v>409.1</v>
      </c>
      <c r="S190">
        <v>15098.24026</v>
      </c>
      <c r="T190">
        <v>212.51447999999999</v>
      </c>
      <c r="U190">
        <v>48.79007</v>
      </c>
      <c r="V190">
        <v>89.529219999999995</v>
      </c>
      <c r="W190">
        <v>960.55456000000004</v>
      </c>
      <c r="X190">
        <v>39379.985509999999</v>
      </c>
      <c r="Y190">
        <v>2949.6648500000001</v>
      </c>
      <c r="Z190">
        <v>504.19605000000001</v>
      </c>
      <c r="AA190">
        <v>311.7</v>
      </c>
      <c r="AB190">
        <v>141.78593000000001</v>
      </c>
    </row>
    <row r="191" spans="18:28">
      <c r="R191">
        <v>414.4</v>
      </c>
      <c r="S191">
        <v>15319.086590000001</v>
      </c>
      <c r="T191">
        <v>210.78124</v>
      </c>
      <c r="U191">
        <v>50.682549999999999</v>
      </c>
      <c r="V191">
        <v>88.101330000000004</v>
      </c>
      <c r="W191">
        <v>960.68199000000004</v>
      </c>
      <c r="X191">
        <v>38933.030729999999</v>
      </c>
      <c r="Y191">
        <v>2923.4305899999999</v>
      </c>
      <c r="Z191">
        <v>500.41126000000003</v>
      </c>
      <c r="AA191">
        <v>325</v>
      </c>
      <c r="AB191">
        <v>136.95717999999999</v>
      </c>
    </row>
    <row r="192" spans="18:28">
      <c r="R192">
        <v>421.3</v>
      </c>
      <c r="S192">
        <v>15459.89169</v>
      </c>
      <c r="T192">
        <v>213.43872999999999</v>
      </c>
      <c r="U192">
        <v>48.953769999999999</v>
      </c>
      <c r="V192">
        <v>88.707350000000005</v>
      </c>
      <c r="W192">
        <v>966.05165999999997</v>
      </c>
      <c r="X192">
        <v>39637.899100000002</v>
      </c>
      <c r="Y192">
        <v>2853.8744299999998</v>
      </c>
      <c r="Z192">
        <v>502.54329999999999</v>
      </c>
      <c r="AA192">
        <v>326.7</v>
      </c>
      <c r="AB192">
        <v>138.54356999999999</v>
      </c>
    </row>
    <row r="193" spans="18:28">
      <c r="R193">
        <v>421.2</v>
      </c>
      <c r="S193">
        <v>15483.699119999999</v>
      </c>
      <c r="T193">
        <v>216.83401000000001</v>
      </c>
      <c r="U193">
        <v>60.010219999999997</v>
      </c>
      <c r="V193">
        <v>90.634469999999993</v>
      </c>
      <c r="W193">
        <v>954.32928000000004</v>
      </c>
      <c r="X193">
        <v>39486.179380000001</v>
      </c>
      <c r="Y193">
        <v>2886.7039100000002</v>
      </c>
      <c r="Z193">
        <v>503.70956000000001</v>
      </c>
      <c r="AA193">
        <v>326</v>
      </c>
      <c r="AB193">
        <v>139.15136999999999</v>
      </c>
    </row>
    <row r="194" spans="18:28">
      <c r="R194">
        <v>431.1</v>
      </c>
      <c r="S194">
        <v>15614.45811</v>
      </c>
      <c r="T194">
        <v>218.35444000000001</v>
      </c>
      <c r="U194">
        <v>66.025139999999993</v>
      </c>
      <c r="V194">
        <v>94.324960000000004</v>
      </c>
      <c r="W194">
        <v>940.16497000000004</v>
      </c>
      <c r="X194">
        <v>40052.188000000002</v>
      </c>
      <c r="Y194">
        <v>2826.19049</v>
      </c>
      <c r="Z194">
        <v>499.04835000000003</v>
      </c>
      <c r="AA194">
        <v>330.2</v>
      </c>
      <c r="AB194">
        <v>146.27005</v>
      </c>
    </row>
    <row r="195" spans="18:28">
      <c r="R195">
        <v>426</v>
      </c>
      <c r="S195">
        <v>15994.69918</v>
      </c>
      <c r="T195">
        <v>216.56263000000001</v>
      </c>
      <c r="U195">
        <v>61.587069999999997</v>
      </c>
      <c r="V195">
        <v>86.938469999999995</v>
      </c>
      <c r="W195">
        <v>939.50170000000003</v>
      </c>
      <c r="X195">
        <v>39508.267200000002</v>
      </c>
      <c r="Y195">
        <v>2894.7415500000002</v>
      </c>
      <c r="Z195">
        <v>503.05083999999999</v>
      </c>
      <c r="AA195">
        <v>325.8</v>
      </c>
      <c r="AB195">
        <v>155.57884999999999</v>
      </c>
    </row>
    <row r="196" spans="18:28">
      <c r="R196">
        <v>422.1</v>
      </c>
      <c r="S196">
        <v>15559.115299999999</v>
      </c>
      <c r="T196">
        <v>208.27334999999999</v>
      </c>
      <c r="U196">
        <v>56.918129999999998</v>
      </c>
      <c r="V196">
        <v>85.537809999999993</v>
      </c>
      <c r="W196">
        <v>938.92497000000003</v>
      </c>
      <c r="X196">
        <v>39534.473749999997</v>
      </c>
      <c r="Y196">
        <v>2824.9168399999999</v>
      </c>
      <c r="Z196">
        <v>500.59411999999998</v>
      </c>
      <c r="AA196">
        <v>324.39999999999998</v>
      </c>
      <c r="AB196">
        <v>157.81907000000001</v>
      </c>
    </row>
    <row r="197" spans="18:28">
      <c r="R197">
        <v>426.9</v>
      </c>
      <c r="S197">
        <v>15579.30092</v>
      </c>
      <c r="T197">
        <v>208.34193999999999</v>
      </c>
      <c r="U197">
        <v>52.068159999999999</v>
      </c>
      <c r="V197">
        <v>84.049359999999993</v>
      </c>
      <c r="W197">
        <v>939.99476000000004</v>
      </c>
      <c r="X197">
        <v>39248.326809999999</v>
      </c>
      <c r="Y197">
        <v>2903.3232200000002</v>
      </c>
      <c r="Z197">
        <v>502.19367</v>
      </c>
      <c r="AA197">
        <v>324.3</v>
      </c>
      <c r="AB197">
        <v>158.46786</v>
      </c>
    </row>
    <row r="198" spans="18:28">
      <c r="R198">
        <v>429.1</v>
      </c>
      <c r="S198">
        <v>15618.749540000001</v>
      </c>
      <c r="T198">
        <v>202.96977999999999</v>
      </c>
      <c r="U198">
        <v>51.386360000000003</v>
      </c>
      <c r="V198">
        <v>82.199730000000002</v>
      </c>
      <c r="W198">
        <v>944.33709999999996</v>
      </c>
      <c r="X198">
        <v>38944.641219999998</v>
      </c>
      <c r="Y198">
        <v>2928.1213400000001</v>
      </c>
      <c r="Z198">
        <v>502.17775</v>
      </c>
      <c r="AA198">
        <v>320</v>
      </c>
      <c r="AB198">
        <v>159.73493999999999</v>
      </c>
    </row>
    <row r="199" spans="18:28">
      <c r="R199">
        <v>417.9</v>
      </c>
      <c r="S199">
        <v>15470.2721</v>
      </c>
      <c r="T199">
        <v>199.97617</v>
      </c>
      <c r="U199">
        <v>47.421619999999997</v>
      </c>
      <c r="V199">
        <v>82.286540000000002</v>
      </c>
      <c r="W199">
        <v>943.17178999999999</v>
      </c>
      <c r="X199">
        <v>39059.128929999999</v>
      </c>
      <c r="Y199">
        <v>2893.6208099999999</v>
      </c>
      <c r="Z199">
        <v>493.18083999999999</v>
      </c>
      <c r="AA199">
        <v>318.39999999999998</v>
      </c>
      <c r="AB199">
        <v>160.58646999999999</v>
      </c>
    </row>
    <row r="200" spans="18:28">
      <c r="R200">
        <v>413.1</v>
      </c>
      <c r="S200">
        <v>15460.60425</v>
      </c>
      <c r="T200">
        <v>201.9811</v>
      </c>
      <c r="U200">
        <v>49.398519999999998</v>
      </c>
      <c r="V200">
        <v>82.171049999999994</v>
      </c>
      <c r="W200">
        <v>946.49066000000005</v>
      </c>
      <c r="X200">
        <v>38611.675580000003</v>
      </c>
      <c r="Y200">
        <v>2883.8174100000001</v>
      </c>
      <c r="Z200">
        <v>495.02622000000002</v>
      </c>
      <c r="AA200">
        <v>318.3</v>
      </c>
      <c r="AB200">
        <v>160.33656999999999</v>
      </c>
    </row>
    <row r="201" spans="18:28">
      <c r="R201">
        <v>421.2</v>
      </c>
      <c r="S201">
        <v>16230.40567</v>
      </c>
      <c r="T201">
        <v>202.72205</v>
      </c>
      <c r="U201">
        <v>51.982700000000001</v>
      </c>
      <c r="V201">
        <v>85.873800000000003</v>
      </c>
      <c r="W201">
        <v>949.61116000000004</v>
      </c>
      <c r="X201">
        <v>38818.62139</v>
      </c>
      <c r="Y201">
        <v>2920.4893699999998</v>
      </c>
      <c r="Z201">
        <v>507.35342000000003</v>
      </c>
      <c r="AA201">
        <v>315</v>
      </c>
      <c r="AB201">
        <v>160.6155</v>
      </c>
    </row>
    <row r="202" spans="18:28">
      <c r="R202">
        <v>423</v>
      </c>
      <c r="S202">
        <v>16177.88262</v>
      </c>
      <c r="T202">
        <v>196.76420999999999</v>
      </c>
      <c r="U202">
        <v>51.961449999999999</v>
      </c>
      <c r="V202">
        <v>82.973849999999999</v>
      </c>
      <c r="W202">
        <v>942.36451</v>
      </c>
      <c r="X202">
        <v>38889.602680000004</v>
      </c>
      <c r="Y202">
        <v>2945.2831799999999</v>
      </c>
      <c r="Z202">
        <v>501.35820999999999</v>
      </c>
      <c r="AA202">
        <v>316.2</v>
      </c>
      <c r="AB202">
        <v>160.04539</v>
      </c>
    </row>
    <row r="203" spans="18:28">
      <c r="R203">
        <v>442</v>
      </c>
      <c r="S203">
        <v>16199.796829999999</v>
      </c>
      <c r="T203">
        <v>192.80870999999999</v>
      </c>
      <c r="U203">
        <v>51.26755</v>
      </c>
      <c r="V203">
        <v>86.156829999999999</v>
      </c>
      <c r="W203">
        <v>939.28138999999999</v>
      </c>
      <c r="X203">
        <v>38530.077539999998</v>
      </c>
      <c r="Y203">
        <v>2975.3890000000001</v>
      </c>
      <c r="Z203">
        <v>480.52821</v>
      </c>
      <c r="AA203">
        <v>315.2</v>
      </c>
      <c r="AB203">
        <v>158.88789</v>
      </c>
    </row>
    <row r="204" spans="18:28">
      <c r="R204">
        <v>443</v>
      </c>
      <c r="S204">
        <v>15869.671689999999</v>
      </c>
      <c r="T204">
        <v>188.05644000000001</v>
      </c>
      <c r="U204">
        <v>51.933050000000001</v>
      </c>
      <c r="V204">
        <v>88.141310000000004</v>
      </c>
      <c r="W204">
        <v>929.81713999999999</v>
      </c>
      <c r="X204">
        <v>38348.152849999999</v>
      </c>
      <c r="Y204">
        <v>2936.0378900000001</v>
      </c>
      <c r="Z204">
        <v>486.14510000000001</v>
      </c>
      <c r="AA204">
        <v>315.3</v>
      </c>
      <c r="AB204">
        <v>159.07496</v>
      </c>
    </row>
    <row r="205" spans="18:28">
      <c r="R205">
        <v>436.6</v>
      </c>
      <c r="S205">
        <v>15758.29903</v>
      </c>
      <c r="T205">
        <v>182.38676000000001</v>
      </c>
      <c r="U205">
        <v>52.564889999999998</v>
      </c>
      <c r="V205">
        <v>91.007050000000007</v>
      </c>
      <c r="W205">
        <v>928.82018000000005</v>
      </c>
      <c r="X205">
        <v>37911.447059999999</v>
      </c>
      <c r="Y205">
        <v>2901.79045</v>
      </c>
      <c r="Z205">
        <v>488.35822999999999</v>
      </c>
      <c r="AA205">
        <v>313.7</v>
      </c>
      <c r="AB205">
        <v>158.178</v>
      </c>
    </row>
    <row r="206" spans="18:28">
      <c r="R206">
        <v>443.8</v>
      </c>
      <c r="S206">
        <v>15802.54772</v>
      </c>
      <c r="T206">
        <v>181.00456</v>
      </c>
      <c r="U206">
        <v>53.750160000000001</v>
      </c>
      <c r="V206">
        <v>89.425110000000004</v>
      </c>
      <c r="W206">
        <v>924.50283999999999</v>
      </c>
      <c r="X206">
        <v>37891.395320000003</v>
      </c>
      <c r="Y206">
        <v>2980.0572999999999</v>
      </c>
      <c r="Z206">
        <v>484.77969999999999</v>
      </c>
      <c r="AA206">
        <v>315.10000000000002</v>
      </c>
      <c r="AB206">
        <v>157.01649</v>
      </c>
    </row>
    <row r="207" spans="18:28">
      <c r="R207">
        <v>460</v>
      </c>
      <c r="S207">
        <v>16032.082839999999</v>
      </c>
      <c r="T207">
        <v>181.80219</v>
      </c>
      <c r="U207">
        <v>51.673349999999999</v>
      </c>
      <c r="V207">
        <v>91.020709999999994</v>
      </c>
      <c r="W207">
        <v>924.48590999999999</v>
      </c>
      <c r="X207">
        <v>37834.070070000002</v>
      </c>
      <c r="Y207">
        <v>3006.32125</v>
      </c>
      <c r="Z207">
        <v>483.24648999999999</v>
      </c>
      <c r="AA207">
        <v>320</v>
      </c>
      <c r="AB207">
        <v>155.68885</v>
      </c>
    </row>
    <row r="208" spans="18:28">
      <c r="R208">
        <v>450</v>
      </c>
      <c r="S208">
        <v>15933.568219999999</v>
      </c>
      <c r="T208">
        <v>191.15664000000001</v>
      </c>
      <c r="U208">
        <v>50.6051</v>
      </c>
      <c r="V208">
        <v>89.494500000000002</v>
      </c>
      <c r="W208">
        <v>923.56161999999995</v>
      </c>
      <c r="X208">
        <v>37424.005660000003</v>
      </c>
      <c r="Y208">
        <v>2981.10727</v>
      </c>
      <c r="Z208">
        <v>483.19974000000002</v>
      </c>
      <c r="AA208">
        <v>323.7</v>
      </c>
      <c r="AB208">
        <v>150.73262</v>
      </c>
    </row>
    <row r="209" spans="18:28">
      <c r="R209">
        <v>439.1</v>
      </c>
      <c r="S209">
        <v>15948.976849999999</v>
      </c>
      <c r="T209">
        <v>191.09415999999999</v>
      </c>
      <c r="U209">
        <v>53.113869999999999</v>
      </c>
      <c r="V209">
        <v>94.195830000000001</v>
      </c>
      <c r="W209">
        <v>925.97402999999997</v>
      </c>
      <c r="X209">
        <v>37206.376479999999</v>
      </c>
      <c r="Y209">
        <v>2946.7456099999999</v>
      </c>
      <c r="Z209">
        <v>488.66007999999999</v>
      </c>
      <c r="AA209">
        <v>320</v>
      </c>
      <c r="AB209">
        <v>166.45022</v>
      </c>
    </row>
    <row r="210" spans="18:28">
      <c r="R210">
        <v>442</v>
      </c>
      <c r="S210">
        <v>16685.159149999999</v>
      </c>
      <c r="T210">
        <v>189.83456000000001</v>
      </c>
      <c r="U210">
        <v>53.957349999999998</v>
      </c>
      <c r="V210">
        <v>94.580209999999994</v>
      </c>
      <c r="W210">
        <v>924.55844999999999</v>
      </c>
      <c r="X210">
        <v>37385.252970000001</v>
      </c>
      <c r="Y210">
        <v>2927.1490600000002</v>
      </c>
      <c r="Z210">
        <v>485.58278000000001</v>
      </c>
      <c r="AA210">
        <v>324</v>
      </c>
      <c r="AB210">
        <v>165.70151000000001</v>
      </c>
    </row>
    <row r="211" spans="18:28">
      <c r="R211">
        <v>435.4</v>
      </c>
      <c r="S211">
        <v>16923.647349999999</v>
      </c>
      <c r="T211">
        <v>190.62589</v>
      </c>
      <c r="U211">
        <v>54.438160000000003</v>
      </c>
      <c r="V211">
        <v>96.768839999999997</v>
      </c>
      <c r="W211">
        <v>915.14958999999999</v>
      </c>
      <c r="X211">
        <v>36804.982790000002</v>
      </c>
      <c r="Y211">
        <v>2898.6849200000001</v>
      </c>
      <c r="Z211">
        <v>484.89848000000001</v>
      </c>
      <c r="AA211">
        <v>323.39999999999998</v>
      </c>
      <c r="AB211">
        <v>163.41457</v>
      </c>
    </row>
    <row r="212" spans="18:28">
      <c r="R212">
        <v>436.9</v>
      </c>
      <c r="S212">
        <v>17218.307400000002</v>
      </c>
      <c r="T212">
        <v>195.11206000000001</v>
      </c>
      <c r="U212">
        <v>53.869390000000003</v>
      </c>
      <c r="V212">
        <v>96.251689999999996</v>
      </c>
      <c r="W212">
        <v>916.73761000000002</v>
      </c>
      <c r="X212">
        <v>36373.587359999998</v>
      </c>
      <c r="Y212">
        <v>2906.29412</v>
      </c>
      <c r="Z212">
        <v>488.56292000000002</v>
      </c>
      <c r="AA212">
        <v>324.3</v>
      </c>
      <c r="AB212">
        <v>164.49956</v>
      </c>
    </row>
    <row r="213" spans="18:28">
      <c r="R213">
        <v>441.2</v>
      </c>
      <c r="S213">
        <v>17365.799299999999</v>
      </c>
      <c r="T213">
        <v>197.41861</v>
      </c>
      <c r="U213">
        <v>53.484439999999999</v>
      </c>
      <c r="V213">
        <v>95.336839999999995</v>
      </c>
      <c r="W213">
        <v>918.03862000000004</v>
      </c>
      <c r="X213">
        <v>36916.858419999997</v>
      </c>
      <c r="Y213">
        <v>2960.36031</v>
      </c>
      <c r="Z213">
        <v>496.82866999999999</v>
      </c>
      <c r="AA213">
        <v>327</v>
      </c>
      <c r="AB213">
        <v>164.71369999999999</v>
      </c>
    </row>
    <row r="214" spans="18:28">
      <c r="R214">
        <v>442.8</v>
      </c>
      <c r="S214">
        <v>17211.029350000001</v>
      </c>
      <c r="T214">
        <v>193.53372999999999</v>
      </c>
      <c r="U214">
        <v>51.112430000000003</v>
      </c>
      <c r="V214">
        <v>95.336839999999995</v>
      </c>
      <c r="W214">
        <v>911.51727000000005</v>
      </c>
      <c r="X214">
        <v>36461.014179999998</v>
      </c>
      <c r="Y214">
        <v>2945.08797</v>
      </c>
      <c r="Z214">
        <v>497.16001</v>
      </c>
      <c r="AA214">
        <v>327.5</v>
      </c>
      <c r="AB214">
        <v>165.29986</v>
      </c>
    </row>
    <row r="215" spans="18:28">
      <c r="R215">
        <v>447</v>
      </c>
      <c r="S215">
        <v>17194.644240000001</v>
      </c>
      <c r="T215">
        <v>196.86488</v>
      </c>
      <c r="U215">
        <v>51.693919999999999</v>
      </c>
      <c r="V215">
        <v>91.362719999999996</v>
      </c>
      <c r="W215">
        <v>910.69289000000003</v>
      </c>
      <c r="X215">
        <v>36976.350129999999</v>
      </c>
      <c r="Y215">
        <v>2911.9442600000002</v>
      </c>
      <c r="Z215">
        <v>499.33121999999997</v>
      </c>
      <c r="AA215">
        <v>325.39999999999998</v>
      </c>
      <c r="AB215">
        <v>168.33986999999999</v>
      </c>
    </row>
    <row r="216" spans="18:28">
      <c r="R216">
        <v>443.8</v>
      </c>
      <c r="S216">
        <v>17210.44961</v>
      </c>
      <c r="T216">
        <v>191.71863999999999</v>
      </c>
      <c r="U216">
        <v>51.067189999999997</v>
      </c>
      <c r="V216">
        <v>90.093699999999998</v>
      </c>
      <c r="W216">
        <v>913.64120000000003</v>
      </c>
      <c r="X216">
        <v>36754.621209999998</v>
      </c>
      <c r="Y216">
        <v>2929.22003</v>
      </c>
      <c r="Z216">
        <v>509.10426000000001</v>
      </c>
      <c r="AA216">
        <v>328.7</v>
      </c>
      <c r="AB216">
        <v>169.67149000000001</v>
      </c>
    </row>
    <row r="217" spans="18:28">
      <c r="R217">
        <v>451.6</v>
      </c>
      <c r="S217">
        <v>17081.67555</v>
      </c>
      <c r="T217">
        <v>191.26849999999999</v>
      </c>
      <c r="U217">
        <v>50.496659999999999</v>
      </c>
      <c r="V217">
        <v>95.43347</v>
      </c>
      <c r="W217">
        <v>907.12338</v>
      </c>
      <c r="X217">
        <v>36864.946210000002</v>
      </c>
      <c r="Y217">
        <v>2888.2634200000002</v>
      </c>
      <c r="Z217">
        <v>511.91550000000001</v>
      </c>
      <c r="AA217">
        <v>334.3</v>
      </c>
      <c r="AB217">
        <v>171.10642000000001</v>
      </c>
    </row>
    <row r="218" spans="18:28">
      <c r="R218">
        <v>455.7</v>
      </c>
      <c r="S218">
        <v>16825.128140000001</v>
      </c>
      <c r="T218">
        <v>188.22014999999999</v>
      </c>
      <c r="U218">
        <v>49.884459999999997</v>
      </c>
      <c r="V218">
        <v>95.353989999999996</v>
      </c>
      <c r="W218">
        <v>906.33096</v>
      </c>
      <c r="X218">
        <v>37144.587809999997</v>
      </c>
      <c r="Y218">
        <v>2897.2138100000002</v>
      </c>
      <c r="Z218">
        <v>512.44967999999994</v>
      </c>
      <c r="AA218">
        <v>339.1</v>
      </c>
      <c r="AB218">
        <v>172.52278999999999</v>
      </c>
    </row>
    <row r="219" spans="18:28">
      <c r="R219">
        <v>456.1</v>
      </c>
      <c r="S219">
        <v>16971.870340000001</v>
      </c>
      <c r="T219">
        <v>189.32267999999999</v>
      </c>
      <c r="U219">
        <v>50.508049999999997</v>
      </c>
      <c r="V219">
        <v>94.940119999999993</v>
      </c>
      <c r="W219">
        <v>911.18278999999995</v>
      </c>
      <c r="X219">
        <v>37170.857150000003</v>
      </c>
      <c r="Y219">
        <v>2922.8442599999998</v>
      </c>
      <c r="Z219">
        <v>517.11318000000006</v>
      </c>
      <c r="AA219">
        <v>335.5</v>
      </c>
      <c r="AB219">
        <v>170.70669000000001</v>
      </c>
    </row>
    <row r="220" spans="18:28">
      <c r="R220">
        <v>452.7</v>
      </c>
      <c r="S220">
        <v>16671.882170000001</v>
      </c>
      <c r="T220">
        <v>193.50668999999999</v>
      </c>
      <c r="U220">
        <v>50.609119999999997</v>
      </c>
      <c r="V220">
        <v>94.831389999999999</v>
      </c>
      <c r="W220">
        <v>905.50279</v>
      </c>
      <c r="X220">
        <v>36985.779569999999</v>
      </c>
      <c r="Y220">
        <v>2902.0508399999999</v>
      </c>
      <c r="Z220">
        <v>517.38765000000001</v>
      </c>
      <c r="AA220">
        <v>335</v>
      </c>
      <c r="AB220">
        <v>166.54265000000001</v>
      </c>
    </row>
    <row r="221" spans="18:28">
      <c r="R221">
        <v>459</v>
      </c>
      <c r="S221">
        <v>16562.706770000001</v>
      </c>
      <c r="T221">
        <v>186.90225000000001</v>
      </c>
      <c r="U221">
        <v>50.348309999999998</v>
      </c>
      <c r="V221">
        <v>95.014709999999994</v>
      </c>
      <c r="W221">
        <v>902.85973999999999</v>
      </c>
      <c r="X221">
        <v>37290.213400000001</v>
      </c>
      <c r="Y221">
        <v>2868.6201700000001</v>
      </c>
      <c r="Z221">
        <v>519.73631999999998</v>
      </c>
      <c r="AA221">
        <v>335</v>
      </c>
      <c r="AB221">
        <v>165.11696000000001</v>
      </c>
    </row>
    <row r="222" spans="18:28">
      <c r="R222">
        <v>461.6</v>
      </c>
      <c r="S222">
        <v>16538.5229</v>
      </c>
      <c r="T222">
        <v>182.85784000000001</v>
      </c>
      <c r="U222">
        <v>50.20881</v>
      </c>
      <c r="V222">
        <v>95.549469999999999</v>
      </c>
      <c r="W222">
        <v>897.46442000000002</v>
      </c>
      <c r="X222">
        <v>37291.726719999999</v>
      </c>
      <c r="Y222">
        <v>2880.8572100000001</v>
      </c>
      <c r="Z222">
        <v>524.22194000000002</v>
      </c>
      <c r="AA222">
        <v>337.7</v>
      </c>
      <c r="AB222">
        <v>165.17084</v>
      </c>
    </row>
    <row r="223" spans="18:28">
      <c r="R223">
        <v>459.2</v>
      </c>
      <c r="S223">
        <v>16551.813969999999</v>
      </c>
      <c r="T223">
        <v>181.28437</v>
      </c>
      <c r="U223">
        <v>51.255830000000003</v>
      </c>
      <c r="V223">
        <v>98.308139999999995</v>
      </c>
      <c r="W223">
        <v>892.47149000000002</v>
      </c>
      <c r="X223">
        <v>37398.686049999997</v>
      </c>
      <c r="Y223">
        <v>2874.4358900000002</v>
      </c>
      <c r="Z223">
        <v>512.91808000000003</v>
      </c>
      <c r="AA223">
        <v>334</v>
      </c>
      <c r="AB223">
        <v>162.10500999999999</v>
      </c>
    </row>
    <row r="224" spans="18:28">
      <c r="R224">
        <v>454</v>
      </c>
      <c r="S224">
        <v>15823.13514</v>
      </c>
      <c r="T224">
        <v>182.91801000000001</v>
      </c>
      <c r="U224">
        <v>50.565080000000002</v>
      </c>
      <c r="V224">
        <v>98.308139999999995</v>
      </c>
      <c r="W224">
        <v>887.04367999999999</v>
      </c>
      <c r="X224">
        <v>36735.630259999998</v>
      </c>
      <c r="Y224">
        <v>2882.9278100000001</v>
      </c>
      <c r="Z224">
        <v>503.26254</v>
      </c>
      <c r="AA224">
        <v>330</v>
      </c>
      <c r="AB224">
        <v>160.63475</v>
      </c>
    </row>
    <row r="225" spans="18:28">
      <c r="R225">
        <v>443</v>
      </c>
      <c r="S225">
        <v>15708.94052</v>
      </c>
      <c r="T225">
        <v>175.88736</v>
      </c>
      <c r="U225">
        <v>49.061599999999999</v>
      </c>
      <c r="V225">
        <v>92.263980000000004</v>
      </c>
      <c r="W225">
        <v>881.83069999999998</v>
      </c>
      <c r="X225">
        <v>36319.530919999997</v>
      </c>
      <c r="Y225">
        <v>2826.5443799999998</v>
      </c>
      <c r="Z225">
        <v>485.49806999999998</v>
      </c>
      <c r="AA225">
        <v>327.60000000000002</v>
      </c>
      <c r="AB225">
        <v>158.41344000000001</v>
      </c>
    </row>
    <row r="226" spans="18:28">
      <c r="R226">
        <v>446.5</v>
      </c>
      <c r="S226">
        <v>15420.520780000001</v>
      </c>
      <c r="T226">
        <v>181.1481</v>
      </c>
      <c r="U226">
        <v>48.941699999999997</v>
      </c>
      <c r="V226">
        <v>93.638750000000002</v>
      </c>
      <c r="W226">
        <v>881.37433999999996</v>
      </c>
      <c r="X226">
        <v>36913.46718</v>
      </c>
      <c r="Y226">
        <v>2877.1789600000002</v>
      </c>
      <c r="Z226">
        <v>486.00617</v>
      </c>
      <c r="AA226">
        <v>329.2</v>
      </c>
      <c r="AB226">
        <v>161.85005000000001</v>
      </c>
    </row>
    <row r="227" spans="18:28">
      <c r="R227">
        <v>448.8</v>
      </c>
      <c r="S227">
        <v>15109.311519999999</v>
      </c>
      <c r="T227">
        <v>186.06549000000001</v>
      </c>
      <c r="U227">
        <v>49.18647</v>
      </c>
      <c r="V227">
        <v>92.216560000000001</v>
      </c>
      <c r="W227">
        <v>889.13999000000001</v>
      </c>
      <c r="X227">
        <v>37108.332670000003</v>
      </c>
      <c r="Y227">
        <v>2937.4101099999998</v>
      </c>
      <c r="Z227">
        <v>480.61709999999999</v>
      </c>
      <c r="AA227">
        <v>333.8</v>
      </c>
      <c r="AB227">
        <v>164.02583999999999</v>
      </c>
    </row>
    <row r="228" spans="18:28">
      <c r="R228">
        <v>451.8</v>
      </c>
      <c r="S228">
        <v>15427.73567</v>
      </c>
      <c r="T228">
        <v>175.40531999999999</v>
      </c>
      <c r="U228">
        <v>48.302950000000003</v>
      </c>
      <c r="V228">
        <v>90.729050000000001</v>
      </c>
      <c r="W228">
        <v>885.55417</v>
      </c>
      <c r="X228">
        <v>37821.248670000001</v>
      </c>
      <c r="Y228">
        <v>2935.3661999999999</v>
      </c>
      <c r="Z228">
        <v>481.96077000000002</v>
      </c>
      <c r="AA228">
        <v>337.3</v>
      </c>
      <c r="AB228">
        <v>157.90878000000001</v>
      </c>
    </row>
    <row r="229" spans="18:28">
      <c r="R229">
        <v>451.6</v>
      </c>
      <c r="S229">
        <v>15615.932280000001</v>
      </c>
      <c r="T229">
        <v>179.71189000000001</v>
      </c>
      <c r="U229">
        <v>47.033360000000002</v>
      </c>
      <c r="V229">
        <v>88.716729999999998</v>
      </c>
      <c r="W229">
        <v>889.63708999999994</v>
      </c>
      <c r="X229">
        <v>37794.765359999998</v>
      </c>
      <c r="Y229">
        <v>2976.5195399999998</v>
      </c>
      <c r="Z229">
        <v>477.66678999999999</v>
      </c>
      <c r="AA229">
        <v>348.9</v>
      </c>
      <c r="AB229">
        <v>158.7544</v>
      </c>
    </row>
    <row r="230" spans="18:28">
      <c r="R230">
        <v>453.4</v>
      </c>
      <c r="S230">
        <v>16021.04219</v>
      </c>
      <c r="T230">
        <v>187.8554</v>
      </c>
      <c r="U230">
        <v>45.600009999999997</v>
      </c>
      <c r="V230">
        <v>90.630960000000002</v>
      </c>
      <c r="W230">
        <v>899.79223999999999</v>
      </c>
      <c r="X230">
        <v>38081.443659999997</v>
      </c>
      <c r="Y230">
        <v>2956.8910500000002</v>
      </c>
      <c r="Z230">
        <v>475.95258999999999</v>
      </c>
      <c r="AA230">
        <v>348.2</v>
      </c>
      <c r="AB230">
        <v>160.41466</v>
      </c>
    </row>
    <row r="231" spans="18:28">
      <c r="R231">
        <v>458.6</v>
      </c>
      <c r="S231">
        <v>16050.337100000001</v>
      </c>
      <c r="T231">
        <v>189.09691000000001</v>
      </c>
      <c r="U231">
        <v>45.248869999999997</v>
      </c>
      <c r="V231">
        <v>91.015739999999994</v>
      </c>
      <c r="W231">
        <v>908.59144000000003</v>
      </c>
      <c r="X231">
        <v>38747.081480000001</v>
      </c>
      <c r="Y231">
        <v>2978.18498</v>
      </c>
      <c r="Z231">
        <v>478.77931999999998</v>
      </c>
      <c r="AA231">
        <v>345.6</v>
      </c>
      <c r="AB231">
        <v>164.57377</v>
      </c>
    </row>
    <row r="232" spans="18:28">
      <c r="R232">
        <v>463.2</v>
      </c>
      <c r="S232">
        <v>16058.6913</v>
      </c>
      <c r="T232">
        <v>188.21207000000001</v>
      </c>
      <c r="U232">
        <v>44.860309999999998</v>
      </c>
      <c r="V232">
        <v>92.025630000000007</v>
      </c>
      <c r="W232">
        <v>909.48683000000005</v>
      </c>
      <c r="X232">
        <v>39033.738830000002</v>
      </c>
      <c r="Y232">
        <v>3017.4879999999998</v>
      </c>
      <c r="Z232">
        <v>485.30718999999999</v>
      </c>
      <c r="AA232">
        <v>339.6</v>
      </c>
      <c r="AB232">
        <v>166.31684999999999</v>
      </c>
    </row>
    <row r="233" spans="18:28">
      <c r="R233">
        <v>465.4</v>
      </c>
      <c r="S233">
        <v>16315.417890000001</v>
      </c>
      <c r="T233">
        <v>190.04612</v>
      </c>
      <c r="U233">
        <v>44.628320000000002</v>
      </c>
      <c r="V233">
        <v>87.250079999999997</v>
      </c>
      <c r="W233">
        <v>909.95407999999998</v>
      </c>
      <c r="X233">
        <v>38902.259330000001</v>
      </c>
      <c r="Y233">
        <v>3055.7359200000001</v>
      </c>
      <c r="Z233">
        <v>483.31367999999998</v>
      </c>
      <c r="AA233">
        <v>352.6</v>
      </c>
      <c r="AB233">
        <v>167.41615999999999</v>
      </c>
    </row>
    <row r="234" spans="18:28">
      <c r="R234">
        <v>465.4</v>
      </c>
      <c r="S234">
        <v>16565.187959999999</v>
      </c>
      <c r="T234">
        <v>191.97220999999999</v>
      </c>
      <c r="U234">
        <v>45.36403</v>
      </c>
      <c r="V234">
        <v>86.530140000000003</v>
      </c>
      <c r="W234">
        <v>925.57255999999995</v>
      </c>
      <c r="X234">
        <v>39665.507519999999</v>
      </c>
      <c r="Y234">
        <v>3050.8773799999999</v>
      </c>
      <c r="Z234">
        <v>489.14479</v>
      </c>
      <c r="AA234">
        <v>350</v>
      </c>
      <c r="AB234">
        <v>167.77006</v>
      </c>
    </row>
    <row r="235" spans="18:28">
      <c r="R235">
        <v>465.5</v>
      </c>
      <c r="S235">
        <v>16804.238140000001</v>
      </c>
      <c r="T235">
        <v>190.65824000000001</v>
      </c>
      <c r="U235">
        <v>45.692839999999997</v>
      </c>
      <c r="V235">
        <v>96.622510000000005</v>
      </c>
      <c r="W235">
        <v>925.61051999999995</v>
      </c>
      <c r="X235">
        <v>40516.480049999998</v>
      </c>
      <c r="Y235">
        <v>3073.1737400000002</v>
      </c>
      <c r="Z235">
        <v>496.68934000000002</v>
      </c>
      <c r="AA235">
        <v>349.3</v>
      </c>
      <c r="AB235">
        <v>170.46571</v>
      </c>
    </row>
    <row r="236" spans="18:28">
      <c r="R236">
        <v>470.55</v>
      </c>
      <c r="S236">
        <v>16635.554810000001</v>
      </c>
      <c r="T236">
        <v>188.65295</v>
      </c>
      <c r="U236">
        <v>45.476900000000001</v>
      </c>
      <c r="V236">
        <v>95.993750000000006</v>
      </c>
      <c r="W236">
        <v>930.54444999999998</v>
      </c>
      <c r="X236">
        <v>40266.828139999998</v>
      </c>
      <c r="Y236">
        <v>2919.5141600000002</v>
      </c>
      <c r="Z236">
        <v>497.85604999999998</v>
      </c>
      <c r="AA236">
        <v>349.4</v>
      </c>
      <c r="AB236">
        <v>169.39832000000001</v>
      </c>
    </row>
    <row r="237" spans="18:28">
      <c r="R237">
        <v>462.35</v>
      </c>
      <c r="S237">
        <v>16377.49336</v>
      </c>
      <c r="T237">
        <v>185.80265</v>
      </c>
      <c r="U237">
        <v>43.775970000000001</v>
      </c>
      <c r="V237">
        <v>93.586399999999998</v>
      </c>
      <c r="W237">
        <v>926.11478999999997</v>
      </c>
      <c r="X237">
        <v>40074.5933</v>
      </c>
      <c r="Y237">
        <v>3022.0086700000002</v>
      </c>
      <c r="Z237">
        <v>491.84041000000002</v>
      </c>
      <c r="AA237">
        <v>346.5</v>
      </c>
      <c r="AB237">
        <v>168.67750000000001</v>
      </c>
    </row>
    <row r="238" spans="18:28">
      <c r="R238">
        <v>454</v>
      </c>
      <c r="S238">
        <v>16312.70318</v>
      </c>
      <c r="T238">
        <v>180.71355</v>
      </c>
      <c r="U238">
        <v>44.326009999999997</v>
      </c>
      <c r="V238">
        <v>91.825900000000004</v>
      </c>
      <c r="W238">
        <v>924.98487999999998</v>
      </c>
      <c r="X238">
        <v>39873.479350000001</v>
      </c>
      <c r="Y238">
        <v>3110.4401400000002</v>
      </c>
      <c r="Z238">
        <v>485.13929999999999</v>
      </c>
      <c r="AA238">
        <v>339.9</v>
      </c>
      <c r="AB238">
        <v>167.19798</v>
      </c>
    </row>
    <row r="239" spans="18:28">
      <c r="R239">
        <v>448.25</v>
      </c>
      <c r="S239">
        <v>16400.911520000001</v>
      </c>
      <c r="T239">
        <v>178.87434999999999</v>
      </c>
      <c r="U239">
        <v>42.216549999999998</v>
      </c>
      <c r="V239">
        <v>91.809799999999996</v>
      </c>
      <c r="W239">
        <v>926.13476000000003</v>
      </c>
      <c r="X239">
        <v>39816.670259999999</v>
      </c>
      <c r="Y239">
        <v>3128.6262299999999</v>
      </c>
      <c r="Z239">
        <v>490.44713000000002</v>
      </c>
      <c r="AA239">
        <v>343.2</v>
      </c>
      <c r="AB239">
        <v>169.81841</v>
      </c>
    </row>
    <row r="240" spans="18:28">
      <c r="R240">
        <v>438</v>
      </c>
      <c r="S240">
        <v>15705.682360000001</v>
      </c>
      <c r="T240">
        <v>178.89079000000001</v>
      </c>
      <c r="U240">
        <v>39.029310000000002</v>
      </c>
      <c r="V240">
        <v>91.483519999999999</v>
      </c>
      <c r="W240">
        <v>916.82736</v>
      </c>
      <c r="X240">
        <v>39094.773099999999</v>
      </c>
      <c r="Y240">
        <v>3043.0572699999998</v>
      </c>
      <c r="Z240">
        <v>481.79397</v>
      </c>
      <c r="AA240">
        <v>344.1</v>
      </c>
      <c r="AB240">
        <v>169.03707</v>
      </c>
    </row>
    <row r="241" spans="18:28">
      <c r="R241">
        <v>441.4</v>
      </c>
      <c r="S241">
        <v>15829.42208</v>
      </c>
      <c r="T241">
        <v>178.99303</v>
      </c>
      <c r="U241">
        <v>42.236020000000003</v>
      </c>
      <c r="V241">
        <v>93.649590000000003</v>
      </c>
      <c r="W241">
        <v>921.41413</v>
      </c>
      <c r="X241">
        <v>39335.00561</v>
      </c>
      <c r="Y241">
        <v>3162.3949600000001</v>
      </c>
      <c r="Z241">
        <v>487.53426999999999</v>
      </c>
      <c r="AA241">
        <v>355.5</v>
      </c>
      <c r="AB241">
        <v>171.88300000000001</v>
      </c>
    </row>
    <row r="242" spans="18:28">
      <c r="R242">
        <v>442.9</v>
      </c>
      <c r="S242">
        <v>16029.749169999999</v>
      </c>
      <c r="T242">
        <v>182.79760999999999</v>
      </c>
      <c r="U242">
        <v>45.223390000000002</v>
      </c>
      <c r="V242">
        <v>95.964010000000002</v>
      </c>
      <c r="W242">
        <v>930.12122999999997</v>
      </c>
      <c r="X242">
        <v>39861.260620000001</v>
      </c>
      <c r="Y242">
        <v>3146.9470200000001</v>
      </c>
      <c r="Z242">
        <v>487.53426999999999</v>
      </c>
      <c r="AA242">
        <v>353.7</v>
      </c>
      <c r="AB242">
        <v>176.78962000000001</v>
      </c>
    </row>
    <row r="243" spans="18:28">
      <c r="R243">
        <v>442.9</v>
      </c>
      <c r="S243">
        <v>16029.749169999999</v>
      </c>
      <c r="T243">
        <v>186.66343000000001</v>
      </c>
      <c r="U243">
        <v>45.223390000000002</v>
      </c>
      <c r="V243">
        <v>100.84769</v>
      </c>
      <c r="W243">
        <v>930.12122999999997</v>
      </c>
      <c r="X243">
        <v>39861.260620000001</v>
      </c>
      <c r="Y243">
        <v>3146.9470200000001</v>
      </c>
      <c r="Z243">
        <v>487.53426999999999</v>
      </c>
      <c r="AA243">
        <v>353.7</v>
      </c>
      <c r="AB243">
        <v>176.78962000000001</v>
      </c>
    </row>
    <row r="244" spans="18:28">
      <c r="R244">
        <v>447.6</v>
      </c>
      <c r="S244">
        <v>15915.23878</v>
      </c>
      <c r="T244">
        <v>181.90038999999999</v>
      </c>
      <c r="U244">
        <v>43.687460000000002</v>
      </c>
      <c r="V244">
        <v>103.30064</v>
      </c>
      <c r="W244">
        <v>924.88828999999998</v>
      </c>
      <c r="X244">
        <v>39969.630069999999</v>
      </c>
      <c r="Y244">
        <v>3196.2707500000001</v>
      </c>
      <c r="Z244">
        <v>501.97669999999999</v>
      </c>
      <c r="AA244">
        <v>350</v>
      </c>
      <c r="AB244">
        <v>180.40647000000001</v>
      </c>
    </row>
    <row r="245" spans="18:28">
      <c r="R245">
        <v>444.3</v>
      </c>
      <c r="S245">
        <v>15564.50671</v>
      </c>
      <c r="T245">
        <v>180.46791999999999</v>
      </c>
      <c r="U245">
        <v>43.154150000000001</v>
      </c>
      <c r="V245">
        <v>105.12906</v>
      </c>
      <c r="W245">
        <v>918.20432000000005</v>
      </c>
      <c r="X245">
        <v>39720.321909999999</v>
      </c>
      <c r="Y245">
        <v>3136.98047</v>
      </c>
      <c r="Z245">
        <v>502.19252999999998</v>
      </c>
      <c r="AA245">
        <v>349.5</v>
      </c>
      <c r="AB245">
        <v>181.08484000000001</v>
      </c>
    </row>
    <row r="246" spans="18:28">
      <c r="R246">
        <v>453.7</v>
      </c>
      <c r="S246">
        <v>15595.813319999999</v>
      </c>
      <c r="T246">
        <v>181.84629000000001</v>
      </c>
      <c r="U246">
        <v>44.673250000000003</v>
      </c>
      <c r="V246">
        <v>104.44878</v>
      </c>
      <c r="W246">
        <v>919.16830000000004</v>
      </c>
      <c r="X246">
        <v>39999.302179999999</v>
      </c>
      <c r="Y246">
        <v>3139.0738099999999</v>
      </c>
      <c r="Z246">
        <v>503.42799000000002</v>
      </c>
      <c r="AA246">
        <v>356</v>
      </c>
      <c r="AB246">
        <v>181.32307</v>
      </c>
    </row>
    <row r="247" spans="18:28">
      <c r="R247">
        <v>454.65</v>
      </c>
      <c r="S247">
        <v>15630.681039999999</v>
      </c>
      <c r="T247">
        <v>180.46798999999999</v>
      </c>
      <c r="U247">
        <v>43.87433</v>
      </c>
      <c r="V247">
        <v>104.44264</v>
      </c>
      <c r="W247">
        <v>918.32509000000005</v>
      </c>
      <c r="X247">
        <v>38279.189449999998</v>
      </c>
      <c r="Y247">
        <v>3178.7565399999999</v>
      </c>
      <c r="Z247">
        <v>502.46008999999998</v>
      </c>
      <c r="AA247">
        <v>352.8</v>
      </c>
      <c r="AB247">
        <v>181.92260999999999</v>
      </c>
    </row>
    <row r="248" spans="18:28">
      <c r="R248">
        <v>456</v>
      </c>
      <c r="S248">
        <v>16279.16714</v>
      </c>
      <c r="T248">
        <v>179.51076</v>
      </c>
      <c r="U248">
        <v>44.440359999999998</v>
      </c>
      <c r="V248">
        <v>107.44615</v>
      </c>
      <c r="W248">
        <v>914.41813000000002</v>
      </c>
      <c r="X248">
        <v>38515.524120000002</v>
      </c>
      <c r="Y248">
        <v>3161.9747900000002</v>
      </c>
      <c r="Z248">
        <v>500.19080000000002</v>
      </c>
      <c r="AA248">
        <v>355.3</v>
      </c>
      <c r="AB248">
        <v>182.97703000000001</v>
      </c>
    </row>
    <row r="249" spans="18:28">
      <c r="R249">
        <v>456</v>
      </c>
      <c r="S249">
        <v>16217.081819999999</v>
      </c>
      <c r="T249">
        <v>177.53551999999999</v>
      </c>
      <c r="U249">
        <v>44.49062</v>
      </c>
      <c r="V249">
        <v>110.33687999999999</v>
      </c>
      <c r="W249">
        <v>917.21339</v>
      </c>
      <c r="X249">
        <v>38317.974430000002</v>
      </c>
      <c r="Y249">
        <v>3163.9533499999998</v>
      </c>
      <c r="Z249">
        <v>497.68088</v>
      </c>
      <c r="AA249">
        <v>354.4</v>
      </c>
      <c r="AB249">
        <v>181.44874999999999</v>
      </c>
    </row>
    <row r="250" spans="18:28">
      <c r="R250">
        <v>455.1</v>
      </c>
      <c r="S250">
        <v>15863.5533</v>
      </c>
      <c r="T250">
        <v>175.09002000000001</v>
      </c>
      <c r="U250">
        <v>44.565779999999997</v>
      </c>
      <c r="V250">
        <v>111.80392999999999</v>
      </c>
      <c r="W250">
        <v>912.84505999999999</v>
      </c>
      <c r="X250">
        <v>38461.732309999999</v>
      </c>
      <c r="Y250">
        <v>3100.5153799999998</v>
      </c>
      <c r="Z250">
        <v>496.86455000000001</v>
      </c>
      <c r="AA250">
        <v>350.5</v>
      </c>
      <c r="AB250">
        <v>180.34527</v>
      </c>
    </row>
    <row r="251" spans="18:28">
      <c r="R251">
        <v>452</v>
      </c>
      <c r="S251">
        <v>15752.3392</v>
      </c>
      <c r="T251">
        <v>173.96724</v>
      </c>
      <c r="U251">
        <v>43.65063</v>
      </c>
      <c r="V251">
        <v>112.92058</v>
      </c>
      <c r="W251">
        <v>915.08112000000006</v>
      </c>
      <c r="X251">
        <v>38269.974049999997</v>
      </c>
      <c r="Y251">
        <v>3028.2173200000002</v>
      </c>
      <c r="Z251">
        <v>500.55641000000003</v>
      </c>
      <c r="AA251">
        <v>348.2</v>
      </c>
      <c r="AB251">
        <v>182.61676</v>
      </c>
    </row>
    <row r="252" spans="18:28">
      <c r="R252">
        <v>450</v>
      </c>
      <c r="S252">
        <v>15588.749449999999</v>
      </c>
      <c r="T252">
        <v>172.41005999999999</v>
      </c>
      <c r="U252">
        <v>42.570529999999998</v>
      </c>
      <c r="V252">
        <v>105.54293</v>
      </c>
      <c r="W252">
        <v>918.51316999999995</v>
      </c>
      <c r="X252">
        <v>37991.963519999998</v>
      </c>
      <c r="Y252">
        <v>2944.0042400000002</v>
      </c>
      <c r="Z252">
        <v>502.40917999999999</v>
      </c>
      <c r="AA252">
        <v>346.2</v>
      </c>
      <c r="AB252">
        <v>181.86994000000001</v>
      </c>
    </row>
    <row r="253" spans="18:28">
      <c r="R253">
        <v>453</v>
      </c>
      <c r="S253">
        <v>15683.286690000001</v>
      </c>
      <c r="T253">
        <v>169.68445</v>
      </c>
      <c r="U253">
        <v>44.05742</v>
      </c>
      <c r="V253">
        <v>104.09278999999999</v>
      </c>
      <c r="W253">
        <v>918.64399000000003</v>
      </c>
      <c r="X253">
        <v>38571.779340000001</v>
      </c>
      <c r="Y253">
        <v>3019.2671599999999</v>
      </c>
      <c r="Z253">
        <v>500.52249999999998</v>
      </c>
      <c r="AA253">
        <v>349.5</v>
      </c>
      <c r="AB253">
        <v>185.68758</v>
      </c>
    </row>
  </sheetData>
  <phoneticPr fontId="1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ontrolsH"/>
  <dimension ref="A1:M199"/>
  <sheetViews>
    <sheetView topLeftCell="A10" workbookViewId="0">
      <selection activeCell="B12" sqref="B12"/>
    </sheetView>
  </sheetViews>
  <sheetFormatPr defaultRowHeight="15"/>
  <cols>
    <col min="1" max="1" width="14.140625" style="4" customWidth="1"/>
    <col min="2" max="2" width="19.28515625" style="5" customWidth="1"/>
    <col min="3" max="3" width="12.42578125" style="5" customWidth="1"/>
    <col min="4" max="4" width="9.140625" style="5"/>
    <col min="5" max="5" width="11.42578125" style="5" customWidth="1"/>
    <col min="6" max="6" width="18.7109375" style="5" customWidth="1"/>
    <col min="7" max="7" width="17" style="5" customWidth="1"/>
    <col min="8" max="9" width="9.140625" style="5"/>
    <col min="10" max="10" width="14.140625" style="5" customWidth="1"/>
    <col min="11" max="16384" width="9.140625" style="5"/>
  </cols>
  <sheetData>
    <row r="1" spans="1:13" ht="19.5" customHeight="1">
      <c r="A1" s="14" t="s">
        <v>382</v>
      </c>
    </row>
    <row r="2" spans="1:13">
      <c r="A2" s="8" t="s">
        <v>639</v>
      </c>
      <c r="B2" s="8">
        <f>IF(ISNUMBER(FIND("EQUITY", UPPER(E2), 1)), _xll.BDP(E2, "TICKER_AND_EXCH_CODE"), E2)</f>
        <v>0</v>
      </c>
      <c r="C2" s="7"/>
      <c r="D2" s="7"/>
      <c r="E2"/>
      <c r="F2" s="43"/>
      <c r="G2" s="3"/>
    </row>
    <row r="3" spans="1:13">
      <c r="A3" s="8" t="s">
        <v>371</v>
      </c>
      <c r="B3" s="8" t="str">
        <f>IF(custBenchmark="", _xll.BDP(TICKER &amp; " EQUITY", "REL_INDEX"), custBenchmark)</f>
        <v>SPX</v>
      </c>
      <c r="C3" s="44" t="str">
        <f>IF((ED-SD)&gt;3650, "CM", IF((ED-SD)&gt;367, "CW", "CD"))</f>
        <v>CD</v>
      </c>
      <c r="D3" s="10"/>
      <c r="E3" s="57">
        <f>IF(COUNT(Indices!U10:U65536)&lt;1, 1, COUNT(Indices!U10:U65536))</f>
        <v>69</v>
      </c>
      <c r="F3" s="41">
        <f>IF(COUNT('VAL Graphs'!C11:C602)&lt;1, 1, COUNT('VAL Graphs'!C11:C602))</f>
        <v>14</v>
      </c>
      <c r="G3" s="41">
        <f>IF(COUNT('VAL Graphs'!D11:D602)&lt;1, 1, COUNT('VAL Graphs'!D11:D602))</f>
        <v>14</v>
      </c>
      <c r="H3" s="41">
        <f>IF(COUNT('VAL Graphs'!E11:E602)&lt;1, 1, COUNT('VAL Graphs'!E11:E602))</f>
        <v>13</v>
      </c>
      <c r="I3" s="59">
        <f>MAX(F3,G3,H3)</f>
        <v>14</v>
      </c>
      <c r="J3" s="39"/>
      <c r="K3" s="38" t="s">
        <v>629</v>
      </c>
      <c r="M3" s="38" t="str">
        <f>IF(Lang="English","Company In Depth Analysis Overview",IF(Lang="中文","公司深入分析概述","企業分析概要"))</f>
        <v>Company In Depth Analysis Overview</v>
      </c>
    </row>
    <row r="4" spans="1:13">
      <c r="A4" s="8" t="s">
        <v>372</v>
      </c>
      <c r="B4" s="8">
        <f>IF(IF(outSD="CD",custSD,outSD)&gt;=IF(outED="CD",custED,outED), defaultSD, IF(outSD="CD",custSD,outSD))</f>
        <v>42005</v>
      </c>
      <c r="C4" s="44" t="str">
        <f>IF((ED-SD)&gt;3650, "", IF((ED-SD)&gt;367, "", "CDR=US"))</f>
        <v>CDR=US</v>
      </c>
      <c r="D4" s="11"/>
      <c r="E4" s="55"/>
      <c r="F4" s="41"/>
      <c r="G4" s="41"/>
      <c r="H4" s="56"/>
      <c r="I4" s="56"/>
      <c r="K4" t="s">
        <v>630</v>
      </c>
      <c r="L4"/>
      <c r="M4"/>
    </row>
    <row r="5" spans="1:13">
      <c r="A5" s="8" t="s">
        <v>373</v>
      </c>
      <c r="B5" s="8">
        <f>IF(IF(outSD="CD",custSD,outSD)&gt;=IF(outED="CD",custED,outED), defaultED, IF(outED="CD",custED,outED))</f>
        <v>42107</v>
      </c>
      <c r="C5" s="44" t="str">
        <f>IF((ED-SD)&gt;3650, "DAYS=A", IF((ED-SD)&gt;367, "DAYS=A", ""))</f>
        <v/>
      </c>
      <c r="D5" s="11"/>
      <c r="E5" s="58">
        <f>IF(COUNTA(Ratings!$M$27:$M$182)&lt;1, 1, COUNTA(Ratings!$M$27:$M$182))</f>
        <v>54</v>
      </c>
      <c r="F5" s="41">
        <f>IF(COUNT('VAL Graphs'!G11:G602)&lt;1, 1, COUNT('VAL Graphs'!G11:G602))</f>
        <v>14</v>
      </c>
      <c r="G5" s="41">
        <f>IF(COUNT('VAL Graphs'!H11:H602)&lt;1, 1, COUNT('VAL Graphs'!H11:H602))</f>
        <v>14</v>
      </c>
      <c r="H5" s="41">
        <f>IF(COUNT('VAL Graphs'!I11:I602)&lt;1, 1, COUNT('VAL Graphs'!I11:I602))</f>
        <v>12</v>
      </c>
      <c r="I5" s="59">
        <f>MAX(F5,G5,H5)</f>
        <v>14</v>
      </c>
      <c r="J5" s="1"/>
      <c r="K5" s="27" t="s">
        <v>631</v>
      </c>
      <c r="L5"/>
      <c r="M5" s="27"/>
    </row>
    <row r="6" spans="1:13">
      <c r="A6" s="8" t="s">
        <v>383</v>
      </c>
      <c r="B6" s="8" t="str">
        <f>IF(Lang="English",_xll.BDP(TICKER&amp;" EQUITY","NAME"),IF(Lang="中文",_xll.BDP(TICKER&amp;" EQUITY","NAME_CHINESE_TRADITIONAL"),_xll.BDP(TICKER&amp;" EQUITY","NAME_KANJI")))</f>
        <v>APPLE INC</v>
      </c>
      <c r="C6" s="8"/>
      <c r="D6" s="8"/>
      <c r="E6" s="40"/>
      <c r="F6" s="41"/>
      <c r="G6" s="41"/>
      <c r="K6" t="s">
        <v>670</v>
      </c>
      <c r="L6"/>
    </row>
    <row r="7" spans="1:13">
      <c r="A7" s="8" t="s">
        <v>591</v>
      </c>
      <c r="B7" s="8" t="str">
        <f>_xll.BDP(TICKER &amp; " EQUITY", "CRNCY")</f>
        <v>USD</v>
      </c>
      <c r="C7" s="11"/>
      <c r="D7" s="11"/>
      <c r="E7" s="41"/>
      <c r="F7" s="41"/>
      <c r="G7" s="41"/>
      <c r="J7" s="1"/>
      <c r="K7" s="27"/>
      <c r="L7"/>
      <c r="M7" s="27"/>
    </row>
    <row r="8" spans="1:13">
      <c r="A8" s="8"/>
      <c r="B8" s="15"/>
      <c r="C8" s="11"/>
      <c r="D8" s="11"/>
      <c r="E8" s="41" t="s">
        <v>419</v>
      </c>
      <c r="F8" s="41" t="s">
        <v>418</v>
      </c>
      <c r="G8" s="52"/>
      <c r="J8" s="1"/>
      <c r="K8" s="1"/>
      <c r="L8"/>
      <c r="M8" s="1"/>
    </row>
    <row r="9" spans="1:13">
      <c r="A9" s="8" t="s">
        <v>375</v>
      </c>
      <c r="B9" s="8" t="str">
        <f>VLOOKUP(C9,B21:C200,2, FALSE)</f>
        <v>USD</v>
      </c>
      <c r="C9" s="204" t="str">
        <f>+Overview!E10</f>
        <v>Local</v>
      </c>
      <c r="D9" s="11"/>
      <c r="E9" s="1">
        <f ca="1">MIN(Chart_Price_Size)</f>
        <v>105.99</v>
      </c>
      <c r="F9" s="1">
        <f ca="1">MAX(Chart_Price_Size)</f>
        <v>133</v>
      </c>
      <c r="G9" s="52"/>
      <c r="J9" s="1"/>
      <c r="K9" s="1"/>
      <c r="L9"/>
      <c r="M9" s="1"/>
    </row>
    <row r="10" spans="1:13">
      <c r="A10" s="8" t="s">
        <v>372</v>
      </c>
      <c r="B10" s="8" t="str">
        <f>VLOOKUP(C10,F21:G31,2, FALSE)</f>
        <v>CD</v>
      </c>
      <c r="C10" s="171" t="str">
        <f>+Indices!D9</f>
        <v>Custom Date</v>
      </c>
      <c r="D10" s="11"/>
      <c r="E10" s="1">
        <f ca="1">MIN(Chart_Volume_Size)</f>
        <v>31666340</v>
      </c>
      <c r="F10" s="1">
        <f ca="1">MAX(Chart_Volume_Size)</f>
        <v>146477063</v>
      </c>
      <c r="G10" s="41"/>
      <c r="J10" s="1"/>
      <c r="K10" s="1"/>
      <c r="L10"/>
      <c r="M10" s="1"/>
    </row>
    <row r="11" spans="1:13">
      <c r="A11" s="8" t="s">
        <v>373</v>
      </c>
      <c r="B11" s="8" t="str">
        <f>VLOOKUP(C11,F21:G31,2, FALSE)</f>
        <v>CD</v>
      </c>
      <c r="C11" s="171" t="str">
        <f>+Indices!$D$10</f>
        <v>Custom Date</v>
      </c>
      <c r="D11" s="11"/>
      <c r="E11" s="45">
        <f>MIN(Indices!Q10:S64912)</f>
        <v>96.81615003401032</v>
      </c>
      <c r="F11" s="45">
        <f>MAX(Indices!Q10:S64912)</f>
        <v>121.65005030641179</v>
      </c>
      <c r="J11" s="1"/>
      <c r="K11" s="1"/>
      <c r="L11"/>
      <c r="M11" s="1"/>
    </row>
    <row r="12" spans="1:13">
      <c r="A12" s="8" t="s">
        <v>377</v>
      </c>
      <c r="B12" s="13" t="str">
        <f>VLOOKUP(C12,E38:G39,3, FALSE)</f>
        <v>BLMPEERS</v>
      </c>
      <c r="C12" s="8">
        <v>1</v>
      </c>
      <c r="D12" s="8"/>
      <c r="E12" s="45"/>
      <c r="F12" s="45"/>
      <c r="J12" s="1"/>
      <c r="K12" s="1"/>
      <c r="L12"/>
      <c r="M12" s="1"/>
    </row>
    <row r="13" spans="1:13">
      <c r="A13" s="3" t="s">
        <v>376</v>
      </c>
      <c r="B13" s="13" t="str">
        <f>VLOOKUP(C13,E35:G36,2, FALSE)</f>
        <v>Equal Weight</v>
      </c>
      <c r="C13" s="172">
        <v>1</v>
      </c>
      <c r="D13" s="12"/>
      <c r="E13" s="45"/>
      <c r="F13" s="45"/>
      <c r="J13" s="1"/>
      <c r="K13" s="1"/>
      <c r="L13"/>
      <c r="M13" s="1"/>
    </row>
    <row r="14" spans="1:13">
      <c r="A14" s="3"/>
      <c r="B14" s="16"/>
      <c r="C14" s="12"/>
      <c r="D14" s="12"/>
      <c r="E14" s="45">
        <f>MIN(DataH!AG$9:AI$600)</f>
        <v>11.275531914893616</v>
      </c>
      <c r="F14" s="45">
        <f>MAX(DataH!AG$9:AI$600)</f>
        <v>15.106742883807748</v>
      </c>
      <c r="H14" s="45"/>
      <c r="I14" s="45"/>
      <c r="J14" s="1"/>
      <c r="K14" s="1"/>
      <c r="L14"/>
      <c r="M14" s="1"/>
    </row>
    <row r="15" spans="1:13">
      <c r="A15" s="3" t="s">
        <v>605</v>
      </c>
      <c r="B15" s="13" t="str">
        <f>_xll.BDP(TICKER &amp; " EQUITY", "EQY_FUND_TICKER")</f>
        <v>AAPL US</v>
      </c>
      <c r="C15" s="12"/>
      <c r="D15" s="12"/>
      <c r="E15" s="45">
        <f>MIN(DataH!AJ$9:AL$600)</f>
        <v>5.7520842275613715</v>
      </c>
      <c r="F15" s="45">
        <f>MAX(DataH!AJ$9:AL$600)</f>
        <v>7.9972420216735003</v>
      </c>
      <c r="H15" s="8"/>
      <c r="I15" s="45"/>
      <c r="J15" s="1"/>
      <c r="K15" s="1"/>
      <c r="M15" s="1"/>
    </row>
    <row r="16" spans="1:13">
      <c r="A16" s="3"/>
      <c r="B16" s="12"/>
      <c r="C16" s="12"/>
      <c r="D16" s="12"/>
      <c r="E16" s="45"/>
      <c r="F16" s="45"/>
      <c r="H16" s="39"/>
    </row>
    <row r="17" spans="1:12">
      <c r="A17" s="52" t="str">
        <f>IF(Lang="日本語",UPPER(TICKER)&amp;" 価格対同業他社とベンチマーク（標準化）",UPPER(TICKER)&amp;" Price versus Peers &amp; Benchmark (Normalized)")</f>
        <v>AAPL US Price versus Peers &amp; Benchmark (Normalized)</v>
      </c>
      <c r="B17" s="12"/>
      <c r="C17" s="12"/>
      <c r="D17" s="12"/>
      <c r="E17" s="45"/>
      <c r="F17" s="45"/>
    </row>
    <row r="18" spans="1:12">
      <c r="A18" s="52" t="str">
        <f>IF(Lang="日本語",UPPER(TICKER)&amp;"価格・取引高グラフ",UPPER(TICKER)&amp;" Price Volume Graph")</f>
        <v>AAPL US Price Volume Graph</v>
      </c>
      <c r="B18" s="12"/>
      <c r="C18" s="12"/>
      <c r="D18" s="12"/>
      <c r="E18" s="45"/>
      <c r="F18" s="45"/>
    </row>
    <row r="19" spans="1:12">
      <c r="A19" s="13"/>
      <c r="B19" s="12"/>
      <c r="C19" s="12"/>
      <c r="D19" s="12"/>
      <c r="E19" s="45"/>
      <c r="F19" s="45"/>
    </row>
    <row r="20" spans="1:12">
      <c r="A20" s="3" t="s">
        <v>374</v>
      </c>
      <c r="B20" s="12"/>
      <c r="C20" s="12"/>
      <c r="D20" s="12" t="str">
        <f>TEXT(YEAR(ControlsH!G20)*10000+MONTH(ControlsH!G20)*100+DAY(ControlsH!G20), "00000000")</f>
        <v>20150824</v>
      </c>
      <c r="E20" s="12" t="s">
        <v>370</v>
      </c>
      <c r="F20" s="12"/>
      <c r="G20" s="65">
        <f>_xll.BToday()</f>
        <v>42240</v>
      </c>
      <c r="H20" t="s">
        <v>525</v>
      </c>
      <c r="J20" t="s">
        <v>384</v>
      </c>
      <c r="K20"/>
      <c r="L20" t="s">
        <v>526</v>
      </c>
    </row>
    <row r="21" spans="1:12">
      <c r="A21" s="8">
        <v>1</v>
      </c>
      <c r="B21" s="9" t="s">
        <v>0</v>
      </c>
      <c r="C21" s="8" t="str">
        <f>_xll.BDP(TICKER &amp; " EQUITY", "CRNCY")</f>
        <v>USD</v>
      </c>
      <c r="D21" s="12"/>
      <c r="E21" s="8">
        <v>1</v>
      </c>
      <c r="F21" s="9" t="s">
        <v>1</v>
      </c>
      <c r="G21" s="8" t="s">
        <v>2</v>
      </c>
      <c r="H21" s="5" t="str">
        <f>_xll.BDS(TICKER &amp; " EQUITY","BLOOMBERG_PEERS","StartRow=1","EndRow=30","cols=1;rows=7")</f>
        <v>005930 KS</v>
      </c>
      <c r="J21" s="39">
        <f>_xll.BDH(TICKER &amp; " EQUITY","PX_LAST",SD,ED,"FX=" &amp; CURRENCY,calCODE,dayCODE,"Per=" &amp; PERIODICITY,"cols=2;rows=69")</f>
        <v>42006</v>
      </c>
      <c r="K21" s="5">
        <v>109.33</v>
      </c>
      <c r="L21" s="5">
        <f>_xll.BDH(Benchmark &amp; " INDEX","PX_LAST",SD,ED,"Dts=H","FX=" &amp; CURRENCY,calCODE,dayCODE,"Per=" &amp; PERIODICITY,"cols=1;rows=69")</f>
        <v>2058.1999999999998</v>
      </c>
    </row>
    <row r="22" spans="1:12">
      <c r="A22" s="8">
        <v>2</v>
      </c>
      <c r="B22" s="9" t="s">
        <v>3</v>
      </c>
      <c r="C22" s="10" t="s">
        <v>4</v>
      </c>
      <c r="D22" s="12"/>
      <c r="E22" s="8">
        <v>2</v>
      </c>
      <c r="F22" s="9" t="s">
        <v>5</v>
      </c>
      <c r="G22" s="10">
        <f>TRIM($G$20)-1</f>
        <v>42239</v>
      </c>
      <c r="H22" s="5" t="s">
        <v>741</v>
      </c>
      <c r="J22" s="39">
        <v>42009</v>
      </c>
      <c r="K22" s="5">
        <v>106.25</v>
      </c>
      <c r="L22" s="5">
        <v>2020.58</v>
      </c>
    </row>
    <row r="23" spans="1:12">
      <c r="A23" s="8">
        <v>3</v>
      </c>
      <c r="B23" s="9" t="s">
        <v>6</v>
      </c>
      <c r="C23" s="11" t="s">
        <v>7</v>
      </c>
      <c r="D23" s="12" t="str">
        <f>TEXT(YEAR(ControlsH!G23)*10000+MONTH(ControlsH!G23)*100+DAY(ControlsH!G23), "00000000")</f>
        <v>20150724</v>
      </c>
      <c r="E23" s="8">
        <v>3</v>
      </c>
      <c r="F23" s="9" t="s">
        <v>8</v>
      </c>
      <c r="G23" s="10">
        <f>DATE(YEAR($G$20), MONTH($G$20)-1, DAY($G$20))</f>
        <v>42209</v>
      </c>
      <c r="H23" s="5" t="s">
        <v>742</v>
      </c>
      <c r="J23" s="39">
        <v>42010</v>
      </c>
      <c r="K23" s="5">
        <v>106.26</v>
      </c>
      <c r="L23" s="5">
        <v>2002.61</v>
      </c>
    </row>
    <row r="24" spans="1:12">
      <c r="A24" s="8">
        <v>4</v>
      </c>
      <c r="B24" s="9" t="s">
        <v>9</v>
      </c>
      <c r="C24" s="11" t="s">
        <v>10</v>
      </c>
      <c r="D24" s="12" t="str">
        <f>TEXT(YEAR(ControlsH!G24)*10000+MONTH(ControlsH!G24)*100+DAY(ControlsH!G24), "00000000")</f>
        <v>20150224</v>
      </c>
      <c r="E24" s="8">
        <v>4</v>
      </c>
      <c r="F24" s="9" t="s">
        <v>529</v>
      </c>
      <c r="G24" s="10">
        <f>DATE(YEAR($G$20), MONTH($G$20)-6, DAY($G$20))</f>
        <v>42059</v>
      </c>
      <c r="H24" s="5" t="s">
        <v>685</v>
      </c>
      <c r="J24" s="39">
        <v>42011</v>
      </c>
      <c r="K24" s="5">
        <v>107.75</v>
      </c>
      <c r="L24" s="5">
        <v>2025.9</v>
      </c>
    </row>
    <row r="25" spans="1:12">
      <c r="A25" s="8">
        <v>5</v>
      </c>
      <c r="B25" s="9" t="s">
        <v>11</v>
      </c>
      <c r="C25" s="8" t="s">
        <v>12</v>
      </c>
      <c r="D25" s="12" t="str">
        <f>TEXT(YEAR(ControlsH!G25)*10000+MONTH(ControlsH!G25)*100+DAY(ControlsH!G25), "00000000")</f>
        <v>20150101</v>
      </c>
      <c r="E25" s="8">
        <v>5</v>
      </c>
      <c r="F25" s="9" t="s">
        <v>16</v>
      </c>
      <c r="G25" s="67">
        <f>DATE(YEAR($G$20), 1, 1)</f>
        <v>42005</v>
      </c>
      <c r="H25" s="5" t="s">
        <v>743</v>
      </c>
      <c r="J25" s="39">
        <v>42012</v>
      </c>
      <c r="K25" s="5">
        <v>111.89</v>
      </c>
      <c r="L25" s="5">
        <v>2062.14</v>
      </c>
    </row>
    <row r="26" spans="1:12">
      <c r="A26" s="8">
        <v>6</v>
      </c>
      <c r="B26" s="9" t="s">
        <v>14</v>
      </c>
      <c r="C26" s="11" t="s">
        <v>15</v>
      </c>
      <c r="D26" s="12" t="str">
        <f>TEXT(YEAR(ControlsH!G26)*10000+MONTH(ControlsH!G26)*100+DAY(ControlsH!G26), "00000000")</f>
        <v>20140824</v>
      </c>
      <c r="E26" s="8">
        <v>6</v>
      </c>
      <c r="F26" s="9" t="s">
        <v>13</v>
      </c>
      <c r="G26" s="10">
        <f>DATE(YEAR($G$20)-1, MONTH($G$20), DAY($G$20))</f>
        <v>41875</v>
      </c>
      <c r="H26" s="5" t="s">
        <v>744</v>
      </c>
      <c r="J26" s="39">
        <v>42013</v>
      </c>
      <c r="K26" s="5">
        <v>112.01</v>
      </c>
      <c r="L26" s="5">
        <v>2044.81</v>
      </c>
    </row>
    <row r="27" spans="1:12">
      <c r="A27" s="8">
        <v>7</v>
      </c>
      <c r="B27" s="9" t="s">
        <v>17</v>
      </c>
      <c r="C27" s="11" t="s">
        <v>18</v>
      </c>
      <c r="D27" s="12"/>
      <c r="E27" s="8">
        <v>7</v>
      </c>
      <c r="F27" s="9" t="s">
        <v>19</v>
      </c>
      <c r="G27" s="10">
        <f>DATE(YEAR($G$20)-2, MONTH($G$20), DAY($G$20))</f>
        <v>41510</v>
      </c>
      <c r="H27" s="5" t="s">
        <v>745</v>
      </c>
      <c r="J27" s="39">
        <v>42016</v>
      </c>
      <c r="K27" s="5">
        <v>109.25</v>
      </c>
      <c r="L27" s="5">
        <v>2028.26</v>
      </c>
    </row>
    <row r="28" spans="1:12">
      <c r="A28" s="8">
        <v>8</v>
      </c>
      <c r="B28" s="9" t="s">
        <v>20</v>
      </c>
      <c r="C28" s="11" t="s">
        <v>21</v>
      </c>
      <c r="D28" s="12"/>
      <c r="E28" s="8">
        <v>8</v>
      </c>
      <c r="F28" s="9" t="s">
        <v>22</v>
      </c>
      <c r="G28" s="10">
        <f>DATE(YEAR($G$20)-3, MONTH($G$20), DAY($G$20))</f>
        <v>41145</v>
      </c>
      <c r="J28" s="39">
        <v>42017</v>
      </c>
      <c r="K28" s="5">
        <v>110.22</v>
      </c>
      <c r="L28" s="5">
        <v>2023.03</v>
      </c>
    </row>
    <row r="29" spans="1:12">
      <c r="A29" s="8">
        <v>9</v>
      </c>
      <c r="B29" s="9" t="s">
        <v>23</v>
      </c>
      <c r="C29" s="11" t="s">
        <v>24</v>
      </c>
      <c r="D29" s="12"/>
      <c r="E29" s="8">
        <v>9</v>
      </c>
      <c r="F29" s="9" t="s">
        <v>25</v>
      </c>
      <c r="G29" s="10">
        <f>DATE(YEAR($G$20)-4, MONTH($G$20), DAY($G$20))</f>
        <v>40779</v>
      </c>
      <c r="J29" s="39">
        <v>42018</v>
      </c>
      <c r="K29" s="5">
        <v>109.8</v>
      </c>
      <c r="L29" s="5">
        <v>2011.27</v>
      </c>
    </row>
    <row r="30" spans="1:12">
      <c r="A30" s="8">
        <v>10</v>
      </c>
      <c r="B30" s="9" t="s">
        <v>26</v>
      </c>
      <c r="C30" s="11" t="s">
        <v>27</v>
      </c>
      <c r="D30" s="12"/>
      <c r="E30" s="8">
        <v>10</v>
      </c>
      <c r="F30" s="9" t="s">
        <v>28</v>
      </c>
      <c r="G30" s="10">
        <f>DATE(YEAR($G$20)-5, MONTH($G$20), DAY($G$20))</f>
        <v>40414</v>
      </c>
      <c r="J30" s="39">
        <v>42019</v>
      </c>
      <c r="K30" s="5">
        <v>106.82</v>
      </c>
      <c r="L30" s="5">
        <v>1992.67</v>
      </c>
    </row>
    <row r="31" spans="1:12">
      <c r="A31" s="8">
        <v>11</v>
      </c>
      <c r="B31" s="9" t="s">
        <v>29</v>
      </c>
      <c r="C31" s="8" t="s">
        <v>30</v>
      </c>
      <c r="D31" s="12"/>
      <c r="E31" s="8">
        <v>11</v>
      </c>
      <c r="F31" s="9" t="s">
        <v>528</v>
      </c>
      <c r="G31" s="10">
        <f>DATE(YEAR($G$20)-10, MONTH($G$20), DAY($G$20))</f>
        <v>38588</v>
      </c>
      <c r="J31" s="39">
        <v>42020</v>
      </c>
      <c r="K31" s="5">
        <v>105.99</v>
      </c>
      <c r="L31" s="5">
        <v>2019.42</v>
      </c>
    </row>
    <row r="32" spans="1:12">
      <c r="A32" s="13">
        <v>12</v>
      </c>
      <c r="B32" s="12" t="s">
        <v>31</v>
      </c>
      <c r="C32" s="12" t="s">
        <v>32</v>
      </c>
      <c r="D32" s="12"/>
      <c r="E32" s="8">
        <v>12</v>
      </c>
      <c r="F32" s="9" t="s">
        <v>33</v>
      </c>
      <c r="G32" s="4">
        <f>DATEVALUE(G33)*1</f>
        <v>29567</v>
      </c>
      <c r="J32" s="39">
        <v>42024</v>
      </c>
      <c r="K32" s="5">
        <v>108.72</v>
      </c>
      <c r="L32" s="5">
        <v>2022.55</v>
      </c>
    </row>
    <row r="33" spans="1:12">
      <c r="A33" s="4">
        <v>13</v>
      </c>
      <c r="B33" s="5" t="s">
        <v>34</v>
      </c>
      <c r="C33" s="5" t="s">
        <v>35</v>
      </c>
      <c r="G33" s="5" t="str">
        <f>_xll.BDP(TICKER&amp;" EQUITY","EQY_INIT_PO_DT")</f>
        <v>12/12/1980</v>
      </c>
      <c r="J33" s="39">
        <v>42025</v>
      </c>
      <c r="K33" s="5">
        <v>109.55</v>
      </c>
      <c r="L33" s="5">
        <v>2032.12</v>
      </c>
    </row>
    <row r="34" spans="1:12">
      <c r="A34" s="4">
        <v>14</v>
      </c>
      <c r="B34" s="5" t="s">
        <v>36</v>
      </c>
      <c r="C34" s="5" t="s">
        <v>37</v>
      </c>
      <c r="F34" s="166">
        <f>+Indices!G11</f>
        <v>0</v>
      </c>
      <c r="J34" s="39">
        <v>42026</v>
      </c>
      <c r="K34" s="5">
        <v>112.4</v>
      </c>
      <c r="L34" s="5">
        <v>2063.15</v>
      </c>
    </row>
    <row r="35" spans="1:12">
      <c r="A35" s="4">
        <v>15</v>
      </c>
      <c r="B35" s="5" t="s">
        <v>38</v>
      </c>
      <c r="C35" s="5" t="s">
        <v>39</v>
      </c>
      <c r="E35" s="4">
        <v>1</v>
      </c>
      <c r="F35" t="s">
        <v>437</v>
      </c>
      <c r="G35" s="5" t="s">
        <v>363</v>
      </c>
      <c r="J35" s="39">
        <v>42027</v>
      </c>
      <c r="K35" s="5">
        <v>112.98</v>
      </c>
      <c r="L35" s="5">
        <v>2051.8200000000002</v>
      </c>
    </row>
    <row r="36" spans="1:12">
      <c r="A36" s="4">
        <v>16</v>
      </c>
      <c r="B36" s="5" t="s">
        <v>40</v>
      </c>
      <c r="C36" s="5" t="s">
        <v>41</v>
      </c>
      <c r="E36" s="4">
        <v>2</v>
      </c>
      <c r="F36" t="s">
        <v>436</v>
      </c>
      <c r="G36" s="5" t="s">
        <v>364</v>
      </c>
      <c r="J36" s="39">
        <v>42030</v>
      </c>
      <c r="K36" s="5">
        <v>113.1</v>
      </c>
      <c r="L36" s="5">
        <v>2057.09</v>
      </c>
    </row>
    <row r="37" spans="1:12">
      <c r="A37" s="4">
        <v>17</v>
      </c>
      <c r="B37" s="5" t="s">
        <v>42</v>
      </c>
      <c r="C37" s="5" t="s">
        <v>43</v>
      </c>
      <c r="J37" s="39">
        <v>42031</v>
      </c>
      <c r="K37" s="5">
        <v>109.14</v>
      </c>
      <c r="L37" s="5">
        <v>2029.55</v>
      </c>
    </row>
    <row r="38" spans="1:12">
      <c r="A38" s="4">
        <v>18</v>
      </c>
      <c r="B38" s="5" t="s">
        <v>44</v>
      </c>
      <c r="C38" s="5" t="s">
        <v>45</v>
      </c>
      <c r="E38" s="4">
        <v>1</v>
      </c>
      <c r="F38" t="s">
        <v>378</v>
      </c>
      <c r="G38" t="s">
        <v>380</v>
      </c>
      <c r="J38" s="39">
        <v>42032</v>
      </c>
      <c r="K38" s="5">
        <v>115.31</v>
      </c>
      <c r="L38" s="5">
        <v>2002.16</v>
      </c>
    </row>
    <row r="39" spans="1:12">
      <c r="A39" s="4">
        <v>19</v>
      </c>
      <c r="B39" s="5" t="s">
        <v>46</v>
      </c>
      <c r="C39" s="5" t="s">
        <v>47</v>
      </c>
      <c r="E39" s="4">
        <v>2</v>
      </c>
      <c r="F39" t="s">
        <v>379</v>
      </c>
      <c r="G39" t="s">
        <v>381</v>
      </c>
      <c r="J39" s="39">
        <v>42033</v>
      </c>
      <c r="K39" s="5">
        <v>118.9</v>
      </c>
      <c r="L39" s="5">
        <v>2021.25</v>
      </c>
    </row>
    <row r="40" spans="1:12">
      <c r="A40" s="4">
        <v>20</v>
      </c>
      <c r="B40" s="5" t="s">
        <v>48</v>
      </c>
      <c r="C40" s="5" t="s">
        <v>49</v>
      </c>
      <c r="J40" s="39">
        <v>42034</v>
      </c>
      <c r="K40" s="5">
        <v>117.16</v>
      </c>
      <c r="L40" s="5">
        <v>1994.99</v>
      </c>
    </row>
    <row r="41" spans="1:12">
      <c r="A41" s="4">
        <v>21</v>
      </c>
      <c r="B41" s="5" t="s">
        <v>50</v>
      </c>
      <c r="C41" s="5" t="s">
        <v>51</v>
      </c>
      <c r="J41" s="39">
        <v>42037</v>
      </c>
      <c r="K41" s="5">
        <v>118.63</v>
      </c>
      <c r="L41" s="5">
        <v>2020.85</v>
      </c>
    </row>
    <row r="42" spans="1:12">
      <c r="A42" s="4">
        <v>22</v>
      </c>
      <c r="B42" s="5" t="s">
        <v>52</v>
      </c>
      <c r="C42" s="5" t="s">
        <v>53</v>
      </c>
      <c r="J42" s="39">
        <v>42038</v>
      </c>
      <c r="K42" s="5">
        <v>118.65</v>
      </c>
      <c r="L42" s="5">
        <v>2050.0300000000002</v>
      </c>
    </row>
    <row r="43" spans="1:12">
      <c r="A43" s="4">
        <v>23</v>
      </c>
      <c r="B43" s="5" t="s">
        <v>54</v>
      </c>
      <c r="C43" s="5" t="s">
        <v>55</v>
      </c>
      <c r="J43" s="39">
        <v>42039</v>
      </c>
      <c r="K43" s="5">
        <v>119.56</v>
      </c>
      <c r="L43" s="5">
        <v>2041.51</v>
      </c>
    </row>
    <row r="44" spans="1:12">
      <c r="A44" s="4">
        <v>24</v>
      </c>
      <c r="B44" s="5" t="s">
        <v>56</v>
      </c>
      <c r="C44" s="5" t="s">
        <v>57</v>
      </c>
      <c r="J44" s="39">
        <v>42040</v>
      </c>
      <c r="K44" s="5">
        <v>119.94</v>
      </c>
      <c r="L44" s="5">
        <v>2062.52</v>
      </c>
    </row>
    <row r="45" spans="1:12">
      <c r="A45" s="4">
        <v>25</v>
      </c>
      <c r="B45" s="5" t="s">
        <v>365</v>
      </c>
      <c r="C45" s="5" t="s">
        <v>366</v>
      </c>
      <c r="J45" s="39">
        <v>42041</v>
      </c>
      <c r="K45" s="5">
        <v>118.93</v>
      </c>
      <c r="L45" s="5">
        <v>2055.4699999999998</v>
      </c>
    </row>
    <row r="46" spans="1:12">
      <c r="A46" s="4">
        <v>26</v>
      </c>
      <c r="B46" s="5" t="s">
        <v>58</v>
      </c>
      <c r="C46" s="5" t="s">
        <v>59</v>
      </c>
      <c r="J46" s="39">
        <v>42044</v>
      </c>
      <c r="K46" s="5">
        <v>119.72</v>
      </c>
      <c r="L46" s="5">
        <v>2046.74</v>
      </c>
    </row>
    <row r="47" spans="1:12">
      <c r="A47" s="4">
        <v>27</v>
      </c>
      <c r="B47" s="5" t="s">
        <v>60</v>
      </c>
      <c r="C47" s="5" t="s">
        <v>61</v>
      </c>
      <c r="J47" s="39">
        <v>42045</v>
      </c>
      <c r="K47" s="5">
        <v>122.02</v>
      </c>
      <c r="L47" s="5">
        <v>2068.59</v>
      </c>
    </row>
    <row r="48" spans="1:12">
      <c r="A48" s="4">
        <v>28</v>
      </c>
      <c r="B48" s="5" t="s">
        <v>62</v>
      </c>
      <c r="C48" s="5" t="s">
        <v>63</v>
      </c>
      <c r="J48" s="39">
        <v>42046</v>
      </c>
      <c r="K48" s="5">
        <v>124.88</v>
      </c>
      <c r="L48" s="5">
        <v>2068.5300000000002</v>
      </c>
    </row>
    <row r="49" spans="1:12">
      <c r="A49" s="4">
        <v>29</v>
      </c>
      <c r="B49" s="5" t="s">
        <v>64</v>
      </c>
      <c r="C49" s="5" t="s">
        <v>65</v>
      </c>
      <c r="J49" s="39">
        <v>42047</v>
      </c>
      <c r="K49" s="5">
        <v>126.46</v>
      </c>
      <c r="L49" s="5">
        <v>2088.48</v>
      </c>
    </row>
    <row r="50" spans="1:12">
      <c r="A50" s="4">
        <v>30</v>
      </c>
      <c r="B50" s="5" t="s">
        <v>66</v>
      </c>
      <c r="C50" s="5" t="s">
        <v>67</v>
      </c>
      <c r="J50" s="39">
        <v>42048</v>
      </c>
      <c r="K50" s="5">
        <v>127.08</v>
      </c>
      <c r="L50" s="5">
        <v>2096.9899999999998</v>
      </c>
    </row>
    <row r="51" spans="1:12">
      <c r="A51" s="4">
        <v>31</v>
      </c>
      <c r="B51" s="5" t="s">
        <v>68</v>
      </c>
      <c r="C51" s="5" t="s">
        <v>69</v>
      </c>
      <c r="J51" s="39">
        <v>42052</v>
      </c>
      <c r="K51" s="5">
        <v>127.83</v>
      </c>
      <c r="L51" s="5">
        <v>2100.34</v>
      </c>
    </row>
    <row r="52" spans="1:12">
      <c r="A52" s="4">
        <v>32</v>
      </c>
      <c r="B52" s="5" t="s">
        <v>70</v>
      </c>
      <c r="C52" s="5" t="s">
        <v>71</v>
      </c>
      <c r="J52" s="39">
        <v>42053</v>
      </c>
      <c r="K52" s="5">
        <v>128.715</v>
      </c>
      <c r="L52" s="5">
        <v>2099.6799999999998</v>
      </c>
    </row>
    <row r="53" spans="1:12">
      <c r="A53" s="4">
        <v>33</v>
      </c>
      <c r="B53" s="5" t="s">
        <v>72</v>
      </c>
      <c r="C53" s="5" t="s">
        <v>73</v>
      </c>
      <c r="J53" s="39">
        <v>42054</v>
      </c>
      <c r="K53" s="5">
        <v>128.44999999999999</v>
      </c>
      <c r="L53" s="5">
        <v>2097.4499999999998</v>
      </c>
    </row>
    <row r="54" spans="1:12">
      <c r="A54" s="4">
        <v>34</v>
      </c>
      <c r="B54" s="5" t="s">
        <v>74</v>
      </c>
      <c r="C54" s="5" t="s">
        <v>75</v>
      </c>
      <c r="J54" s="39">
        <v>42055</v>
      </c>
      <c r="K54" s="5">
        <v>129.495</v>
      </c>
      <c r="L54" s="5">
        <v>2110.3000000000002</v>
      </c>
    </row>
    <row r="55" spans="1:12">
      <c r="A55" s="4">
        <v>35</v>
      </c>
      <c r="B55" s="5" t="s">
        <v>76</v>
      </c>
      <c r="C55" s="5" t="s">
        <v>77</v>
      </c>
      <c r="J55" s="39">
        <v>42058</v>
      </c>
      <c r="K55" s="5">
        <v>133</v>
      </c>
      <c r="L55" s="5">
        <v>2109.66</v>
      </c>
    </row>
    <row r="56" spans="1:12">
      <c r="A56" s="4">
        <v>36</v>
      </c>
      <c r="B56" s="5" t="s">
        <v>78</v>
      </c>
      <c r="C56" s="5" t="s">
        <v>79</v>
      </c>
      <c r="J56" s="39">
        <v>42059</v>
      </c>
      <c r="K56" s="5">
        <v>132.16999999999999</v>
      </c>
      <c r="L56" s="5">
        <v>2115.48</v>
      </c>
    </row>
    <row r="57" spans="1:12">
      <c r="A57" s="4">
        <v>37</v>
      </c>
      <c r="B57" s="5" t="s">
        <v>80</v>
      </c>
      <c r="C57" s="5" t="s">
        <v>81</v>
      </c>
      <c r="J57" s="39">
        <v>42060</v>
      </c>
      <c r="K57" s="5">
        <v>128.79</v>
      </c>
      <c r="L57" s="5">
        <v>2113.86</v>
      </c>
    </row>
    <row r="58" spans="1:12">
      <c r="A58" s="4">
        <v>38</v>
      </c>
      <c r="B58" s="5" t="s">
        <v>82</v>
      </c>
      <c r="C58" s="5" t="s">
        <v>83</v>
      </c>
      <c r="J58" s="39">
        <v>42061</v>
      </c>
      <c r="K58" s="5">
        <v>130.41499999999999</v>
      </c>
      <c r="L58" s="5">
        <v>2110.7399999999998</v>
      </c>
    </row>
    <row r="59" spans="1:12">
      <c r="A59" s="4">
        <v>39</v>
      </c>
      <c r="B59" s="5" t="s">
        <v>84</v>
      </c>
      <c r="C59" s="5" t="s">
        <v>85</v>
      </c>
      <c r="J59" s="39">
        <v>42062</v>
      </c>
      <c r="K59" s="5">
        <v>128.46</v>
      </c>
      <c r="L59" s="5">
        <v>2104.5</v>
      </c>
    </row>
    <row r="60" spans="1:12">
      <c r="A60" s="4">
        <v>40</v>
      </c>
      <c r="B60" s="5" t="s">
        <v>86</v>
      </c>
      <c r="C60" s="5" t="s">
        <v>87</v>
      </c>
      <c r="J60" s="39">
        <v>42065</v>
      </c>
      <c r="K60" s="5">
        <v>129.09</v>
      </c>
      <c r="L60" s="5">
        <v>2117.39</v>
      </c>
    </row>
    <row r="61" spans="1:12">
      <c r="A61" s="4">
        <v>41</v>
      </c>
      <c r="B61" s="5" t="s">
        <v>88</v>
      </c>
      <c r="C61" s="5" t="s">
        <v>89</v>
      </c>
      <c r="J61" s="39">
        <v>42066</v>
      </c>
      <c r="K61" s="5">
        <v>129.36000000000001</v>
      </c>
      <c r="L61" s="5">
        <v>2107.7800000000002</v>
      </c>
    </row>
    <row r="62" spans="1:12">
      <c r="A62" s="4">
        <v>42</v>
      </c>
      <c r="B62" s="5" t="s">
        <v>90</v>
      </c>
      <c r="C62" s="5" t="s">
        <v>91</v>
      </c>
      <c r="J62" s="39">
        <v>42067</v>
      </c>
      <c r="K62" s="5">
        <v>128.54</v>
      </c>
      <c r="L62" s="5">
        <v>2098.5300000000002</v>
      </c>
    </row>
    <row r="63" spans="1:12">
      <c r="A63" s="4">
        <v>43</v>
      </c>
      <c r="B63" s="5" t="s">
        <v>92</v>
      </c>
      <c r="C63" s="5" t="s">
        <v>93</v>
      </c>
      <c r="J63" s="39">
        <v>42068</v>
      </c>
      <c r="K63" s="5">
        <v>126.41</v>
      </c>
      <c r="L63" s="5">
        <v>2101.04</v>
      </c>
    </row>
    <row r="64" spans="1:12">
      <c r="A64" s="4">
        <v>44</v>
      </c>
      <c r="B64" s="5" t="s">
        <v>94</v>
      </c>
      <c r="C64" s="5" t="s">
        <v>95</v>
      </c>
      <c r="J64" s="39">
        <v>42069</v>
      </c>
      <c r="K64" s="5">
        <v>126.6</v>
      </c>
      <c r="L64" s="5">
        <v>2071.2600000000002</v>
      </c>
    </row>
    <row r="65" spans="1:12">
      <c r="A65" s="4">
        <v>45</v>
      </c>
      <c r="B65" s="5" t="s">
        <v>96</v>
      </c>
      <c r="C65" s="5" t="s">
        <v>97</v>
      </c>
      <c r="J65" s="39">
        <v>42072</v>
      </c>
      <c r="K65" s="5">
        <v>127.14</v>
      </c>
      <c r="L65" s="5">
        <v>2079.4299999999998</v>
      </c>
    </row>
    <row r="66" spans="1:12">
      <c r="A66" s="4">
        <v>46</v>
      </c>
      <c r="B66" s="5" t="s">
        <v>98</v>
      </c>
      <c r="C66" s="5" t="s">
        <v>99</v>
      </c>
      <c r="J66" s="39">
        <v>42073</v>
      </c>
      <c r="K66" s="5">
        <v>124.51</v>
      </c>
      <c r="L66" s="5">
        <v>2044.16</v>
      </c>
    </row>
    <row r="67" spans="1:12">
      <c r="A67" s="4">
        <v>47</v>
      </c>
      <c r="B67" s="5" t="s">
        <v>100</v>
      </c>
      <c r="C67" s="5" t="s">
        <v>101</v>
      </c>
      <c r="J67" s="39">
        <v>42074</v>
      </c>
      <c r="K67" s="5">
        <v>122.24</v>
      </c>
      <c r="L67" s="5">
        <v>2040.24</v>
      </c>
    </row>
    <row r="68" spans="1:12">
      <c r="A68" s="4">
        <v>48</v>
      </c>
      <c r="B68" s="5" t="s">
        <v>102</v>
      </c>
      <c r="C68" s="5" t="s">
        <v>103</v>
      </c>
      <c r="J68" s="39">
        <v>42075</v>
      </c>
      <c r="K68" s="5">
        <v>124.45</v>
      </c>
      <c r="L68" s="5">
        <v>2065.9499999999998</v>
      </c>
    </row>
    <row r="69" spans="1:12">
      <c r="A69" s="4">
        <v>49</v>
      </c>
      <c r="B69" s="5" t="s">
        <v>104</v>
      </c>
      <c r="C69" s="5" t="s">
        <v>105</v>
      </c>
      <c r="J69" s="39">
        <v>42076</v>
      </c>
      <c r="K69" s="5">
        <v>123.59</v>
      </c>
      <c r="L69" s="5">
        <v>2053.4</v>
      </c>
    </row>
    <row r="70" spans="1:12">
      <c r="A70" s="4">
        <v>50</v>
      </c>
      <c r="B70" s="5" t="s">
        <v>106</v>
      </c>
      <c r="C70" s="5" t="s">
        <v>107</v>
      </c>
      <c r="J70" s="39">
        <v>42079</v>
      </c>
      <c r="K70" s="5">
        <v>124.95</v>
      </c>
      <c r="L70" s="5">
        <v>2081.19</v>
      </c>
    </row>
    <row r="71" spans="1:12">
      <c r="A71" s="4">
        <v>51</v>
      </c>
      <c r="B71" s="5" t="s">
        <v>108</v>
      </c>
      <c r="C71" s="5" t="s">
        <v>109</v>
      </c>
      <c r="J71" s="39">
        <v>42080</v>
      </c>
      <c r="K71" s="5">
        <v>127.04</v>
      </c>
      <c r="L71" s="5">
        <v>2074.2800000000002</v>
      </c>
    </row>
    <row r="72" spans="1:12">
      <c r="A72" s="4">
        <v>52</v>
      </c>
      <c r="B72" s="5" t="s">
        <v>110</v>
      </c>
      <c r="C72" s="5" t="s">
        <v>111</v>
      </c>
      <c r="J72" s="39">
        <v>42081</v>
      </c>
      <c r="K72" s="5">
        <v>128.47</v>
      </c>
      <c r="L72" s="5">
        <v>2099.5</v>
      </c>
    </row>
    <row r="73" spans="1:12">
      <c r="A73" s="4">
        <v>53</v>
      </c>
      <c r="B73" s="5" t="s">
        <v>112</v>
      </c>
      <c r="C73" s="5" t="s">
        <v>113</v>
      </c>
      <c r="J73" s="39">
        <v>42082</v>
      </c>
      <c r="K73" s="5">
        <v>127.495</v>
      </c>
      <c r="L73" s="5">
        <v>2089.27</v>
      </c>
    </row>
    <row r="74" spans="1:12">
      <c r="A74" s="4">
        <v>54</v>
      </c>
      <c r="B74" s="5" t="s">
        <v>114</v>
      </c>
      <c r="C74" s="5" t="s">
        <v>115</v>
      </c>
      <c r="J74" s="39">
        <v>42083</v>
      </c>
      <c r="K74" s="5">
        <v>125.9</v>
      </c>
      <c r="L74" s="5">
        <v>2108.1</v>
      </c>
    </row>
    <row r="75" spans="1:12">
      <c r="A75" s="4">
        <v>55</v>
      </c>
      <c r="B75" s="5" t="s">
        <v>116</v>
      </c>
      <c r="C75" s="5" t="s">
        <v>117</v>
      </c>
      <c r="J75" s="39">
        <v>42086</v>
      </c>
      <c r="K75" s="5">
        <v>127.21</v>
      </c>
      <c r="L75" s="5">
        <v>2104.42</v>
      </c>
    </row>
    <row r="76" spans="1:12">
      <c r="A76" s="4">
        <v>56</v>
      </c>
      <c r="B76" s="5" t="s">
        <v>118</v>
      </c>
      <c r="C76" s="5" t="s">
        <v>119</v>
      </c>
      <c r="J76" s="39">
        <v>42087</v>
      </c>
      <c r="K76" s="5">
        <v>126.69</v>
      </c>
      <c r="L76" s="5">
        <v>2091.5</v>
      </c>
    </row>
    <row r="77" spans="1:12">
      <c r="A77" s="4">
        <v>57</v>
      </c>
      <c r="B77" s="5" t="s">
        <v>120</v>
      </c>
      <c r="C77" s="5" t="s">
        <v>121</v>
      </c>
      <c r="J77" s="39">
        <v>42088</v>
      </c>
      <c r="K77" s="5">
        <v>123.38</v>
      </c>
      <c r="L77" s="5">
        <v>2061.0500000000002</v>
      </c>
    </row>
    <row r="78" spans="1:12">
      <c r="A78" s="4">
        <v>58</v>
      </c>
      <c r="B78" s="5" t="s">
        <v>122</v>
      </c>
      <c r="C78" s="5" t="s">
        <v>123</v>
      </c>
      <c r="J78" s="39">
        <v>42089</v>
      </c>
      <c r="K78" s="5">
        <v>124.24</v>
      </c>
      <c r="L78" s="5">
        <v>2056.15</v>
      </c>
    </row>
    <row r="79" spans="1:12">
      <c r="A79" s="4">
        <v>59</v>
      </c>
      <c r="B79" s="5" t="s">
        <v>124</v>
      </c>
      <c r="C79" s="5" t="s">
        <v>125</v>
      </c>
      <c r="J79" s="39">
        <v>42090</v>
      </c>
      <c r="K79" s="5">
        <v>123.25</v>
      </c>
      <c r="L79" s="5">
        <v>2061.02</v>
      </c>
    </row>
    <row r="80" spans="1:12">
      <c r="A80" s="4">
        <v>60</v>
      </c>
      <c r="B80" s="5" t="s">
        <v>126</v>
      </c>
      <c r="C80" s="5" t="s">
        <v>127</v>
      </c>
      <c r="J80" s="39">
        <v>42093</v>
      </c>
      <c r="K80" s="5">
        <v>126.37</v>
      </c>
      <c r="L80" s="5">
        <v>2086.2399999999998</v>
      </c>
    </row>
    <row r="81" spans="1:12">
      <c r="A81" s="4">
        <v>61</v>
      </c>
      <c r="B81" s="5" t="s">
        <v>128</v>
      </c>
      <c r="C81" s="5" t="s">
        <v>129</v>
      </c>
      <c r="J81" s="39">
        <v>42094</v>
      </c>
      <c r="K81" s="5">
        <v>124.43</v>
      </c>
      <c r="L81" s="5">
        <v>2067.89</v>
      </c>
    </row>
    <row r="82" spans="1:12">
      <c r="A82" s="4">
        <v>62</v>
      </c>
      <c r="B82" s="5" t="s">
        <v>130</v>
      </c>
      <c r="C82" s="5" t="s">
        <v>131</v>
      </c>
      <c r="J82" s="39">
        <v>42095</v>
      </c>
      <c r="K82" s="5">
        <v>124.25</v>
      </c>
      <c r="L82" s="5">
        <v>2059.69</v>
      </c>
    </row>
    <row r="83" spans="1:12">
      <c r="A83" s="4">
        <v>63</v>
      </c>
      <c r="B83" s="5" t="s">
        <v>132</v>
      </c>
      <c r="C83" s="5" t="s">
        <v>133</v>
      </c>
      <c r="J83" s="39">
        <v>42096</v>
      </c>
      <c r="K83" s="5">
        <v>125.32</v>
      </c>
      <c r="L83" s="5">
        <v>2066.96</v>
      </c>
    </row>
    <row r="84" spans="1:12">
      <c r="A84" s="4">
        <v>64</v>
      </c>
      <c r="B84" s="5" t="s">
        <v>134</v>
      </c>
      <c r="C84" s="5" t="s">
        <v>135</v>
      </c>
      <c r="J84" s="39">
        <v>42100</v>
      </c>
      <c r="K84" s="5">
        <v>127.35</v>
      </c>
      <c r="L84" s="5">
        <v>2080.62</v>
      </c>
    </row>
    <row r="85" spans="1:12">
      <c r="A85" s="4">
        <v>65</v>
      </c>
      <c r="B85" s="5" t="s">
        <v>136</v>
      </c>
      <c r="C85" s="5" t="s">
        <v>137</v>
      </c>
      <c r="J85" s="39">
        <v>42101</v>
      </c>
      <c r="K85" s="5">
        <v>126.01</v>
      </c>
      <c r="L85" s="5">
        <v>2076.33</v>
      </c>
    </row>
    <row r="86" spans="1:12">
      <c r="A86" s="4">
        <v>66</v>
      </c>
      <c r="B86" s="5" t="s">
        <v>138</v>
      </c>
      <c r="C86" s="5" t="s">
        <v>139</v>
      </c>
      <c r="J86" s="39">
        <v>42102</v>
      </c>
      <c r="K86" s="5">
        <v>125.6</v>
      </c>
      <c r="L86" s="5">
        <v>2081.9</v>
      </c>
    </row>
    <row r="87" spans="1:12">
      <c r="A87" s="4">
        <v>67</v>
      </c>
      <c r="B87" s="5" t="s">
        <v>140</v>
      </c>
      <c r="C87" s="5" t="s">
        <v>141</v>
      </c>
      <c r="J87" s="39">
        <v>42103</v>
      </c>
      <c r="K87" s="5">
        <v>126.56</v>
      </c>
      <c r="L87" s="5">
        <v>2091.1799999999998</v>
      </c>
    </row>
    <row r="88" spans="1:12">
      <c r="A88" s="4">
        <v>68</v>
      </c>
      <c r="B88" s="5" t="s">
        <v>142</v>
      </c>
      <c r="C88" s="5" t="s">
        <v>143</v>
      </c>
      <c r="J88" s="39">
        <v>42104</v>
      </c>
      <c r="K88" s="5">
        <v>127.1</v>
      </c>
      <c r="L88" s="5">
        <v>2102.06</v>
      </c>
    </row>
    <row r="89" spans="1:12">
      <c r="A89" s="4">
        <v>69</v>
      </c>
      <c r="B89" s="5" t="s">
        <v>144</v>
      </c>
      <c r="C89" s="5" t="s">
        <v>145</v>
      </c>
      <c r="J89" s="39">
        <v>42107</v>
      </c>
      <c r="K89" s="5">
        <v>126.85</v>
      </c>
      <c r="L89" s="5">
        <v>2092.4299999999998</v>
      </c>
    </row>
    <row r="90" spans="1:12">
      <c r="A90" s="4">
        <v>70</v>
      </c>
      <c r="B90" s="5" t="s">
        <v>146</v>
      </c>
      <c r="C90" s="5" t="s">
        <v>147</v>
      </c>
    </row>
    <row r="91" spans="1:12">
      <c r="A91" s="4">
        <v>71</v>
      </c>
      <c r="B91" s="5" t="s">
        <v>148</v>
      </c>
      <c r="C91" s="5" t="s">
        <v>149</v>
      </c>
    </row>
    <row r="92" spans="1:12">
      <c r="A92" s="4">
        <v>72</v>
      </c>
      <c r="B92" s="5" t="s">
        <v>150</v>
      </c>
      <c r="C92" s="5" t="s">
        <v>151</v>
      </c>
    </row>
    <row r="93" spans="1:12">
      <c r="A93" s="4">
        <v>73</v>
      </c>
      <c r="B93" s="5" t="s">
        <v>152</v>
      </c>
      <c r="C93" s="5" t="s">
        <v>153</v>
      </c>
    </row>
    <row r="94" spans="1:12">
      <c r="A94" s="4">
        <v>74</v>
      </c>
      <c r="B94" s="5" t="s">
        <v>154</v>
      </c>
      <c r="C94" s="5" t="s">
        <v>155</v>
      </c>
    </row>
    <row r="95" spans="1:12">
      <c r="A95" s="4">
        <v>75</v>
      </c>
      <c r="B95" s="5" t="s">
        <v>156</v>
      </c>
      <c r="C95" s="5" t="s">
        <v>157</v>
      </c>
    </row>
    <row r="96" spans="1:12">
      <c r="A96" s="4">
        <v>76</v>
      </c>
      <c r="B96" s="5" t="s">
        <v>158</v>
      </c>
      <c r="C96" s="5" t="s">
        <v>159</v>
      </c>
    </row>
    <row r="97" spans="1:3">
      <c r="A97" s="4">
        <v>77</v>
      </c>
      <c r="B97" s="5" t="s">
        <v>160</v>
      </c>
      <c r="C97" s="5" t="s">
        <v>161</v>
      </c>
    </row>
    <row r="98" spans="1:3">
      <c r="A98" s="4">
        <v>78</v>
      </c>
      <c r="B98" s="5" t="s">
        <v>162</v>
      </c>
      <c r="C98" s="5" t="s">
        <v>163</v>
      </c>
    </row>
    <row r="99" spans="1:3">
      <c r="A99" s="4">
        <v>79</v>
      </c>
      <c r="B99" s="5" t="s">
        <v>164</v>
      </c>
      <c r="C99" s="5" t="s">
        <v>165</v>
      </c>
    </row>
    <row r="100" spans="1:3">
      <c r="A100" s="4">
        <v>80</v>
      </c>
      <c r="B100" s="5" t="s">
        <v>166</v>
      </c>
      <c r="C100" s="5" t="s">
        <v>167</v>
      </c>
    </row>
    <row r="101" spans="1:3">
      <c r="A101" s="4">
        <v>81</v>
      </c>
      <c r="B101" s="5" t="s">
        <v>168</v>
      </c>
      <c r="C101" s="5" t="s">
        <v>169</v>
      </c>
    </row>
    <row r="102" spans="1:3">
      <c r="A102" s="4">
        <v>82</v>
      </c>
      <c r="B102" s="5" t="s">
        <v>170</v>
      </c>
      <c r="C102" s="5" t="s">
        <v>171</v>
      </c>
    </row>
    <row r="103" spans="1:3">
      <c r="A103" s="4">
        <v>83</v>
      </c>
      <c r="B103" s="5" t="s">
        <v>172</v>
      </c>
      <c r="C103" s="5" t="s">
        <v>173</v>
      </c>
    </row>
    <row r="104" spans="1:3">
      <c r="A104" s="4">
        <v>84</v>
      </c>
      <c r="B104" s="5" t="s">
        <v>174</v>
      </c>
      <c r="C104" s="5" t="s">
        <v>175</v>
      </c>
    </row>
    <row r="105" spans="1:3">
      <c r="A105" s="4">
        <v>85</v>
      </c>
      <c r="B105" s="5" t="s">
        <v>176</v>
      </c>
      <c r="C105" s="5" t="s">
        <v>177</v>
      </c>
    </row>
    <row r="106" spans="1:3">
      <c r="A106" s="4">
        <v>86</v>
      </c>
      <c r="B106" s="5" t="s">
        <v>178</v>
      </c>
      <c r="C106" s="5" t="s">
        <v>179</v>
      </c>
    </row>
    <row r="107" spans="1:3">
      <c r="A107" s="4">
        <v>87</v>
      </c>
      <c r="B107" s="5" t="s">
        <v>180</v>
      </c>
      <c r="C107" s="5" t="s">
        <v>181</v>
      </c>
    </row>
    <row r="108" spans="1:3">
      <c r="A108" s="4">
        <v>88</v>
      </c>
      <c r="B108" s="5" t="s">
        <v>182</v>
      </c>
      <c r="C108" s="5" t="s">
        <v>183</v>
      </c>
    </row>
    <row r="109" spans="1:3">
      <c r="A109" s="4">
        <v>89</v>
      </c>
      <c r="B109" s="5" t="s">
        <v>184</v>
      </c>
      <c r="C109" s="5" t="s">
        <v>185</v>
      </c>
    </row>
    <row r="110" spans="1:3">
      <c r="A110" s="4">
        <v>90</v>
      </c>
      <c r="B110" s="5" t="s">
        <v>186</v>
      </c>
      <c r="C110" s="5" t="s">
        <v>187</v>
      </c>
    </row>
    <row r="111" spans="1:3">
      <c r="A111" s="4">
        <v>91</v>
      </c>
      <c r="B111" s="5" t="s">
        <v>188</v>
      </c>
      <c r="C111" s="5" t="s">
        <v>189</v>
      </c>
    </row>
    <row r="112" spans="1:3">
      <c r="A112" s="4">
        <v>92</v>
      </c>
      <c r="B112" s="5" t="s">
        <v>190</v>
      </c>
      <c r="C112" s="5" t="s">
        <v>191</v>
      </c>
    </row>
    <row r="113" spans="1:3">
      <c r="A113" s="4">
        <v>93</v>
      </c>
      <c r="B113" s="5" t="s">
        <v>192</v>
      </c>
      <c r="C113" s="5" t="s">
        <v>193</v>
      </c>
    </row>
    <row r="114" spans="1:3">
      <c r="A114" s="4">
        <v>94</v>
      </c>
      <c r="B114" s="5" t="s">
        <v>194</v>
      </c>
      <c r="C114" s="5" t="s">
        <v>195</v>
      </c>
    </row>
    <row r="115" spans="1:3">
      <c r="A115" s="4">
        <v>95</v>
      </c>
      <c r="B115" s="5" t="s">
        <v>196</v>
      </c>
      <c r="C115" s="5" t="s">
        <v>197</v>
      </c>
    </row>
    <row r="116" spans="1:3">
      <c r="A116" s="4">
        <v>96</v>
      </c>
      <c r="B116" s="5" t="s">
        <v>198</v>
      </c>
      <c r="C116" s="5" t="s">
        <v>199</v>
      </c>
    </row>
    <row r="117" spans="1:3">
      <c r="A117" s="4">
        <v>97</v>
      </c>
      <c r="B117" s="5" t="s">
        <v>200</v>
      </c>
      <c r="C117" s="5" t="s">
        <v>201</v>
      </c>
    </row>
    <row r="118" spans="1:3">
      <c r="A118" s="4">
        <v>98</v>
      </c>
      <c r="B118" s="5" t="s">
        <v>202</v>
      </c>
      <c r="C118" s="5" t="s">
        <v>203</v>
      </c>
    </row>
    <row r="119" spans="1:3">
      <c r="A119" s="4">
        <v>99</v>
      </c>
      <c r="B119" s="5" t="s">
        <v>204</v>
      </c>
      <c r="C119" s="5" t="s">
        <v>205</v>
      </c>
    </row>
    <row r="120" spans="1:3">
      <c r="A120" s="4">
        <v>100</v>
      </c>
      <c r="B120" s="5" t="s">
        <v>206</v>
      </c>
      <c r="C120" s="5" t="s">
        <v>207</v>
      </c>
    </row>
    <row r="121" spans="1:3">
      <c r="A121" s="4">
        <v>101</v>
      </c>
      <c r="B121" s="5" t="s">
        <v>208</v>
      </c>
      <c r="C121" s="5" t="s">
        <v>209</v>
      </c>
    </row>
    <row r="122" spans="1:3">
      <c r="A122" s="4">
        <v>102</v>
      </c>
      <c r="B122" s="5" t="s">
        <v>210</v>
      </c>
      <c r="C122" s="5" t="s">
        <v>211</v>
      </c>
    </row>
    <row r="123" spans="1:3">
      <c r="A123" s="4">
        <v>103</v>
      </c>
      <c r="B123" s="5" t="s">
        <v>212</v>
      </c>
      <c r="C123" s="5" t="s">
        <v>213</v>
      </c>
    </row>
    <row r="124" spans="1:3">
      <c r="A124" s="4">
        <v>104</v>
      </c>
      <c r="B124" s="5" t="s">
        <v>214</v>
      </c>
      <c r="C124" s="5" t="s">
        <v>215</v>
      </c>
    </row>
    <row r="125" spans="1:3">
      <c r="A125" s="4">
        <v>105</v>
      </c>
      <c r="B125" s="5" t="s">
        <v>216</v>
      </c>
      <c r="C125" s="5" t="s">
        <v>217</v>
      </c>
    </row>
    <row r="126" spans="1:3">
      <c r="A126" s="4">
        <v>106</v>
      </c>
      <c r="B126" s="5" t="s">
        <v>218</v>
      </c>
      <c r="C126" s="5" t="s">
        <v>219</v>
      </c>
    </row>
    <row r="127" spans="1:3">
      <c r="A127" s="4">
        <v>107</v>
      </c>
      <c r="B127" s="5" t="s">
        <v>220</v>
      </c>
      <c r="C127" s="5" t="s">
        <v>221</v>
      </c>
    </row>
    <row r="128" spans="1:3">
      <c r="A128" s="4">
        <v>108</v>
      </c>
      <c r="B128" s="5" t="s">
        <v>222</v>
      </c>
      <c r="C128" s="5" t="s">
        <v>223</v>
      </c>
    </row>
    <row r="129" spans="1:3">
      <c r="A129" s="4">
        <v>109</v>
      </c>
      <c r="B129" s="5" t="s">
        <v>224</v>
      </c>
      <c r="C129" s="5" t="s">
        <v>225</v>
      </c>
    </row>
    <row r="130" spans="1:3">
      <c r="A130" s="4">
        <v>110</v>
      </c>
      <c r="B130" s="5" t="s">
        <v>226</v>
      </c>
      <c r="C130" s="5" t="s">
        <v>227</v>
      </c>
    </row>
    <row r="131" spans="1:3">
      <c r="A131" s="4">
        <v>111</v>
      </c>
      <c r="B131" s="5" t="s">
        <v>228</v>
      </c>
      <c r="C131" s="5" t="s">
        <v>229</v>
      </c>
    </row>
    <row r="132" spans="1:3">
      <c r="A132" s="4">
        <v>112</v>
      </c>
      <c r="B132" s="5" t="s">
        <v>230</v>
      </c>
      <c r="C132" s="5" t="s">
        <v>231</v>
      </c>
    </row>
    <row r="133" spans="1:3">
      <c r="A133" s="4">
        <v>113</v>
      </c>
      <c r="B133" s="5" t="s">
        <v>232</v>
      </c>
      <c r="C133" s="5" t="s">
        <v>233</v>
      </c>
    </row>
    <row r="134" spans="1:3">
      <c r="A134" s="4">
        <v>114</v>
      </c>
      <c r="B134" s="5" t="s">
        <v>234</v>
      </c>
      <c r="C134" s="5" t="s">
        <v>235</v>
      </c>
    </row>
    <row r="135" spans="1:3">
      <c r="A135" s="4">
        <v>115</v>
      </c>
      <c r="B135" s="5" t="s">
        <v>236</v>
      </c>
      <c r="C135" s="5" t="s">
        <v>237</v>
      </c>
    </row>
    <row r="136" spans="1:3">
      <c r="A136" s="4">
        <v>116</v>
      </c>
      <c r="B136" s="5" t="s">
        <v>238</v>
      </c>
      <c r="C136" s="5" t="s">
        <v>239</v>
      </c>
    </row>
    <row r="137" spans="1:3">
      <c r="A137" s="4">
        <v>117</v>
      </c>
      <c r="B137" s="5" t="s">
        <v>240</v>
      </c>
      <c r="C137" s="5" t="s">
        <v>241</v>
      </c>
    </row>
    <row r="138" spans="1:3">
      <c r="A138" s="4">
        <v>118</v>
      </c>
      <c r="B138" s="5" t="s">
        <v>242</v>
      </c>
      <c r="C138" s="5" t="s">
        <v>243</v>
      </c>
    </row>
    <row r="139" spans="1:3">
      <c r="A139" s="4">
        <v>119</v>
      </c>
      <c r="B139" s="5" t="s">
        <v>244</v>
      </c>
      <c r="C139" s="5" t="s">
        <v>245</v>
      </c>
    </row>
    <row r="140" spans="1:3">
      <c r="A140" s="4">
        <v>120</v>
      </c>
      <c r="B140" s="5" t="s">
        <v>246</v>
      </c>
      <c r="C140" s="5" t="s">
        <v>247</v>
      </c>
    </row>
    <row r="141" spans="1:3">
      <c r="A141" s="4">
        <v>56</v>
      </c>
      <c r="B141" s="5" t="s">
        <v>248</v>
      </c>
      <c r="C141" s="5" t="s">
        <v>249</v>
      </c>
    </row>
    <row r="142" spans="1:3">
      <c r="A142" s="4">
        <v>122</v>
      </c>
      <c r="B142" s="5" t="s">
        <v>250</v>
      </c>
      <c r="C142" s="5" t="s">
        <v>251</v>
      </c>
    </row>
    <row r="143" spans="1:3">
      <c r="A143" s="4">
        <v>123</v>
      </c>
      <c r="B143" s="5" t="s">
        <v>252</v>
      </c>
      <c r="C143" s="5" t="s">
        <v>253</v>
      </c>
    </row>
    <row r="144" spans="1:3">
      <c r="A144" s="4">
        <v>124</v>
      </c>
      <c r="B144" s="5" t="s">
        <v>254</v>
      </c>
      <c r="C144" s="5" t="s">
        <v>255</v>
      </c>
    </row>
    <row r="145" spans="1:3">
      <c r="A145" s="4">
        <v>125</v>
      </c>
      <c r="B145" s="5" t="s">
        <v>256</v>
      </c>
      <c r="C145" s="5" t="s">
        <v>257</v>
      </c>
    </row>
    <row r="146" spans="1:3">
      <c r="A146" s="4">
        <v>126</v>
      </c>
      <c r="B146" s="5" t="s">
        <v>258</v>
      </c>
      <c r="C146" s="5" t="s">
        <v>259</v>
      </c>
    </row>
    <row r="147" spans="1:3">
      <c r="A147" s="4">
        <v>127</v>
      </c>
      <c r="B147" s="5" t="s">
        <v>260</v>
      </c>
      <c r="C147" s="5" t="s">
        <v>261</v>
      </c>
    </row>
    <row r="148" spans="1:3">
      <c r="A148" s="4">
        <v>128</v>
      </c>
      <c r="B148" s="5" t="s">
        <v>262</v>
      </c>
      <c r="C148" s="5" t="s">
        <v>263</v>
      </c>
    </row>
    <row r="149" spans="1:3">
      <c r="A149" s="4">
        <v>129</v>
      </c>
      <c r="B149" s="5" t="s">
        <v>264</v>
      </c>
      <c r="C149" s="5" t="s">
        <v>265</v>
      </c>
    </row>
    <row r="150" spans="1:3">
      <c r="A150" s="4">
        <v>130</v>
      </c>
      <c r="B150" s="5" t="s">
        <v>266</v>
      </c>
      <c r="C150" s="5" t="s">
        <v>267</v>
      </c>
    </row>
    <row r="151" spans="1:3">
      <c r="A151" s="4">
        <v>131</v>
      </c>
      <c r="B151" s="5" t="s">
        <v>268</v>
      </c>
      <c r="C151" s="5" t="s">
        <v>269</v>
      </c>
    </row>
    <row r="152" spans="1:3">
      <c r="A152" s="4">
        <v>132</v>
      </c>
      <c r="B152" s="5" t="s">
        <v>270</v>
      </c>
      <c r="C152" s="5" t="s">
        <v>271</v>
      </c>
    </row>
    <row r="153" spans="1:3">
      <c r="A153" s="4">
        <v>133</v>
      </c>
      <c r="B153" s="5" t="s">
        <v>272</v>
      </c>
      <c r="C153" s="5" t="s">
        <v>273</v>
      </c>
    </row>
    <row r="154" spans="1:3">
      <c r="A154" s="4">
        <v>134</v>
      </c>
      <c r="B154" s="5" t="s">
        <v>274</v>
      </c>
      <c r="C154" s="5" t="s">
        <v>275</v>
      </c>
    </row>
    <row r="155" spans="1:3">
      <c r="A155" s="4">
        <v>135</v>
      </c>
      <c r="B155" s="5" t="s">
        <v>276</v>
      </c>
      <c r="C155" s="5" t="s">
        <v>277</v>
      </c>
    </row>
    <row r="156" spans="1:3">
      <c r="A156" s="4">
        <v>136</v>
      </c>
      <c r="B156" s="5" t="s">
        <v>278</v>
      </c>
      <c r="C156" s="5" t="s">
        <v>279</v>
      </c>
    </row>
    <row r="157" spans="1:3">
      <c r="A157" s="4">
        <v>137</v>
      </c>
      <c r="B157" s="5" t="s">
        <v>280</v>
      </c>
      <c r="C157" s="5" t="s">
        <v>281</v>
      </c>
    </row>
    <row r="158" spans="1:3">
      <c r="A158" s="4">
        <v>138</v>
      </c>
      <c r="B158" s="5" t="s">
        <v>282</v>
      </c>
      <c r="C158" s="5" t="s">
        <v>283</v>
      </c>
    </row>
    <row r="159" spans="1:3">
      <c r="A159" s="4">
        <v>139</v>
      </c>
      <c r="B159" s="5" t="s">
        <v>284</v>
      </c>
      <c r="C159" s="5" t="s">
        <v>285</v>
      </c>
    </row>
    <row r="160" spans="1:3">
      <c r="A160" s="4">
        <v>140</v>
      </c>
      <c r="B160" s="5" t="s">
        <v>286</v>
      </c>
      <c r="C160" s="5" t="s">
        <v>287</v>
      </c>
    </row>
    <row r="161" spans="1:3">
      <c r="A161" s="4">
        <v>141</v>
      </c>
      <c r="B161" s="5" t="s">
        <v>288</v>
      </c>
      <c r="C161" s="5" t="s">
        <v>289</v>
      </c>
    </row>
    <row r="162" spans="1:3">
      <c r="A162" s="4">
        <v>142</v>
      </c>
      <c r="B162" s="5" t="s">
        <v>290</v>
      </c>
      <c r="C162" s="5" t="s">
        <v>291</v>
      </c>
    </row>
    <row r="163" spans="1:3">
      <c r="A163" s="4">
        <v>143</v>
      </c>
      <c r="B163" s="5" t="s">
        <v>292</v>
      </c>
      <c r="C163" s="5" t="s">
        <v>293</v>
      </c>
    </row>
    <row r="164" spans="1:3">
      <c r="A164" s="4">
        <v>144</v>
      </c>
      <c r="B164" s="5" t="s">
        <v>294</v>
      </c>
      <c r="C164" s="5" t="s">
        <v>295</v>
      </c>
    </row>
    <row r="165" spans="1:3">
      <c r="A165" s="4">
        <v>145</v>
      </c>
      <c r="B165" s="5" t="s">
        <v>296</v>
      </c>
      <c r="C165" s="5" t="s">
        <v>297</v>
      </c>
    </row>
    <row r="166" spans="1:3">
      <c r="A166" s="4">
        <v>146</v>
      </c>
      <c r="B166" s="5" t="s">
        <v>298</v>
      </c>
      <c r="C166" s="5" t="s">
        <v>299</v>
      </c>
    </row>
    <row r="167" spans="1:3">
      <c r="A167" s="4">
        <v>147</v>
      </c>
      <c r="B167" s="5" t="s">
        <v>300</v>
      </c>
      <c r="C167" s="5" t="s">
        <v>301</v>
      </c>
    </row>
    <row r="168" spans="1:3">
      <c r="A168" s="4">
        <v>148</v>
      </c>
      <c r="B168" s="5" t="s">
        <v>302</v>
      </c>
      <c r="C168" s="5" t="s">
        <v>303</v>
      </c>
    </row>
    <row r="169" spans="1:3">
      <c r="A169" s="4">
        <v>149</v>
      </c>
      <c r="B169" s="5" t="s">
        <v>304</v>
      </c>
      <c r="C169" s="5" t="s">
        <v>305</v>
      </c>
    </row>
    <row r="170" spans="1:3">
      <c r="A170" s="4">
        <v>150</v>
      </c>
      <c r="B170" s="5" t="s">
        <v>306</v>
      </c>
      <c r="C170" s="5" t="s">
        <v>307</v>
      </c>
    </row>
    <row r="171" spans="1:3">
      <c r="A171" s="4">
        <v>151</v>
      </c>
      <c r="B171" s="5" t="s">
        <v>308</v>
      </c>
      <c r="C171" s="5" t="s">
        <v>309</v>
      </c>
    </row>
    <row r="172" spans="1:3">
      <c r="A172" s="4">
        <v>152</v>
      </c>
      <c r="B172" s="5" t="s">
        <v>310</v>
      </c>
      <c r="C172" s="5" t="s">
        <v>311</v>
      </c>
    </row>
    <row r="173" spans="1:3">
      <c r="A173" s="4">
        <v>153</v>
      </c>
      <c r="B173" s="5" t="s">
        <v>312</v>
      </c>
      <c r="C173" s="5" t="s">
        <v>313</v>
      </c>
    </row>
    <row r="174" spans="1:3">
      <c r="A174" s="4">
        <v>154</v>
      </c>
      <c r="B174" s="5" t="s">
        <v>314</v>
      </c>
      <c r="C174" s="5" t="s">
        <v>315</v>
      </c>
    </row>
    <row r="175" spans="1:3">
      <c r="A175" s="4">
        <v>155</v>
      </c>
      <c r="B175" s="5" t="s">
        <v>316</v>
      </c>
      <c r="C175" s="5" t="s">
        <v>317</v>
      </c>
    </row>
    <row r="176" spans="1:3">
      <c r="A176" s="4">
        <v>156</v>
      </c>
      <c r="B176" s="5" t="s">
        <v>318</v>
      </c>
      <c r="C176" s="5" t="s">
        <v>319</v>
      </c>
    </row>
    <row r="177" spans="1:3">
      <c r="A177" s="4">
        <v>157</v>
      </c>
      <c r="B177" s="5" t="s">
        <v>320</v>
      </c>
      <c r="C177" s="5" t="s">
        <v>321</v>
      </c>
    </row>
    <row r="178" spans="1:3">
      <c r="A178" s="4">
        <v>158</v>
      </c>
      <c r="B178" s="5" t="s">
        <v>322</v>
      </c>
      <c r="C178" s="5" t="s">
        <v>323</v>
      </c>
    </row>
    <row r="179" spans="1:3">
      <c r="A179" s="4">
        <v>159</v>
      </c>
      <c r="B179" s="5" t="s">
        <v>324</v>
      </c>
      <c r="C179" s="5" t="s">
        <v>325</v>
      </c>
    </row>
    <row r="180" spans="1:3">
      <c r="A180" s="4">
        <v>160</v>
      </c>
      <c r="B180" s="5" t="s">
        <v>326</v>
      </c>
      <c r="C180" s="5" t="s">
        <v>327</v>
      </c>
    </row>
    <row r="181" spans="1:3">
      <c r="A181" s="4">
        <v>161</v>
      </c>
      <c r="B181" s="5" t="s">
        <v>328</v>
      </c>
      <c r="C181" s="5" t="s">
        <v>329</v>
      </c>
    </row>
    <row r="182" spans="1:3">
      <c r="A182" s="4">
        <v>162</v>
      </c>
      <c r="B182" s="5" t="s">
        <v>330</v>
      </c>
      <c r="C182" s="5" t="s">
        <v>331</v>
      </c>
    </row>
    <row r="183" spans="1:3">
      <c r="A183" s="4">
        <v>163</v>
      </c>
      <c r="B183" s="5" t="s">
        <v>369</v>
      </c>
      <c r="C183" s="5" t="s">
        <v>332</v>
      </c>
    </row>
    <row r="184" spans="1:3">
      <c r="A184" s="4">
        <v>164</v>
      </c>
      <c r="B184" s="5" t="s">
        <v>367</v>
      </c>
      <c r="C184" s="5" t="s">
        <v>368</v>
      </c>
    </row>
    <row r="185" spans="1:3">
      <c r="A185" s="4">
        <v>165</v>
      </c>
      <c r="B185" s="5" t="s">
        <v>333</v>
      </c>
      <c r="C185" s="5" t="s">
        <v>334</v>
      </c>
    </row>
    <row r="186" spans="1:3">
      <c r="A186" s="4">
        <v>166</v>
      </c>
      <c r="B186" s="5" t="s">
        <v>335</v>
      </c>
      <c r="C186" s="5" t="s">
        <v>336</v>
      </c>
    </row>
    <row r="187" spans="1:3">
      <c r="A187" s="4">
        <v>167</v>
      </c>
      <c r="B187" s="5" t="s">
        <v>337</v>
      </c>
      <c r="C187" s="5" t="s">
        <v>338</v>
      </c>
    </row>
    <row r="188" spans="1:3">
      <c r="A188" s="4">
        <v>168</v>
      </c>
      <c r="B188" s="5" t="s">
        <v>339</v>
      </c>
      <c r="C188" s="5" t="s">
        <v>340</v>
      </c>
    </row>
    <row r="189" spans="1:3">
      <c r="A189" s="4">
        <v>169</v>
      </c>
      <c r="B189" s="5" t="s">
        <v>341</v>
      </c>
      <c r="C189" s="5" t="s">
        <v>342</v>
      </c>
    </row>
    <row r="190" spans="1:3">
      <c r="A190" s="4">
        <v>170</v>
      </c>
      <c r="B190" s="5" t="s">
        <v>343</v>
      </c>
      <c r="C190" s="5" t="s">
        <v>344</v>
      </c>
    </row>
    <row r="191" spans="1:3">
      <c r="A191" s="4">
        <v>171</v>
      </c>
      <c r="B191" s="5" t="s">
        <v>345</v>
      </c>
      <c r="C191" s="5" t="s">
        <v>346</v>
      </c>
    </row>
    <row r="192" spans="1:3">
      <c r="A192" s="4">
        <v>172</v>
      </c>
      <c r="B192" s="5" t="s">
        <v>347</v>
      </c>
      <c r="C192" s="5" t="s">
        <v>348</v>
      </c>
    </row>
    <row r="193" spans="1:3">
      <c r="A193" s="4">
        <v>173</v>
      </c>
      <c r="B193" s="5" t="s">
        <v>349</v>
      </c>
      <c r="C193" s="5" t="s">
        <v>350</v>
      </c>
    </row>
    <row r="194" spans="1:3">
      <c r="A194" s="4">
        <v>174</v>
      </c>
      <c r="B194" s="5" t="s">
        <v>351</v>
      </c>
      <c r="C194" s="5" t="s">
        <v>352</v>
      </c>
    </row>
    <row r="195" spans="1:3">
      <c r="A195" s="4">
        <v>175</v>
      </c>
      <c r="B195" s="5" t="s">
        <v>353</v>
      </c>
      <c r="C195" s="5" t="s">
        <v>354</v>
      </c>
    </row>
    <row r="196" spans="1:3">
      <c r="A196" s="4">
        <v>176</v>
      </c>
      <c r="B196" s="5" t="s">
        <v>355</v>
      </c>
      <c r="C196" s="5" t="s">
        <v>356</v>
      </c>
    </row>
    <row r="197" spans="1:3">
      <c r="A197" s="4">
        <v>177</v>
      </c>
      <c r="B197" s="5" t="s">
        <v>357</v>
      </c>
      <c r="C197" s="5" t="s">
        <v>358</v>
      </c>
    </row>
    <row r="198" spans="1:3">
      <c r="A198" s="4">
        <v>178</v>
      </c>
      <c r="B198" s="5" t="s">
        <v>359</v>
      </c>
      <c r="C198" s="5" t="s">
        <v>360</v>
      </c>
    </row>
    <row r="199" spans="1:3">
      <c r="A199" s="4">
        <v>179</v>
      </c>
      <c r="B199" s="5" t="s">
        <v>361</v>
      </c>
      <c r="C199" s="5" t="s">
        <v>362</v>
      </c>
    </row>
  </sheetData>
  <phoneticPr fontId="1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DataH"/>
  <dimension ref="A1:DS628"/>
  <sheetViews>
    <sheetView workbookViewId="0">
      <selection activeCell="DL8" sqref="DL8:DP8"/>
    </sheetView>
  </sheetViews>
  <sheetFormatPr defaultRowHeight="15"/>
  <cols>
    <col min="1" max="1" width="21.42578125" customWidth="1"/>
    <col min="2" max="2" width="17.85546875" customWidth="1"/>
    <col min="3" max="3" width="9.7109375" bestFit="1" customWidth="1"/>
    <col min="6" max="6" width="10.7109375" bestFit="1" customWidth="1"/>
    <col min="7" max="7" width="9.7109375" bestFit="1" customWidth="1"/>
    <col min="11" max="11" width="9.7109375" bestFit="1" customWidth="1"/>
    <col min="47" max="48" width="10.7109375" bestFit="1" customWidth="1"/>
    <col min="50" max="50" width="10.7109375" bestFit="1" customWidth="1"/>
    <col min="52" max="53" width="10.7109375" bestFit="1" customWidth="1"/>
    <col min="55" max="55" width="10.7109375" bestFit="1" customWidth="1"/>
    <col min="57" max="58" width="10.7109375" bestFit="1" customWidth="1"/>
    <col min="60" max="60" width="10.7109375" bestFit="1" customWidth="1"/>
    <col min="62" max="63" width="10.7109375" bestFit="1" customWidth="1"/>
    <col min="65" max="65" width="10.7109375" bestFit="1" customWidth="1"/>
    <col min="67" max="68" width="10.7109375" bestFit="1" customWidth="1"/>
    <col min="70" max="70" width="10.7109375" bestFit="1" customWidth="1"/>
    <col min="72" max="73" width="10.7109375" bestFit="1" customWidth="1"/>
    <col min="75" max="75" width="10.7109375" bestFit="1" customWidth="1"/>
    <col min="77" max="78" width="10.7109375" bestFit="1" customWidth="1"/>
    <col min="80" max="80" width="10.7109375" bestFit="1" customWidth="1"/>
    <col min="82" max="83" width="10.7109375" bestFit="1" customWidth="1"/>
    <col min="85" max="85" width="10.7109375" bestFit="1" customWidth="1"/>
    <col min="87" max="88" width="10.7109375" bestFit="1" customWidth="1"/>
    <col min="90" max="90" width="10.7109375" bestFit="1" customWidth="1"/>
    <col min="92" max="93" width="10.7109375" bestFit="1" customWidth="1"/>
    <col min="95" max="95" width="10.7109375" bestFit="1" customWidth="1"/>
    <col min="97" max="98" width="10.7109375" bestFit="1" customWidth="1"/>
    <col min="100" max="100" width="10.7109375" bestFit="1" customWidth="1"/>
    <col min="102" max="103" width="10.7109375" bestFit="1" customWidth="1"/>
    <col min="105" max="105" width="10.7109375" bestFit="1" customWidth="1"/>
    <col min="107" max="108" width="10.7109375" bestFit="1" customWidth="1"/>
    <col min="110" max="110" width="10.7109375" bestFit="1" customWidth="1"/>
    <col min="112" max="113" width="10.7109375" bestFit="1" customWidth="1"/>
    <col min="115" max="115" width="10.7109375" bestFit="1" customWidth="1"/>
    <col min="117" max="118" width="10.7109375" bestFit="1" customWidth="1"/>
    <col min="120" max="120" width="10.7109375" bestFit="1" customWidth="1"/>
  </cols>
  <sheetData>
    <row r="1" spans="1:123" ht="18.75" customHeight="1">
      <c r="A1" s="14" t="s">
        <v>382</v>
      </c>
      <c r="DR1" t="str">
        <f>"2"&amp;VLOOKUP(DR2,DR3:DS5, 2, FALSE)</f>
        <v>2FQ</v>
      </c>
      <c r="DS1" t="str">
        <f>"3"&amp;VLOOKUP(DR2,DR3:DS5, 2, FALSE)</f>
        <v>3FQ</v>
      </c>
    </row>
    <row r="2" spans="1:123">
      <c r="A2" s="60" t="s">
        <v>620</v>
      </c>
      <c r="B2" s="61"/>
      <c r="P2" s="60" t="s">
        <v>626</v>
      </c>
      <c r="Q2" s="61"/>
      <c r="V2" t="s">
        <v>413</v>
      </c>
      <c r="W2" t="str">
        <f>$R$3</f>
        <v>PX_LAST</v>
      </c>
      <c r="X2" t="str">
        <f>$Q$3 &amp; " FY1"</f>
        <v>BEST_EPS FY1</v>
      </c>
      <c r="Y2" t="str">
        <f>$Q$3 &amp; " FY2"</f>
        <v>BEST_EPS FY2</v>
      </c>
      <c r="Z2" t="str">
        <f>$Q$3 &amp; " FY3"</f>
        <v>BEST_EPS FY3</v>
      </c>
      <c r="AA2" t="str">
        <f>$R$22</f>
        <v>CURR_ENTP_VAL</v>
      </c>
      <c r="AB2" t="str">
        <f>$Q$22 &amp; " FY1"</f>
        <v>BEST_EBITDA FY1</v>
      </c>
      <c r="AC2" t="str">
        <f>$Q$22 &amp; " FY2"</f>
        <v>BEST_EBITDA FY2</v>
      </c>
      <c r="AD2" t="str">
        <f>$Q$22 &amp; " FY3"</f>
        <v>BEST_EBITDA FY3</v>
      </c>
      <c r="AF2" t="s">
        <v>413</v>
      </c>
      <c r="AG2" t="str">
        <f>$S$3 &amp; " FY1"</f>
        <v>P/E FY1</v>
      </c>
      <c r="AH2" t="str">
        <f>$S$3 &amp; " FY2"</f>
        <v>P/E FY2</v>
      </c>
      <c r="AI2" t="str">
        <f>$S$3 &amp; " FY3"</f>
        <v>P/E FY3</v>
      </c>
      <c r="AJ2" t="str">
        <f>$S$22 &amp; " FY1"</f>
        <v>EV/EBITDA FY1</v>
      </c>
      <c r="AK2" t="str">
        <f>$S$22 &amp; " FY2"</f>
        <v>EV/EBITDA FY2</v>
      </c>
      <c r="AL2" t="str">
        <f>$S$22 &amp; " FY3"</f>
        <v>EV/EBITDA FY3</v>
      </c>
      <c r="AN2" s="60" t="s">
        <v>627</v>
      </c>
      <c r="AO2" s="61"/>
      <c r="DR2" s="168" t="str">
        <f>ESTDetailPeriod</f>
        <v>Fiscal Quarter</v>
      </c>
      <c r="DS2" t="str">
        <f>"1"&amp;VLOOKUP(DR2,DR3:DS5, 2, FALSE)</f>
        <v>1FQ</v>
      </c>
    </row>
    <row r="3" spans="1:123">
      <c r="A3" s="168" t="str">
        <f>ViewYear</f>
        <v>Last FY End</v>
      </c>
      <c r="B3" t="s">
        <v>414</v>
      </c>
      <c r="D3" s="43">
        <f>VLOOKUP(A3, A4:D10, 4, FALSE)</f>
        <v>2014</v>
      </c>
      <c r="F3" s="29" t="str">
        <f>_xll.BDS(TICKER &amp;" EQUITY","PG_REVENUE","EQY_FUND_YEAR",$D$3,"EQY_FUND_CRNCY",CURRENCY,"PRODUCT_GEO_OVERRIDE","P","PG_HIERARCHY_LEVEL=1","FUND_PER","Y","EQY_CONSOLIDATED",DataH!$D$18,"StartCol=1","EndCol=1","StartRow=1","EndRow=8","cols=1;rows=7")</f>
        <v>iPhone</v>
      </c>
      <c r="G3" s="30">
        <f>_xll.BDS(TICKER &amp;" EQUITY","PG_REVENUE","EQY_FUND_YEAR",$D$3,"EQY_FUND_CRNCY",CURRENCY,"PRODUCT_GEO_OVERRIDE","P","PG_HIERARCHY_LEVEL=1","FUND_PER","Y","EQY_CONSOLIDATED",DataH!$D$18,"StartCol=3","EndCol=3","StartRow=1","EndRow=8","cols=1;rows=7")</f>
        <v>101991</v>
      </c>
      <c r="H3" s="30" t="str">
        <f>_xll.BDS(TICKER &amp;" EQUITY","PG_REVENUE","EQY_FUND_YEAR",$D$3,"EQY_FUND_CRNCY",CURRENCY,"PRODUCT_GEO_OVERRIDE","G","PG_HIERARCHY_LEVEL=1","FUND_PER","Y","EQY_CONSOLIDATED",DataH!$D$18,"StartCol=1","EndCol=1","StartRow=1","EndRow=8","cols=1;rows=5")</f>
        <v>Americas</v>
      </c>
      <c r="I3" s="31">
        <f>_xll.BDS(TICKER &amp;" EQUITY","PG_REVENUE","EQY_FUND_YEAR",$D$3,"EQY_FUND_CRNCY",CURRENCY,"PRODUCT_GEO_OVERRIDE","G","PG_HIERARCHY_LEVEL=1","FUND_PER","Y","EQY_CONSOLIDATED",DataH!$D$18,"StartCol=3","EndCol=3","StartRow=1","EndRow=8","cols=1;rows=5")</f>
        <v>80095</v>
      </c>
      <c r="K3" s="29" t="str">
        <f>_xll.BDS(TICKER &amp;" EQUITY","PG_NET_REVENUE","EQY_FUND_YEAR",$D$3,"EQY_FUND_CRNCY",CURRENCY,"PRODUCT_GEO_OVERRIDE","P","PG_HIERARCHY_LEVEL=1","FUND_PER","Y","EQY_CONSOLIDATED",DataH!$D$18,"StartCol=1","EndCol=1","StartRow=1","EndRow=8")</f>
        <v>#N/A N/A</v>
      </c>
      <c r="L3" s="30" t="str">
        <f>_xll.BDS(TICKER &amp;" EQUITY","PG_NET_REVENUE","EQY_FUND_YEAR",$D$3,"EQY_FUND_CRNCY",CURRENCY,"PRODUCT_GEO_OVERRIDE","P","PG_HIERARCHY_LEVEL=1","FUND_PER","Y","EQY_CONSOLIDATED",DataH!$D$18,"StartCol=3","EndCol=3","StartRow=1","EndRow=8")</f>
        <v>#N/A N/A</v>
      </c>
      <c r="M3" s="30" t="str">
        <f>_xll.BDS(TICKER &amp;" EQUITY","PG_NET_REVENUE","EQY_FUND_YEAR",$D$3,"EQY_FUND_CRNCY",CURRENCY,"PRODUCT_GEO_OVERRIDE","G","PG_HIERARCHY_LEVEL=1","FUND_PER","Y","EQY_CONSOLIDATED",DataH!$D$18,"StartCol=1","EndCol=1","StartRow=1","EndRow=8")</f>
        <v>#N/A N/A</v>
      </c>
      <c r="N3" s="31" t="str">
        <f>_xll.BDS(TICKER &amp;" EQUITY","PG_NET_REVENUE","EQY_FUND_YEAR",$D$3,"EQY_FUND_CRNCY",CURRENCY,"PRODUCT_GEO_OVERRIDE","G","PG_HIERARCHY_LEVEL=1","FUND_PER","Y","EQY_CONSOLIDATED",DataH!$D$18,"StartCol=3","EndCol=3","StartRow=1","EndRow=8")</f>
        <v>#N/A N/A</v>
      </c>
      <c r="P3" s="168" t="str">
        <f>GraphValRatio1</f>
        <v>Price Earnings</v>
      </c>
      <c r="Q3" t="str">
        <f>VLOOKUP($P3, $P4:$T9, 2, FALSE)</f>
        <v>BEST_EPS</v>
      </c>
      <c r="R3" t="str">
        <f>VLOOKUP($P3, $P4:$T9, 3, FALSE)</f>
        <v>PX_LAST</v>
      </c>
      <c r="S3" t="str">
        <f>VLOOKUP($P3, $P4:$T9, 4, FALSE)</f>
        <v>P/E</v>
      </c>
      <c r="T3" t="str">
        <f>VLOOKUP($P3, $P4:$T9, 5, FALSE)</f>
        <v>Price Earnings Ratio (Rolling FY1, FY2, FY3)</v>
      </c>
      <c r="V3" s="38">
        <f>_xll.BDH(fundTICKER &amp;" EQUITY",$R$3,SD,ED,"PER=CW","SORT=D","DAYS=A","Fill=P","FX=" &amp; _xll.BDP(TICKER &amp; " EQUITY", "EQY_FUND_CRNCY"),"cols=2;rows=15")</f>
        <v>42104</v>
      </c>
      <c r="W3">
        <v>127.1</v>
      </c>
      <c r="X3" t="e">
        <f>_xll.BDH(TICKER&amp;" EQUITY",$Q$3,SD,ED,"BEST FPERIOD OVERRIDE","1GY","BEST_CONSOLIDATED_OVERRIDE",$D$19,"PER=CW","SORT=D","DAYS=A","Fill=P","DTS=H","cols=1;rows=15")</f>
        <v>#N/A</v>
      </c>
      <c r="Y3" t="e">
        <f>_xll.BDH(TICKER&amp;" EQUITY",$Q$3,SD,ED,"BEST FPERIOD OVERRIDE","2GY","BEST_CONSOLIDATED_OVERRIDE",$D$19,"PER=CW","SORT=D","DAYS=A","Fill=P","DTS=H","cols=1;rows=15")</f>
        <v>#N/A</v>
      </c>
      <c r="Z3" t="e">
        <f>_xll.BDH(TICKER&amp;" EQUITY",$Q$3,SD,ED,"BEST FPERIOD OVERRIDE","3GY","BEST_CONSOLIDATED_OVERRIDE",$D$19,"PER=CW","SORT=D","DAYS=A","Fill=P","DTS=H","cols=1;rows=15")</f>
        <v>#N/A</v>
      </c>
      <c r="AA3">
        <f>_xll.BDH(TICKER &amp;" EQUITY",$R$22,SD,ED,"PER=CW","SORT=D","DAYS=A","Fill=P","DATES=H","FX=" &amp; _xll.BDP(TICKER &amp; " EQUITY", "EQY_FUND_CRNCY"),"cols=1;rows=15")</f>
        <v>590657.47679999995</v>
      </c>
      <c r="AB3" t="e">
        <f>_xll.BDH(TICKER&amp;" EQUITY",$Q$22,SD,ED,"BEST FPERIOD OVERRIDE","1GY","BEST_CONSOLIDATED_OVERRIDE",$D$19,"PER=CW","SORT=D","DAYS=A","Fill=P","DTS=H","cols=1;rows=15")</f>
        <v>#N/A</v>
      </c>
      <c r="AC3" t="e">
        <f>_xll.BDH(TICKER&amp;" EQUITY",$Q$22,SD,ED,"BEST FPERIOD OVERRIDE","2GY","BEST_CONSOLIDATED_OVERRIDE",$D$19,"PER=CW","SORT=D","DAYS=A","Fill=P","DTS=H","cols=1;rows=15")</f>
        <v>#N/A</v>
      </c>
      <c r="AD3" t="e">
        <f>_xll.BDH(TICKER&amp;" EQUITY",$Q$22,SD,ED,"BEST FPERIOD OVERRIDE","3GY","BEST_CONSOLIDATED_OVERRIDE",$D$19,"PER=CW","SORT=D","DAYS=A","Fill=P","DTS=H","cols=1;rows=15")</f>
        <v>#N/A</v>
      </c>
      <c r="AF3" s="38">
        <f>IF($V3="", "", $V3)</f>
        <v>42104</v>
      </c>
      <c r="AG3" t="e">
        <f>IF($X3&lt;0, "NA", IF(ISERROR($W3/$X3), "", $W3/$X3))</f>
        <v>#N/A</v>
      </c>
      <c r="AH3" t="e">
        <f>IF($Y3&lt;0, "NA", IF(ISERROR($W3/$Y3), "", $W3/$Y3))</f>
        <v>#N/A</v>
      </c>
      <c r="AI3" t="e">
        <f>IF($Z3&lt;0, "NA", IF(ISERROR($W3/$Z3), "", $W3/$Z3))</f>
        <v>#N/A</v>
      </c>
      <c r="AJ3" t="e">
        <f>IF($AB3&lt;0, "NA", IF(ISERROR($AA3/$AB3), "", $AA3/$AB3))</f>
        <v>#N/A</v>
      </c>
      <c r="AK3" t="e">
        <f>IF($AC3&lt;0, "NA", IF(ISERROR($AA3/$AC3), "", $AA3/$AC3))</f>
        <v>#N/A</v>
      </c>
      <c r="AL3" t="e">
        <f>IF($AD3&lt;0, "NA", IF(ISERROR($AA3/$AD3), "", $AA3/$AD3))</f>
        <v>#N/A</v>
      </c>
      <c r="AN3" s="168" t="str">
        <f>ESTDetailBroker</f>
        <v>BEST Leading Indicator</v>
      </c>
      <c r="AO3" s="48" t="s">
        <v>617</v>
      </c>
      <c r="AQ3" s="168" t="str">
        <f>ESTDetailBroker2</f>
        <v>BEST Standard</v>
      </c>
      <c r="AR3" t="s">
        <v>617</v>
      </c>
      <c r="AT3" t="s">
        <v>617</v>
      </c>
      <c r="AU3">
        <f>_xll.BDP(TICKER &amp; " EQUITY", AT$6, "BEST_FPERIOD_OVERRIDE", EstDetPerO, "BEST_DATA_SOURCE_OVERRIDE", "BST", "EQY_FUND_CRNCY",CURRENCY, "BEST_CONSOLIDATED_OVERRIDE", $D$19)</f>
        <v>1.873</v>
      </c>
      <c r="AV3">
        <f>_xll.BDP(TICKER &amp; " EQUITY", AT$6, "BEST_FPERIOD_OVERRIDE", $DR$1, "BEST_DATA_SOURCE_OVERRIDE", "BST", "EQY_FUND_CRNCY",CURRENCY, "BEST_CONSOLIDATED_OVERRIDE", $D$19)</f>
        <v>3.1870000000000003</v>
      </c>
      <c r="AW3" t="s">
        <v>617</v>
      </c>
      <c r="AX3">
        <f>_xll.BDP(TICKER &amp; " EQUITY", AT$6, "BEST_FPERIOD_OVERRIDE", EstDetPerT, "BEST_DATA_SOURCE_OVERRIDE", "BST", "EQY_FUND_CRNCY",CURRENCY, "BEST_CONSOLIDATED_OVERRIDE", $D$19)</f>
        <v>2.4180000000000001</v>
      </c>
      <c r="AY3" t="s">
        <v>617</v>
      </c>
      <c r="AZ3">
        <f>_xll.BDP(TICKER &amp; " EQUITY", AY$6, "BEST_FPERIOD_OVERRIDE", EstDetPerO, "BEST_DATA_SOURCE_OVERRIDE", "BST", "EQY_FUND_CRNCY",CURRENCY, "BEST_CONSOLIDATED_OVERRIDE", $D$19)</f>
        <v>1.887</v>
      </c>
      <c r="BA3">
        <f>_xll.BDP(TICKER &amp; " EQUITY", AY$6, "BEST_FPERIOD_OVERRIDE", $DR$1, "BEST_DATA_SOURCE_OVERRIDE", "BST", "EQY_FUND_CRNCY",CURRENCY, "BEST_CONSOLIDATED_OVERRIDE", $D$19)</f>
        <v>3.1970000000000001</v>
      </c>
      <c r="BB3" t="s">
        <v>617</v>
      </c>
      <c r="BC3">
        <f>_xll.BDP(TICKER &amp; " EQUITY", AY$6, "BEST_FPERIOD_OVERRIDE", EstDetPerT, "BEST_DATA_SOURCE_OVERRIDE", "BST", "EQY_FUND_CRNCY",CURRENCY, "BEST_CONSOLIDATED_OVERRIDE", $D$19)</f>
        <v>2.44</v>
      </c>
      <c r="BD3" t="s">
        <v>617</v>
      </c>
      <c r="BE3">
        <f>_xll.BDP(TICKER &amp; " EQUITY", BD$6, "BEST_FPERIOD_OVERRIDE", EstDetPerO, "BEST_DATA_SOURCE_OVERRIDE", "BST", "EQY_FUND_CRNCY",CURRENCY, "BEST_CONSOLIDATED_OVERRIDE", $D$19)</f>
        <v>50906.222000000002</v>
      </c>
      <c r="BF3">
        <f>_xll.BDP(TICKER &amp; " EQUITY", BD$6, "BEST_FPERIOD_OVERRIDE", $DR$1, "BEST_DATA_SOURCE_OVERRIDE", "BST", "EQY_FUND_CRNCY",CURRENCY, "BEST_CONSOLIDATED_OVERRIDE", $D$19)</f>
        <v>76599.5</v>
      </c>
      <c r="BG3" t="s">
        <v>617</v>
      </c>
      <c r="BH3">
        <f>_xll.BDP(TICKER &amp; " EQUITY", BD$6, "BEST_FPERIOD_OVERRIDE", EstDetPerT, "BEST_DATA_SOURCE_OVERRIDE", "BST", "EQY_FUND_CRNCY",CURRENCY, "BEST_CONSOLIDATED_OVERRIDE", $D$19)</f>
        <v>60505.967000000004</v>
      </c>
      <c r="BI3" t="s">
        <v>617</v>
      </c>
      <c r="BJ3">
        <f>_xll.BDP(TICKER &amp; " EQUITY", BI$6, "BEST_FPERIOD_OVERRIDE", EstDetPerO, "BEST_DATA_SOURCE_OVERRIDE", "BST", "EQY_FUND_CRNCY",CURRENCY, "BEST_CONSOLIDATED_OVERRIDE", $D$19)</f>
        <v>14084.1</v>
      </c>
      <c r="BK3">
        <f>_xll.BDP(TICKER &amp; " EQUITY", BI$6, "BEST_FPERIOD_OVERRIDE", $DR$1, "BEST_DATA_SOURCE_OVERRIDE", "BST", "EQY_FUND_CRNCY",CURRENCY, "BEST_CONSOLIDATED_OVERRIDE", $D$19)</f>
        <v>24339.25</v>
      </c>
      <c r="BL3" t="s">
        <v>617</v>
      </c>
      <c r="BM3">
        <f>_xll.BDP(TICKER &amp; " EQUITY", BI$6, "BEST_FPERIOD_OVERRIDE", EstDetPerT, "BEST_DATA_SOURCE_OVERRIDE", "BST", "EQY_FUND_CRNCY",CURRENCY, "BEST_CONSOLIDATED_OVERRIDE", $D$19)</f>
        <v>18113.167000000001</v>
      </c>
      <c r="BN3" t="s">
        <v>617</v>
      </c>
      <c r="BO3">
        <f>_xll.BDP(TICKER &amp; " EQUITY", BN$6, "BEST_FPERIOD_OVERRIDE", EstDetPerO, "BEST_DATA_SOURCE_OVERRIDE", "BST", "EQY_FUND_CRNCY",CURRENCY, "BEST_CONSOLIDATED_OVERRIDE", $D$19)</f>
        <v>16882.143</v>
      </c>
      <c r="BP3">
        <f>_xll.BDP(TICKER &amp; " EQUITY", BN$6, "BEST_FPERIOD_OVERRIDE", $DR$1, "BEST_DATA_SOURCE_OVERRIDE", "BST", "EQY_FUND_CRNCY",CURRENCY, "BEST_CONSOLIDATED_OVERRIDE", $D$19)</f>
        <v>27325.429</v>
      </c>
      <c r="BQ3" t="s">
        <v>617</v>
      </c>
      <c r="BR3">
        <f>_xll.BDP(TICKER &amp; " EQUITY", BN$6, "BEST_FPERIOD_OVERRIDE", EstDetPerT, "BEST_DATA_SOURCE_OVERRIDE", "BST", "EQY_FUND_CRNCY",CURRENCY, "BEST_CONSOLIDATED_OVERRIDE", $D$19)</f>
        <v>21124.5</v>
      </c>
      <c r="BS3" t="s">
        <v>617</v>
      </c>
      <c r="BT3">
        <f>_xll.BDP(TICKER &amp; " EQUITY", BS$6, "BEST_FPERIOD_OVERRIDE", EstDetPerO, "BEST_DATA_SOURCE_OVERRIDE", "BST", "EQY_FUND_CRNCY",CURRENCY, "BEST_CONSOLIDATED_OVERRIDE", $D$19)</f>
        <v>14053.6</v>
      </c>
      <c r="BU3">
        <f>_xll.BDP(TICKER &amp; " EQUITY", BS$6, "BEST_FPERIOD_OVERRIDE", $DR$1, "BEST_DATA_SOURCE_OVERRIDE", "BST", "EQY_FUND_CRNCY",CURRENCY, "BEST_CONSOLIDATED_OVERRIDE", $D$19)</f>
        <v>23956.5</v>
      </c>
      <c r="BV3" t="s">
        <v>617</v>
      </c>
      <c r="BW3">
        <f>_xll.BDP(TICKER &amp; " EQUITY", BS$6, "BEST_FPERIOD_OVERRIDE", EstDetPerT, "BEST_DATA_SOURCE_OVERRIDE", "BST", "EQY_FUND_CRNCY",CURRENCY, "BEST_CONSOLIDATED_OVERRIDE", $D$19)</f>
        <v>17953</v>
      </c>
      <c r="BX3" t="s">
        <v>617</v>
      </c>
      <c r="BY3">
        <f>_xll.BDP(TICKER &amp; " EQUITY", BX$6, "BEST_FPERIOD_OVERRIDE", EstDetPerO, "BEST_DATA_SOURCE_OVERRIDE", "BST", "EQY_FUND_CRNCY",CURRENCY, "BEST_CONSOLIDATED_OVERRIDE", $D$19)</f>
        <v>-3566.2730000000001</v>
      </c>
      <c r="BZ3">
        <f>_xll.BDP(TICKER &amp; " EQUITY", BX$6, "BEST_FPERIOD_OVERRIDE", $DR$1, "BEST_DATA_SOURCE_OVERRIDE", "BST", "EQY_FUND_CRNCY",CURRENCY, "BEST_CONSOLIDATED_OVERRIDE", $D$19)</f>
        <v>-3481</v>
      </c>
      <c r="CA3" t="s">
        <v>617</v>
      </c>
      <c r="CB3">
        <f>_xll.BDP(TICKER &amp; " EQUITY", BX$6, "BEST_FPERIOD_OVERRIDE", EstDetPerT, "BEST_DATA_SOURCE_OVERRIDE", "BST", "EQY_FUND_CRNCY",CURRENCY, "BEST_CONSOLIDATED_OVERRIDE", $D$19)</f>
        <v>-2872.75</v>
      </c>
      <c r="CC3" t="s">
        <v>617</v>
      </c>
      <c r="CD3">
        <f>_xll.BDP(TICKER &amp; " EQUITY", CC$6, "BEST_FPERIOD_OVERRIDE", EstDetPerO, "BEST_DATA_SOURCE_OVERRIDE", "BST", "EQY_FUND_CRNCY",CURRENCY, "BEST_CONSOLIDATED_OVERRIDE", $D$19)</f>
        <v>10712</v>
      </c>
      <c r="CE3">
        <f>_xll.BDP(TICKER &amp; " EQUITY", CC$6, "BEST_FPERIOD_OVERRIDE", $DR$1, "BEST_DATA_SOURCE_OVERRIDE", "BST", "EQY_FUND_CRNCY",CURRENCY, "BEST_CONSOLIDATED_OVERRIDE", $D$19)</f>
        <v>18062.814999999999</v>
      </c>
      <c r="CF3" t="s">
        <v>617</v>
      </c>
      <c r="CG3">
        <f>_xll.BDP(TICKER &amp; " EQUITY", CC$6, "BEST_FPERIOD_OVERRIDE", EstDetPerT, "BEST_DATA_SOURCE_OVERRIDE", "BST", "EQY_FUND_CRNCY",CURRENCY, "BEST_CONSOLIDATED_OVERRIDE", $D$19)</f>
        <v>13462.963</v>
      </c>
      <c r="CH3" t="s">
        <v>617</v>
      </c>
      <c r="CI3">
        <f>_xll.BDP(TICKER &amp; " EQUITY", CH$6, "BEST_FPERIOD_OVERRIDE", EstDetPerO, "BEST_DATA_SOURCE_OVERRIDE", "BST", "EQY_FUND_CRNCY",CURRENCY, "BEST_CONSOLIDATED_OVERRIDE", $D$19)</f>
        <v>10725.485000000001</v>
      </c>
      <c r="CJ3">
        <f>_xll.BDP(TICKER &amp; " EQUITY", CH$6, "BEST_FPERIOD_OVERRIDE", $DR$1, "BEST_DATA_SOURCE_OVERRIDE", "BST", "EQY_FUND_CRNCY",CURRENCY, "BEST_CONSOLIDATED_OVERRIDE", $D$19)</f>
        <v>18026.385000000002</v>
      </c>
      <c r="CK3" t="s">
        <v>617</v>
      </c>
      <c r="CL3">
        <f>_xll.BDP(TICKER &amp; " EQUITY", CH$6, "BEST_FPERIOD_OVERRIDE", EstDetPerT, "BEST_DATA_SOURCE_OVERRIDE", "BST", "EQY_FUND_CRNCY",CURRENCY, "BEST_CONSOLIDATED_OVERRIDE", $D$19)</f>
        <v>13482.308000000001</v>
      </c>
      <c r="CM3" t="s">
        <v>617</v>
      </c>
      <c r="CN3">
        <f>_xll.BDP(TICKER &amp; " EQUITY", CM$6, "BEST_FPERIOD_OVERRIDE", EstDetPerO, "BEST_DATA_SOURCE_OVERRIDE", "BST", "EQY_FUND_CRNCY",CURRENCY, "BEST_CONSOLIDATED_OVERRIDE", $D$19)</f>
        <v>2.427</v>
      </c>
      <c r="CO3">
        <f>_xll.BDP(TICKER &amp; " EQUITY", CM$6, "BEST_FPERIOD_OVERRIDE", $DR$1, "BEST_DATA_SOURCE_OVERRIDE", "BST", "EQY_FUND_CRNCY",CURRENCY, "BEST_CONSOLIDATED_OVERRIDE", $D$19)</f>
        <v>4.05</v>
      </c>
      <c r="CP3" t="s">
        <v>617</v>
      </c>
      <c r="CQ3">
        <f>_xll.BDP(TICKER &amp; " EQUITY", CM$6, "BEST_FPERIOD_OVERRIDE", EstDetPerT, "BEST_DATA_SOURCE_OVERRIDE", "BST", "EQY_FUND_CRNCY",CURRENCY, "BEST_CONSOLIDATED_OVERRIDE", $D$19)</f>
        <v>3.637</v>
      </c>
      <c r="CR3" t="s">
        <v>617</v>
      </c>
      <c r="CS3">
        <f>_xll.BDP(TICKER &amp; " EQUITY", CR$6, "BEST_FPERIOD_OVERRIDE", EstDetPerO, "BEST_DATA_SOURCE_OVERRIDE", "BST", "EQY_FUND_CRNCY",CURRENCY, "BEST_CONSOLIDATED_OVERRIDE", $D$19)</f>
        <v>0.51400000000000001</v>
      </c>
      <c r="CT3">
        <f>_xll.BDP(TICKER &amp; " EQUITY", CR$6, "BEST_FPERIOD_OVERRIDE", $DR$1, "BEST_DATA_SOURCE_OVERRIDE", "BST", "EQY_FUND_CRNCY",CURRENCY, "BEST_CONSOLIDATED_OVERRIDE", $D$19)</f>
        <v>0.51300000000000001</v>
      </c>
      <c r="CU3" t="s">
        <v>617</v>
      </c>
      <c r="CV3">
        <f>_xll.BDP(TICKER &amp; " EQUITY", CR$6, "BEST_FPERIOD_OVERRIDE", EstDetPerT, "BEST_DATA_SOURCE_OVERRIDE", "BST", "EQY_FUND_CRNCY",CURRENCY, "BEST_CONSOLIDATED_OVERRIDE", $D$19)</f>
        <v>0.51300000000000001</v>
      </c>
      <c r="CW3" t="s">
        <v>617</v>
      </c>
      <c r="CX3">
        <f>_xll.BDP(TICKER &amp; " EQUITY", CW$6, "BEST_FPERIOD_OVERRIDE", EstDetPerO, "BEST_DATA_SOURCE_OVERRIDE", "BST", "EQY_FUND_CRNCY",CURRENCY, "BEST_CONSOLIDATED_OVERRIDE", $D$19)</f>
        <v>22.634</v>
      </c>
      <c r="CY3">
        <f>_xll.BDP(TICKER &amp; " EQUITY", CW$6, "BEST_FPERIOD_OVERRIDE", $DR$1, "BEST_DATA_SOURCE_OVERRIDE", "BST", "EQY_FUND_CRNCY",CURRENCY, "BEST_CONSOLIDATED_OVERRIDE", $D$19)</f>
        <v>24.66</v>
      </c>
      <c r="CZ3" t="s">
        <v>617</v>
      </c>
      <c r="DA3">
        <f>_xll.BDP(TICKER &amp; " EQUITY", CW$6, "BEST_FPERIOD_OVERRIDE", EstDetPerT, "BEST_DATA_SOURCE_OVERRIDE", "BST", "EQY_FUND_CRNCY",CURRENCY, "BEST_CONSOLIDATED_OVERRIDE", $D$19)</f>
        <v>25.756</v>
      </c>
      <c r="DB3" t="s">
        <v>617</v>
      </c>
      <c r="DC3">
        <f>_xll.BDP(TICKER &amp; " EQUITY", DB$6, "BEST_FPERIOD_OVERRIDE", EstDetPerO, "BEST_DATA_SOURCE_OVERRIDE", "BST", "EQY_FUND_CRNCY",CURRENCY, "BEST_CONSOLIDATED_OVERRIDE", $D$19)</f>
        <v>33.1</v>
      </c>
      <c r="DD3">
        <f>_xll.BDP(TICKER &amp; " EQUITY", DB$6, "BEST_FPERIOD_OVERRIDE", $DR$1, "BEST_DATA_SOURCE_OVERRIDE", "BST", "EQY_FUND_CRNCY",CURRENCY, "BEST_CONSOLIDATED_OVERRIDE", $D$19)</f>
        <v>50.1</v>
      </c>
      <c r="DE3" t="s">
        <v>617</v>
      </c>
      <c r="DF3">
        <f>_xll.BDP(TICKER &amp; " EQUITY", DB$6, "BEST_FPERIOD_OVERRIDE", EstDetPerT, "BEST_DATA_SOURCE_OVERRIDE", "BST", "EQY_FUND_CRNCY",CURRENCY, "BEST_CONSOLIDATED_OVERRIDE", $D$19)</f>
        <v>36.9</v>
      </c>
      <c r="DG3" t="s">
        <v>617</v>
      </c>
      <c r="DH3">
        <f>_xll.BDP(TICKER &amp; " EQUITY", DG$6, "BEST_FPERIOD_OVERRIDE", EstDetPerO, "BEST_DATA_SOURCE_OVERRIDE", "BST", "EQY_FUND_CRNCY",CURRENCY, "BEST_CONSOLIDATED_OVERRIDE", $D$19)</f>
        <v>15.167</v>
      </c>
      <c r="DI3">
        <f>_xll.BDP(TICKER &amp; " EQUITY", DG$6, "BEST_FPERIOD_OVERRIDE", $DR$1, "BEST_DATA_SOURCE_OVERRIDE", "BST", "EQY_FUND_CRNCY",CURRENCY, "BEST_CONSOLIDATED_OVERRIDE", $D$19)</f>
        <v>21</v>
      </c>
      <c r="DJ3" t="s">
        <v>617</v>
      </c>
      <c r="DK3">
        <f>_xll.BDP(TICKER &amp; " EQUITY", DG$6, "BEST_FPERIOD_OVERRIDE", EstDetPerT, "BEST_DATA_SOURCE_OVERRIDE", "BST", "EQY_FUND_CRNCY",CURRENCY, "BEST_CONSOLIDATED_OVERRIDE", $D$19)</f>
        <v>15.4</v>
      </c>
      <c r="DL3" t="s">
        <v>617</v>
      </c>
      <c r="DM3">
        <f>_xll.BDP(TICKER &amp; " EQUITY", DL$6, "BEST_FPERIOD_OVERRIDE", EstDetPerO, "BEST_DATA_SOURCE_OVERRIDE", "BST", "EQY_FUND_CRNCY",CURRENCY, "BEST_CONSOLIDATED_OVERRIDE", $D$19)</f>
        <v>-149091.80000000002</v>
      </c>
      <c r="DN3">
        <f>_xll.BDP(TICKER &amp; " EQUITY", DL$6, "BEST_FPERIOD_OVERRIDE", $DR$1, "BEST_DATA_SOURCE_OVERRIDE", "BST", "EQY_FUND_CRNCY",CURRENCY, "BEST_CONSOLIDATED_OVERRIDE", $D$19)</f>
        <v>-168768.4</v>
      </c>
      <c r="DO3" t="s">
        <v>617</v>
      </c>
      <c r="DP3">
        <f>_xll.BDP(TICKER &amp; " EQUITY", DL$6, "BEST_FPERIOD_OVERRIDE", EstDetPerT, "BEST_DATA_SOURCE_OVERRIDE", "BST", "EQY_FUND_CRNCY",CURRENCY, "BEST_CONSOLIDATED_OVERRIDE", $D$19)</f>
        <v>-170173</v>
      </c>
      <c r="DR3" t="s">
        <v>425</v>
      </c>
      <c r="DS3" t="s">
        <v>415</v>
      </c>
    </row>
    <row r="4" spans="1:123">
      <c r="A4" t="s">
        <v>651</v>
      </c>
      <c r="B4" s="38">
        <f>_xll.BDH(TICKER &amp; " EQUITY","SALES_REV_TURN","-6FY","-0FY","Sort=D","PER=FY","cols=2;rows=7")</f>
        <v>41909</v>
      </c>
      <c r="C4">
        <v>182795</v>
      </c>
      <c r="D4">
        <f t="shared" ref="D4:D10" si="0">YEAR(B4)</f>
        <v>2014</v>
      </c>
      <c r="F4" s="32" t="s">
        <v>793</v>
      </c>
      <c r="G4" s="33">
        <v>30283</v>
      </c>
      <c r="H4" s="33" t="s">
        <v>799</v>
      </c>
      <c r="I4" s="34">
        <v>44285</v>
      </c>
      <c r="K4" s="32"/>
      <c r="L4" s="33"/>
      <c r="M4" s="33"/>
      <c r="N4" s="34"/>
      <c r="P4" t="s">
        <v>420</v>
      </c>
      <c r="Q4" t="s">
        <v>514</v>
      </c>
      <c r="R4" t="s">
        <v>602</v>
      </c>
      <c r="S4" t="s">
        <v>385</v>
      </c>
      <c r="T4" t="s">
        <v>596</v>
      </c>
      <c r="V4" s="38">
        <v>42097</v>
      </c>
      <c r="W4">
        <v>125.32</v>
      </c>
      <c r="X4">
        <v>8.6319999999999997</v>
      </c>
      <c r="Y4">
        <v>9.3889999999999993</v>
      </c>
      <c r="Z4">
        <v>10.239000000000001</v>
      </c>
      <c r="AA4">
        <v>580289.42520000006</v>
      </c>
      <c r="AB4">
        <v>76808.375</v>
      </c>
      <c r="AC4">
        <v>82483.562999999995</v>
      </c>
      <c r="AD4">
        <v>86964.3</v>
      </c>
      <c r="AF4" s="38">
        <f t="shared" ref="AF4:AF67" si="1">IF($V4="", "", $V4)</f>
        <v>42097</v>
      </c>
      <c r="AG4">
        <f t="shared" ref="AG4:AG67" si="2">IF($X4&lt;0, "NA", IF(ISERROR($W4/$X4), "", $W4/$X4))</f>
        <v>14.518072289156626</v>
      </c>
      <c r="AH4">
        <f t="shared" ref="AH4:AH67" si="3">IF($Y4&lt;0, "NA", IF(ISERROR($W4/$Y4), "", $W4/$Y4))</f>
        <v>13.347534348705933</v>
      </c>
      <c r="AI4">
        <f t="shared" ref="AI4:AI67" si="4">IF($Z4&lt;0, "NA", IF(ISERROR($W4/$Z4), "", $W4/$Z4))</f>
        <v>12.239476511378063</v>
      </c>
      <c r="AJ4">
        <f t="shared" ref="AJ4:AJ67" si="5">IF($AB4&lt;0, "NA", IF(ISERROR($AA4/$AB4), "", $AA4/$AB4))</f>
        <v>7.5550280187544656</v>
      </c>
      <c r="AK4">
        <f t="shared" ref="AK4:AK67" si="6">IF($AC4&lt;0, "NA", IF(ISERROR($AA4/$AC4), "", $AA4/$AC4))</f>
        <v>7.0352128847780264</v>
      </c>
      <c r="AL4">
        <f t="shared" ref="AL4:AL67" si="7">IF($AD4&lt;0, "NA", IF(ISERROR($AA4/$AD4), "", $AA4/$AD4))</f>
        <v>6.6727315139660766</v>
      </c>
      <c r="AO4" t="s">
        <v>618</v>
      </c>
      <c r="AR4" t="s">
        <v>618</v>
      </c>
      <c r="AT4" t="s">
        <v>618</v>
      </c>
      <c r="AU4">
        <f>_xll.BDP(TICKER &amp; " EQUITY", AT$6, "BEST_FPERIOD_OVERRIDE", EstDetPerO, "BEST_DATA_SOURCE_OVERRIDE", "BLI", "EQY_FUND_CRNCY",CURRENCY, "BEST_CONSOLIDATED_OVERRIDE", $D$19)</f>
        <v>1.8880000000000001</v>
      </c>
      <c r="AV4">
        <f>_xll.BDP(TICKER &amp; " EQUITY", AT$6, "BEST_FPERIOD_OVERRIDE", $DR$1, "BEST_DATA_SOURCE_OVERRIDE", "BLI", "EQY_FUND_CRNCY",CURRENCY, "BEST_CONSOLIDATED_OVERRIDE", $D$19)</f>
        <v>3.161</v>
      </c>
      <c r="AW4" t="s">
        <v>618</v>
      </c>
      <c r="AX4">
        <f>_xll.BDP(TICKER &amp; " EQUITY", AT$6, "BEST_FPERIOD_OVERRIDE", EstDetPerT, "BEST_DATA_SOURCE_OVERRIDE", "BLI", "EQY_FUND_CRNCY",CURRENCY, "BEST_CONSOLIDATED_OVERRIDE", $D$19)</f>
        <v>2.4180000000000001</v>
      </c>
      <c r="AY4" t="s">
        <v>618</v>
      </c>
      <c r="AZ4">
        <f>_xll.BDP(TICKER &amp; " EQUITY", AY$6, "BEST_FPERIOD_OVERRIDE", EstDetPerO, "BEST_DATA_SOURCE_OVERRIDE", "BLI", "EQY_FUND_CRNCY",CURRENCY, "BEST_CONSOLIDATED_OVERRIDE", $D$19)</f>
        <v>1.885</v>
      </c>
      <c r="BA4">
        <f>_xll.BDP(TICKER &amp; " EQUITY", AY$6, "BEST_FPERIOD_OVERRIDE", $DR$1, "BEST_DATA_SOURCE_OVERRIDE", "BLI", "EQY_FUND_CRNCY",CURRENCY, "BEST_CONSOLIDATED_OVERRIDE", $D$19)</f>
        <v>3.1859999999999999</v>
      </c>
      <c r="BB4" t="s">
        <v>618</v>
      </c>
      <c r="BC4">
        <f>_xll.BDP(TICKER &amp; " EQUITY", AY$6, "BEST_FPERIOD_OVERRIDE", EstDetPerT, "BEST_DATA_SOURCE_OVERRIDE", "BLI", "EQY_FUND_CRNCY",CURRENCY, "BEST_CONSOLIDATED_OVERRIDE", $D$19)</f>
        <v>2.4290000000000003</v>
      </c>
      <c r="BD4" t="s">
        <v>618</v>
      </c>
      <c r="BE4">
        <f>_xll.BDP(TICKER &amp; " EQUITY", BD$6, "BEST_FPERIOD_OVERRIDE", EstDetPerO, "BEST_DATA_SOURCE_OVERRIDE", "BLI", "EQY_FUND_CRNCY",CURRENCY, "BEST_CONSOLIDATED_OVERRIDE", $D$19)</f>
        <v>51105.769</v>
      </c>
      <c r="BF4">
        <f>_xll.BDP(TICKER &amp; " EQUITY", BD$6, "BEST_FPERIOD_OVERRIDE", $DR$1, "BEST_DATA_SOURCE_OVERRIDE", "BLI", "EQY_FUND_CRNCY",CURRENCY, "BEST_CONSOLIDATED_OVERRIDE", $D$19)</f>
        <v>76186.817999999999</v>
      </c>
      <c r="BG4" t="s">
        <v>618</v>
      </c>
      <c r="BH4">
        <f>_xll.BDP(TICKER &amp; " EQUITY", BD$6, "BEST_FPERIOD_OVERRIDE", EstDetPerT, "BEST_DATA_SOURCE_OVERRIDE", "BLI", "EQY_FUND_CRNCY",CURRENCY, "BEST_CONSOLIDATED_OVERRIDE", $D$19)</f>
        <v>60613.091</v>
      </c>
      <c r="BI4" t="s">
        <v>618</v>
      </c>
      <c r="BJ4">
        <f>_xll.BDP(TICKER &amp; " EQUITY", BI$6, "BEST_FPERIOD_OVERRIDE", EstDetPerO, "BEST_DATA_SOURCE_OVERRIDE", "BLI", "EQY_FUND_CRNCY",CURRENCY, "BEST_CONSOLIDATED_OVERRIDE", $D$19)</f>
        <v>14241.222</v>
      </c>
      <c r="BK4">
        <f>_xll.BDP(TICKER &amp; " EQUITY", BI$6, "BEST_FPERIOD_OVERRIDE", $DR$1, "BEST_DATA_SOURCE_OVERRIDE", "BLI", "EQY_FUND_CRNCY",CURRENCY, "BEST_CONSOLIDATED_OVERRIDE", $D$19)</f>
        <v>23877</v>
      </c>
      <c r="BL4" t="s">
        <v>618</v>
      </c>
      <c r="BM4">
        <f>_xll.BDP(TICKER &amp; " EQUITY", BI$6, "BEST_FPERIOD_OVERRIDE", EstDetPerT, "BEST_DATA_SOURCE_OVERRIDE", "BLI", "EQY_FUND_CRNCY",CURRENCY, "BEST_CONSOLIDATED_OVERRIDE", $D$19)</f>
        <v>18173.125</v>
      </c>
      <c r="BN4" t="s">
        <v>618</v>
      </c>
      <c r="BO4">
        <f>_xll.BDP(TICKER &amp; " EQUITY", BN$6, "BEST_FPERIOD_OVERRIDE", EstDetPerO, "BEST_DATA_SOURCE_OVERRIDE", "BLI", "EQY_FUND_CRNCY",CURRENCY, "BEST_CONSOLIDATED_OVERRIDE", $D$19)</f>
        <v>17287.5</v>
      </c>
      <c r="BP4">
        <f>_xll.BDP(TICKER &amp; " EQUITY", BN$6, "BEST_FPERIOD_OVERRIDE", $DR$1, "BEST_DATA_SOURCE_OVERRIDE", "BLI", "EQY_FUND_CRNCY",CURRENCY, "BEST_CONSOLIDATED_OVERRIDE", $D$19)</f>
        <v>26862.5</v>
      </c>
      <c r="BQ4" t="s">
        <v>618</v>
      </c>
      <c r="BR4">
        <f>_xll.BDP(TICKER &amp; " EQUITY", BN$6, "BEST_FPERIOD_OVERRIDE", EstDetPerT, "BEST_DATA_SOURCE_OVERRIDE", "BLI", "EQY_FUND_CRNCY",CURRENCY, "BEST_CONSOLIDATED_OVERRIDE", $D$19)</f>
        <v>21171</v>
      </c>
      <c r="BS4" t="s">
        <v>618</v>
      </c>
      <c r="BT4">
        <f>_xll.BDP(TICKER &amp; " EQUITY", BS$6, "BEST_FPERIOD_OVERRIDE", EstDetPerO, "BEST_DATA_SOURCE_OVERRIDE", "BLI", "EQY_FUND_CRNCY",CURRENCY, "BEST_CONSOLIDATED_OVERRIDE", $D$19)</f>
        <v>14186</v>
      </c>
      <c r="BU4">
        <f>_xll.BDP(TICKER &amp; " EQUITY", BS$6, "BEST_FPERIOD_OVERRIDE", $DR$1, "BEST_DATA_SOURCE_OVERRIDE", "BLI", "EQY_FUND_CRNCY",CURRENCY, "BEST_CONSOLIDATED_OVERRIDE", $D$19)</f>
        <v>25007</v>
      </c>
      <c r="BV4" t="s">
        <v>618</v>
      </c>
      <c r="BW4">
        <f>_xll.BDP(TICKER &amp; " EQUITY", BS$6, "BEST_FPERIOD_OVERRIDE", EstDetPerT, "BEST_DATA_SOURCE_OVERRIDE", "BLI", "EQY_FUND_CRNCY",CURRENCY, "BEST_CONSOLIDATED_OVERRIDE", $D$19)</f>
        <v>18876.332999999999</v>
      </c>
      <c r="BX4" t="s">
        <v>618</v>
      </c>
      <c r="BY4">
        <f>_xll.BDP(TICKER &amp; " EQUITY", BX$6, "BEST_FPERIOD_OVERRIDE", EstDetPerO, "BEST_DATA_SOURCE_OVERRIDE", "BLI", "EQY_FUND_CRNCY",CURRENCY, "BEST_CONSOLIDATED_OVERRIDE", $D$19)</f>
        <v>-3193.5</v>
      </c>
      <c r="BZ4">
        <f>_xll.BDP(TICKER &amp; " EQUITY", BX$6, "BEST_FPERIOD_OVERRIDE", $DR$1, "BEST_DATA_SOURCE_OVERRIDE", "BLI", "EQY_FUND_CRNCY",CURRENCY, "BEST_CONSOLIDATED_OVERRIDE", $D$19)</f>
        <v>-3141.5</v>
      </c>
      <c r="CA4" t="s">
        <v>618</v>
      </c>
      <c r="CB4">
        <f>_xll.BDP(TICKER &amp; " EQUITY", BX$6, "BEST_FPERIOD_OVERRIDE", EstDetPerT, "BEST_DATA_SOURCE_OVERRIDE", "BLI", "EQY_FUND_CRNCY",CURRENCY, "BEST_CONSOLIDATED_OVERRIDE", $D$19)</f>
        <v>-2650.5</v>
      </c>
      <c r="CC4" t="s">
        <v>618</v>
      </c>
      <c r="CD4">
        <f>_xll.BDP(TICKER &amp; " EQUITY", CC$6, "BEST_FPERIOD_OVERRIDE", EstDetPerO, "BEST_DATA_SOURCE_OVERRIDE", "BLI", "EQY_FUND_CRNCY",CURRENCY, "BEST_CONSOLIDATED_OVERRIDE", $D$19)</f>
        <v>10795.818000000001</v>
      </c>
      <c r="CE4">
        <f>_xll.BDP(TICKER &amp; " EQUITY", CC$6, "BEST_FPERIOD_OVERRIDE", $DR$1, "BEST_DATA_SOURCE_OVERRIDE", "BLI", "EQY_FUND_CRNCY",CURRENCY, "BEST_CONSOLIDATED_OVERRIDE", $D$19)</f>
        <v>17871.3</v>
      </c>
      <c r="CF4" t="s">
        <v>618</v>
      </c>
      <c r="CG4">
        <f>_xll.BDP(TICKER &amp; " EQUITY", CC$6, "BEST_FPERIOD_OVERRIDE", EstDetPerT, "BEST_DATA_SOURCE_OVERRIDE", "BLI", "EQY_FUND_CRNCY",CURRENCY, "BEST_CONSOLIDATED_OVERRIDE", $D$19)</f>
        <v>13548.4</v>
      </c>
      <c r="CH4" t="s">
        <v>618</v>
      </c>
      <c r="CI4">
        <f>_xll.BDP(TICKER &amp; " EQUITY", CH$6, "BEST_FPERIOD_OVERRIDE", EstDetPerO, "BEST_DATA_SOURCE_OVERRIDE", "BLI", "EQY_FUND_CRNCY",CURRENCY, "BEST_CONSOLIDATED_OVERRIDE", $D$19)</f>
        <v>10853.182000000001</v>
      </c>
      <c r="CJ4">
        <f>_xll.BDP(TICKER &amp; " EQUITY", CH$6, "BEST_FPERIOD_OVERRIDE", $DR$1, "BEST_DATA_SOURCE_OVERRIDE", "BLI", "EQY_FUND_CRNCY",CURRENCY, "BEST_CONSOLIDATED_OVERRIDE", $D$19)</f>
        <v>17942.2</v>
      </c>
      <c r="CK4" t="s">
        <v>618</v>
      </c>
      <c r="CL4">
        <f>_xll.BDP(TICKER &amp; " EQUITY", CH$6, "BEST_FPERIOD_OVERRIDE", EstDetPerT, "BEST_DATA_SOURCE_OVERRIDE", "BLI", "EQY_FUND_CRNCY",CURRENCY, "BEST_CONSOLIDATED_OVERRIDE", $D$19)</f>
        <v>13619.300000000001</v>
      </c>
      <c r="CM4" t="s">
        <v>618</v>
      </c>
      <c r="CN4">
        <f>_xll.BDP(TICKER &amp; " EQUITY", CM$6, "BEST_FPERIOD_OVERRIDE", EstDetPerO, "BEST_DATA_SOURCE_OVERRIDE", "BLI", "EQY_FUND_CRNCY",CURRENCY, "BEST_CONSOLIDATED_OVERRIDE", $D$19)</f>
        <v>2.33</v>
      </c>
      <c r="CO4">
        <f>_xll.BDP(TICKER &amp; " EQUITY", CM$6, "BEST_FPERIOD_OVERRIDE", $DR$1, "BEST_DATA_SOURCE_OVERRIDE", "BLI", "EQY_FUND_CRNCY",CURRENCY, "BEST_CONSOLIDATED_OVERRIDE", $D$19)</f>
        <v>5.0350000000000001</v>
      </c>
      <c r="CP4" t="s">
        <v>618</v>
      </c>
      <c r="CQ4">
        <f>_xll.BDP(TICKER &amp; " EQUITY", CM$6, "BEST_FPERIOD_OVERRIDE", EstDetPerT, "BEST_DATA_SOURCE_OVERRIDE", "BLI", "EQY_FUND_CRNCY",CURRENCY, "BEST_CONSOLIDATED_OVERRIDE", $D$19)</f>
        <v>2.86</v>
      </c>
      <c r="CR4" t="s">
        <v>618</v>
      </c>
      <c r="CS4">
        <f>_xll.BDP(TICKER &amp; " EQUITY", CR$6, "BEST_FPERIOD_OVERRIDE", EstDetPerO, "BEST_DATA_SOURCE_OVERRIDE", "BLI", "EQY_FUND_CRNCY",CURRENCY, "BEST_CONSOLIDATED_OVERRIDE", $D$19)</f>
        <v>0.503</v>
      </c>
      <c r="CT4">
        <f>_xll.BDP(TICKER &amp; " EQUITY", CR$6, "BEST_FPERIOD_OVERRIDE", $DR$1, "BEST_DATA_SOURCE_OVERRIDE", "BLI", "EQY_FUND_CRNCY",CURRENCY, "BEST_CONSOLIDATED_OVERRIDE", $D$19)</f>
        <v>0.503</v>
      </c>
      <c r="CU4" t="s">
        <v>618</v>
      </c>
      <c r="CV4">
        <f>_xll.BDP(TICKER &amp; " EQUITY", CR$6, "BEST_FPERIOD_OVERRIDE", EstDetPerT, "BEST_DATA_SOURCE_OVERRIDE", "BLI", "EQY_FUND_CRNCY",CURRENCY, "BEST_CONSOLIDATED_OVERRIDE", $D$19)</f>
        <v>0.503</v>
      </c>
      <c r="CW4" t="s">
        <v>618</v>
      </c>
      <c r="CX4">
        <f>_xll.BDP(TICKER &amp; " EQUITY", CW$6, "BEST_FPERIOD_OVERRIDE", EstDetPerO, "BEST_DATA_SOURCE_OVERRIDE", "BLI", "EQY_FUND_CRNCY",CURRENCY, "BEST_CONSOLIDATED_OVERRIDE", $D$19)</f>
        <v>22.7</v>
      </c>
      <c r="CY4">
        <f>_xll.BDP(TICKER &amp; " EQUITY", CW$6, "BEST_FPERIOD_OVERRIDE", $DR$1, "BEST_DATA_SOURCE_OVERRIDE", "BLI", "EQY_FUND_CRNCY",CURRENCY, "BEST_CONSOLIDATED_OVERRIDE", $D$19)</f>
        <v>25.234999999999999</v>
      </c>
      <c r="CZ4" t="s">
        <v>618</v>
      </c>
      <c r="DA4">
        <f>_xll.BDP(TICKER &amp; " EQUITY", CW$6, "BEST_FPERIOD_OVERRIDE", EstDetPerT, "BEST_DATA_SOURCE_OVERRIDE", "BLI", "EQY_FUND_CRNCY",CURRENCY, "BEST_CONSOLIDATED_OVERRIDE", $D$19)</f>
        <v>26.765000000000001</v>
      </c>
      <c r="DB4" t="s">
        <v>618</v>
      </c>
      <c r="DC4" t="str">
        <f>_xll.BDP(TICKER &amp; " EQUITY", DB$6, "BEST_FPERIOD_OVERRIDE", EstDetPerO, "BEST_DATA_SOURCE_OVERRIDE", "BLI", "EQY_FUND_CRNCY",CURRENCY, "BEST_CONSOLIDATED_OVERRIDE", $D$19)</f>
        <v>#N/A N/A</v>
      </c>
      <c r="DD4" t="str">
        <f>_xll.BDP(TICKER &amp; " EQUITY", DB$6, "BEST_FPERIOD_OVERRIDE", $DR$1, "BEST_DATA_SOURCE_OVERRIDE", "BLI", "EQY_FUND_CRNCY",CURRENCY, "BEST_CONSOLIDATED_OVERRIDE", $D$19)</f>
        <v>#N/A N/A</v>
      </c>
      <c r="DE4" t="s">
        <v>618</v>
      </c>
      <c r="DF4" t="str">
        <f>_xll.BDP(TICKER &amp; " EQUITY", DB$6, "BEST_FPERIOD_OVERRIDE", EstDetPerT, "BEST_DATA_SOURCE_OVERRIDE", "BLI", "EQY_FUND_CRNCY",CURRENCY, "BEST_CONSOLIDATED_OVERRIDE", $D$19)</f>
        <v>#N/A N/A</v>
      </c>
      <c r="DG4" t="s">
        <v>618</v>
      </c>
      <c r="DH4" t="str">
        <f>_xll.BDP(TICKER &amp; " EQUITY", DG$6, "BEST_FPERIOD_OVERRIDE", EstDetPerO, "BEST_DATA_SOURCE_OVERRIDE", "BLI", "EQY_FUND_CRNCY",CURRENCY, "BEST_CONSOLIDATED_OVERRIDE", $D$19)</f>
        <v>#N/A N/A</v>
      </c>
      <c r="DI4" t="str">
        <f>_xll.BDP(TICKER &amp; " EQUITY", DG$6, "BEST_FPERIOD_OVERRIDE", $DR$1, "BEST_DATA_SOURCE_OVERRIDE", "BLI", "EQY_FUND_CRNCY",CURRENCY, "BEST_CONSOLIDATED_OVERRIDE", $D$19)</f>
        <v>#N/A N/A</v>
      </c>
      <c r="DJ4" t="s">
        <v>618</v>
      </c>
      <c r="DK4" t="str">
        <f>_xll.BDP(TICKER &amp; " EQUITY", DG$6, "BEST_FPERIOD_OVERRIDE", EstDetPerT, "BEST_DATA_SOURCE_OVERRIDE", "BLI", "EQY_FUND_CRNCY",CURRENCY, "BEST_CONSOLIDATED_OVERRIDE", $D$19)</f>
        <v>#N/A N/A</v>
      </c>
      <c r="DL4" t="s">
        <v>618</v>
      </c>
      <c r="DM4">
        <f>_xll.BDP(TICKER &amp; " EQUITY", DL$6, "BEST_FPERIOD_OVERRIDE", EstDetPerO, "BEST_DATA_SOURCE_OVERRIDE", "BLI", "EQY_FUND_CRNCY",CURRENCY, "BEST_CONSOLIDATED_OVERRIDE", $D$19)</f>
        <v>-150871</v>
      </c>
      <c r="DN4">
        <f>_xll.BDP(TICKER &amp; " EQUITY", DL$6, "BEST_FPERIOD_OVERRIDE", $DR$1, "BEST_DATA_SOURCE_OVERRIDE", "BLI", "EQY_FUND_CRNCY",CURRENCY, "BEST_CONSOLIDATED_OVERRIDE", $D$19)</f>
        <v>-161173</v>
      </c>
      <c r="DO4" t="s">
        <v>618</v>
      </c>
      <c r="DP4">
        <f>_xll.BDP(TICKER &amp; " EQUITY", DL$6, "BEST_FPERIOD_OVERRIDE", EstDetPerT, "BEST_DATA_SOURCE_OVERRIDE", "BLI", "EQY_FUND_CRNCY",CURRENCY, "BEST_CONSOLIDATED_OVERRIDE", $D$19)</f>
        <v>-172724</v>
      </c>
      <c r="DR4" t="s">
        <v>426</v>
      </c>
      <c r="DS4" t="s">
        <v>416</v>
      </c>
    </row>
    <row r="5" spans="1:123">
      <c r="A5" s="68" t="s">
        <v>652</v>
      </c>
      <c r="B5" s="38">
        <v>41545</v>
      </c>
      <c r="C5">
        <v>170910</v>
      </c>
      <c r="D5">
        <f t="shared" si="0"/>
        <v>2013</v>
      </c>
      <c r="F5" s="32" t="s">
        <v>794</v>
      </c>
      <c r="G5" s="33">
        <v>24079</v>
      </c>
      <c r="H5" s="33" t="s">
        <v>800</v>
      </c>
      <c r="I5" s="34">
        <v>43101</v>
      </c>
      <c r="K5" s="32"/>
      <c r="L5" s="33"/>
      <c r="M5" s="33"/>
      <c r="N5" s="34"/>
      <c r="P5" t="s">
        <v>423</v>
      </c>
      <c r="Q5" t="s">
        <v>516</v>
      </c>
      <c r="R5" t="s">
        <v>604</v>
      </c>
      <c r="S5" t="s">
        <v>594</v>
      </c>
      <c r="T5" t="s">
        <v>597</v>
      </c>
      <c r="V5" s="38">
        <v>42090</v>
      </c>
      <c r="W5">
        <v>123.25</v>
      </c>
      <c r="X5">
        <v>8.625</v>
      </c>
      <c r="Y5">
        <v>9.3770000000000007</v>
      </c>
      <c r="Z5">
        <v>10.164</v>
      </c>
      <c r="AA5">
        <v>568232.19680000003</v>
      </c>
      <c r="AB5">
        <v>76715.25</v>
      </c>
      <c r="AC5">
        <v>82490.187999999995</v>
      </c>
      <c r="AD5">
        <v>86939.6</v>
      </c>
      <c r="AF5" s="38">
        <f t="shared" si="1"/>
        <v>42090</v>
      </c>
      <c r="AG5">
        <f t="shared" si="2"/>
        <v>14.289855072463768</v>
      </c>
      <c r="AH5">
        <f t="shared" si="3"/>
        <v>13.143862642636236</v>
      </c>
      <c r="AI5">
        <f t="shared" si="4"/>
        <v>12.126131444313263</v>
      </c>
      <c r="AJ5">
        <f t="shared" si="5"/>
        <v>7.4070305030616472</v>
      </c>
      <c r="AK5">
        <f t="shared" si="6"/>
        <v>6.8884822616721406</v>
      </c>
      <c r="AL5">
        <f t="shared" si="7"/>
        <v>6.5359421575438583</v>
      </c>
      <c r="AN5" t="str">
        <f>_xll.BDS(TICKER &amp;" EQUITY","BEST_EPS_BRK_GRID","BEST_FPERIOD_OVERRIDE",EstDetPerO,"EQY_FUND_CRNCY",CURRENCY,"BEST_CONSOLIDATED_OVERRIDE",$D$19,"STARTCOL=1","ENDCOL=1","cols=1;rows=43")</f>
        <v>Broker</v>
      </c>
      <c r="AO5" t="s">
        <v>619</v>
      </c>
      <c r="AQ5" t="str">
        <f>_xll.BDS(TICKER &amp;" EQUITY","BEST_EPS_BRK_GRID","BEST_FPERIOD_OVERRIDE",EstDetPerO,"EQY_FUND_CRNCY",CURRENCY,"BEST_CONSOLIDATED_OVERRIDE",$D$19,"STARTCOL=1","ENDCOL=1","cols=1;rows=43")</f>
        <v>Broker</v>
      </c>
      <c r="AR5" t="s">
        <v>619</v>
      </c>
      <c r="AT5" t="s">
        <v>619</v>
      </c>
      <c r="AU5">
        <f>_xll.BDP(TICKER &amp; " EQUITY", AT$6, "BEST_FPERIOD_OVERRIDE", EstDetPerO, "BEST_DATA_SOURCE_OVERRIDE", "BPE", "EQY_FUND_CRNCY",CURRENCY, "BEST_CONSOLIDATED_OVERRIDE", $D$19)</f>
        <v>1.873</v>
      </c>
      <c r="AV5">
        <f>_xll.BDP(TICKER &amp; " EQUITY", AT$6, "BEST_FPERIOD_OVERRIDE", $DR$1, "BEST_DATA_SOURCE_OVERRIDE", "BPE", "EQY_FUND_CRNCY",CURRENCY, "BEST_CONSOLIDATED_OVERRIDE", $D$19)</f>
        <v>3.1830000000000003</v>
      </c>
      <c r="AW5" t="s">
        <v>619</v>
      </c>
      <c r="AX5">
        <f>_xll.BDP(TICKER &amp; " EQUITY", AT$6, "BEST_FPERIOD_OVERRIDE", EstDetPerT, "BEST_DATA_SOURCE_OVERRIDE", "BPE", "EQY_FUND_CRNCY",CURRENCY, "BEST_CONSOLIDATED_OVERRIDE", $D$19)</f>
        <v>2.4159999999999999</v>
      </c>
      <c r="AY5" t="s">
        <v>619</v>
      </c>
      <c r="AZ5">
        <f>_xll.BDP(TICKER &amp; " EQUITY", AY$6, "BEST_FPERIOD_OVERRIDE", EstDetPerO, "BEST_DATA_SOURCE_OVERRIDE", "BPE", "EQY_FUND_CRNCY",CURRENCY, "BEST_CONSOLIDATED_OVERRIDE", $D$19)</f>
        <v>1.875</v>
      </c>
      <c r="BA5">
        <f>_xll.BDP(TICKER &amp; " EQUITY", AY$6, "BEST_FPERIOD_OVERRIDE", $DR$1, "BEST_DATA_SOURCE_OVERRIDE", "BPE", "EQY_FUND_CRNCY",CURRENCY, "BEST_CONSOLIDATED_OVERRIDE", $D$19)</f>
        <v>3.1960000000000002</v>
      </c>
      <c r="BB5" t="s">
        <v>619</v>
      </c>
      <c r="BC5">
        <f>_xll.BDP(TICKER &amp; " EQUITY", AY$6, "BEST_FPERIOD_OVERRIDE", EstDetPerT, "BEST_DATA_SOURCE_OVERRIDE", "BPE", "EQY_FUND_CRNCY",CURRENCY, "BEST_CONSOLIDATED_OVERRIDE", $D$19)</f>
        <v>2.419</v>
      </c>
      <c r="BD5" t="s">
        <v>619</v>
      </c>
      <c r="BE5">
        <f>_xll.BDP(TICKER &amp; " EQUITY", BD$6, "BEST_FPERIOD_OVERRIDE", EstDetPerO, "BEST_DATA_SOURCE_OVERRIDE", "BPE", "EQY_FUND_CRNCY",CURRENCY, "BEST_CONSOLIDATED_OVERRIDE", $D$19)</f>
        <v>50906.222000000002</v>
      </c>
      <c r="BF5">
        <f>_xll.BDP(TICKER &amp; " EQUITY", BD$6, "BEST_FPERIOD_OVERRIDE", $DR$1, "BEST_DATA_SOURCE_OVERRIDE", "BPE", "EQY_FUND_CRNCY",CURRENCY, "BEST_CONSOLIDATED_OVERRIDE", $D$19)</f>
        <v>76495.759000000005</v>
      </c>
      <c r="BG5" t="s">
        <v>619</v>
      </c>
      <c r="BH5">
        <f>_xll.BDP(TICKER &amp; " EQUITY", BD$6, "BEST_FPERIOD_OVERRIDE", EstDetPerT, "BEST_DATA_SOURCE_OVERRIDE", "BPE", "EQY_FUND_CRNCY",CURRENCY, "BEST_CONSOLIDATED_OVERRIDE", $D$19)</f>
        <v>60464.897000000004</v>
      </c>
      <c r="BI5" t="s">
        <v>619</v>
      </c>
      <c r="BJ5">
        <f>_xll.BDP(TICKER &amp; " EQUITY", BI$6, "BEST_FPERIOD_OVERRIDE", EstDetPerO, "BEST_DATA_SOURCE_OVERRIDE", "BPE", "EQY_FUND_CRNCY",CURRENCY, "BEST_CONSOLIDATED_OVERRIDE", $D$19)</f>
        <v>14078.759</v>
      </c>
      <c r="BK5">
        <f>_xll.BDP(TICKER &amp; " EQUITY", BI$6, "BEST_FPERIOD_OVERRIDE", $DR$1, "BEST_DATA_SOURCE_OVERRIDE", "BPE", "EQY_FUND_CRNCY",CURRENCY, "BEST_CONSOLIDATED_OVERRIDE", $D$19)</f>
        <v>24203.817999999999</v>
      </c>
      <c r="BL5" t="s">
        <v>619</v>
      </c>
      <c r="BM5">
        <f>_xll.BDP(TICKER &amp; " EQUITY", BI$6, "BEST_FPERIOD_OVERRIDE", EstDetPerT, "BEST_DATA_SOURCE_OVERRIDE", "BPE", "EQY_FUND_CRNCY",CURRENCY, "BEST_CONSOLIDATED_OVERRIDE", $D$19)</f>
        <v>18038.317999999999</v>
      </c>
      <c r="BN5" t="s">
        <v>619</v>
      </c>
      <c r="BO5">
        <f>_xll.BDP(TICKER &amp; " EQUITY", BN$6, "BEST_FPERIOD_OVERRIDE", EstDetPerO, "BEST_DATA_SOURCE_OVERRIDE", "BPE", "EQY_FUND_CRNCY",CURRENCY, "BEST_CONSOLIDATED_OVERRIDE", $D$19)</f>
        <v>16909.5</v>
      </c>
      <c r="BP5">
        <f>_xll.BDP(TICKER &amp; " EQUITY", BN$6, "BEST_FPERIOD_OVERRIDE", $DR$1, "BEST_DATA_SOURCE_OVERRIDE", "BPE", "EQY_FUND_CRNCY",CURRENCY, "BEST_CONSOLIDATED_OVERRIDE", $D$19)</f>
        <v>26939.8</v>
      </c>
      <c r="BQ5" t="s">
        <v>619</v>
      </c>
      <c r="BR5">
        <f>_xll.BDP(TICKER &amp; " EQUITY", BN$6, "BEST_FPERIOD_OVERRIDE", EstDetPerT, "BEST_DATA_SOURCE_OVERRIDE", "BPE", "EQY_FUND_CRNCY",CURRENCY, "BEST_CONSOLIDATED_OVERRIDE", $D$19)</f>
        <v>20932.75</v>
      </c>
      <c r="BS5" t="s">
        <v>619</v>
      </c>
      <c r="BT5">
        <f>_xll.BDP(TICKER &amp; " EQUITY", BS$6, "BEST_FPERIOD_OVERRIDE", EstDetPerO, "BEST_DATA_SOURCE_OVERRIDE", "BPE", "EQY_FUND_CRNCY",CURRENCY, "BEST_CONSOLIDATED_OVERRIDE", $D$19)</f>
        <v>14127.5</v>
      </c>
      <c r="BU5">
        <f>_xll.BDP(TICKER &amp; " EQUITY", BS$6, "BEST_FPERIOD_OVERRIDE", $DR$1, "BEST_DATA_SOURCE_OVERRIDE", "BPE", "EQY_FUND_CRNCY",CURRENCY, "BEST_CONSOLIDATED_OVERRIDE", $D$19)</f>
        <v>24075.375</v>
      </c>
      <c r="BV5" t="s">
        <v>619</v>
      </c>
      <c r="BW5">
        <f>_xll.BDP(TICKER &amp; " EQUITY", BS$6, "BEST_FPERIOD_OVERRIDE", EstDetPerT, "BEST_DATA_SOURCE_OVERRIDE", "BPE", "EQY_FUND_CRNCY",CURRENCY, "BEST_CONSOLIDATED_OVERRIDE", $D$19)</f>
        <v>17845.875</v>
      </c>
      <c r="BX5" t="s">
        <v>619</v>
      </c>
      <c r="BY5">
        <f>_xll.BDP(TICKER &amp; " EQUITY", BX$6, "BEST_FPERIOD_OVERRIDE", EstDetPerO, "BEST_DATA_SOURCE_OVERRIDE", "BPE", "EQY_FUND_CRNCY",CURRENCY, "BEST_CONSOLIDATED_OVERRIDE", $D$19)</f>
        <v>-3566.2730000000001</v>
      </c>
      <c r="BZ5">
        <f>_xll.BDP(TICKER &amp; " EQUITY", BX$6, "BEST_FPERIOD_OVERRIDE", $DR$1, "BEST_DATA_SOURCE_OVERRIDE", "BPE", "EQY_FUND_CRNCY",CURRENCY, "BEST_CONSOLIDATED_OVERRIDE", $D$19)</f>
        <v>-3481</v>
      </c>
      <c r="CA5" t="s">
        <v>619</v>
      </c>
      <c r="CB5">
        <f>_xll.BDP(TICKER &amp; " EQUITY", BX$6, "BEST_FPERIOD_OVERRIDE", EstDetPerT, "BEST_DATA_SOURCE_OVERRIDE", "BPE", "EQY_FUND_CRNCY",CURRENCY, "BEST_CONSOLIDATED_OVERRIDE", $D$19)</f>
        <v>-2872.75</v>
      </c>
      <c r="CC5" t="s">
        <v>619</v>
      </c>
      <c r="CD5">
        <f>_xll.BDP(TICKER &amp; " EQUITY", CC$6, "BEST_FPERIOD_OVERRIDE", EstDetPerO, "BEST_DATA_SOURCE_OVERRIDE", "BPE", "EQY_FUND_CRNCY",CURRENCY, "BEST_CONSOLIDATED_OVERRIDE", $D$19)</f>
        <v>10712</v>
      </c>
      <c r="CE5">
        <f>_xll.BDP(TICKER &amp; " EQUITY", CC$6, "BEST_FPERIOD_OVERRIDE", $DR$1, "BEST_DATA_SOURCE_OVERRIDE", "BPE", "EQY_FUND_CRNCY",CURRENCY, "BEST_CONSOLIDATED_OVERRIDE", $D$19)</f>
        <v>18034.5</v>
      </c>
      <c r="CF5" t="s">
        <v>619</v>
      </c>
      <c r="CG5">
        <f>_xll.BDP(TICKER &amp; " EQUITY", CC$6, "BEST_FPERIOD_OVERRIDE", EstDetPerT, "BEST_DATA_SOURCE_OVERRIDE", "BPE", "EQY_FUND_CRNCY",CURRENCY, "BEST_CONSOLIDATED_OVERRIDE", $D$19)</f>
        <v>13448.115</v>
      </c>
      <c r="CH5" t="s">
        <v>619</v>
      </c>
      <c r="CI5">
        <f>_xll.BDP(TICKER &amp; " EQUITY", CH$6, "BEST_FPERIOD_OVERRIDE", EstDetPerO, "BEST_DATA_SOURCE_OVERRIDE", "BPE", "EQY_FUND_CRNCY",CURRENCY, "BEST_CONSOLIDATED_OVERRIDE", $D$19)</f>
        <v>10740.355</v>
      </c>
      <c r="CJ5">
        <f>_xll.BDP(TICKER &amp; " EQUITY", CH$6, "BEST_FPERIOD_OVERRIDE", $DR$1, "BEST_DATA_SOURCE_OVERRIDE", "BPE", "EQY_FUND_CRNCY",CURRENCY, "BEST_CONSOLIDATED_OVERRIDE", $D$19)</f>
        <v>18040.125</v>
      </c>
      <c r="CK5" t="s">
        <v>619</v>
      </c>
      <c r="CL5">
        <f>_xll.BDP(TICKER &amp; " EQUITY", CH$6, "BEST_FPERIOD_OVERRIDE", EstDetPerT, "BEST_DATA_SOURCE_OVERRIDE", "BPE", "EQY_FUND_CRNCY",CURRENCY, "BEST_CONSOLIDATED_OVERRIDE", $D$19)</f>
        <v>13444.166999999999</v>
      </c>
      <c r="CM5" t="s">
        <v>619</v>
      </c>
      <c r="CN5">
        <f>_xll.BDP(TICKER &amp; " EQUITY", CM$6, "BEST_FPERIOD_OVERRIDE", EstDetPerO, "BEST_DATA_SOURCE_OVERRIDE", "BPE", "EQY_FUND_CRNCY",CURRENCY, "BEST_CONSOLIDATED_OVERRIDE", $D$19)</f>
        <v>2.427</v>
      </c>
      <c r="CO5">
        <f>_xll.BDP(TICKER &amp; " EQUITY", CM$6, "BEST_FPERIOD_OVERRIDE", $DR$1, "BEST_DATA_SOURCE_OVERRIDE", "BPE", "EQY_FUND_CRNCY",CURRENCY, "BEST_CONSOLIDATED_OVERRIDE", $D$19)</f>
        <v>4.05</v>
      </c>
      <c r="CP5" t="s">
        <v>619</v>
      </c>
      <c r="CQ5">
        <f>_xll.BDP(TICKER &amp; " EQUITY", CM$6, "BEST_FPERIOD_OVERRIDE", EstDetPerT, "BEST_DATA_SOURCE_OVERRIDE", "BPE", "EQY_FUND_CRNCY",CURRENCY, "BEST_CONSOLIDATED_OVERRIDE", $D$19)</f>
        <v>3.637</v>
      </c>
      <c r="CR5" t="s">
        <v>619</v>
      </c>
      <c r="CS5">
        <f>_xll.BDP(TICKER &amp; " EQUITY", CR$6, "BEST_FPERIOD_OVERRIDE", EstDetPerO, "BEST_DATA_SOURCE_OVERRIDE", "BPE", "EQY_FUND_CRNCY",CURRENCY, "BEST_CONSOLIDATED_OVERRIDE", $D$19)</f>
        <v>0.51400000000000001</v>
      </c>
      <c r="CT5">
        <f>_xll.BDP(TICKER &amp; " EQUITY", CR$6, "BEST_FPERIOD_OVERRIDE", $DR$1, "BEST_DATA_SOURCE_OVERRIDE", "BPE", "EQY_FUND_CRNCY",CURRENCY, "BEST_CONSOLIDATED_OVERRIDE", $D$19)</f>
        <v>0.51300000000000001</v>
      </c>
      <c r="CU5" t="s">
        <v>619</v>
      </c>
      <c r="CV5">
        <f>_xll.BDP(TICKER &amp; " EQUITY", CR$6, "BEST_FPERIOD_OVERRIDE", EstDetPerT, "BEST_DATA_SOURCE_OVERRIDE", "BPE", "EQY_FUND_CRNCY",CURRENCY, "BEST_CONSOLIDATED_OVERRIDE", $D$19)</f>
        <v>0.51300000000000001</v>
      </c>
      <c r="CW5" t="s">
        <v>619</v>
      </c>
      <c r="CX5">
        <f>_xll.BDP(TICKER &amp; " EQUITY", CW$6, "BEST_FPERIOD_OVERRIDE", EstDetPerO, "BEST_DATA_SOURCE_OVERRIDE", "BPE", "EQY_FUND_CRNCY",CURRENCY, "BEST_CONSOLIDATED_OVERRIDE", $D$19)</f>
        <v>22.634</v>
      </c>
      <c r="CY5">
        <f>_xll.BDP(TICKER &amp; " EQUITY", CW$6, "BEST_FPERIOD_OVERRIDE", $DR$1, "BEST_DATA_SOURCE_OVERRIDE", "BPE", "EQY_FUND_CRNCY",CURRENCY, "BEST_CONSOLIDATED_OVERRIDE", $D$19)</f>
        <v>24.66</v>
      </c>
      <c r="CZ5" t="s">
        <v>619</v>
      </c>
      <c r="DA5">
        <f>_xll.BDP(TICKER &amp; " EQUITY", CW$6, "BEST_FPERIOD_OVERRIDE", EstDetPerT, "BEST_DATA_SOURCE_OVERRIDE", "BPE", "EQY_FUND_CRNCY",CURRENCY, "BEST_CONSOLIDATED_OVERRIDE", $D$19)</f>
        <v>25.756</v>
      </c>
      <c r="DB5" t="s">
        <v>619</v>
      </c>
      <c r="DC5">
        <f>_xll.BDP(TICKER &amp; " EQUITY", DB$6, "BEST_FPERIOD_OVERRIDE", EstDetPerO, "BEST_DATA_SOURCE_OVERRIDE", "BPE", "EQY_FUND_CRNCY",CURRENCY, "BEST_CONSOLIDATED_OVERRIDE", $D$19)</f>
        <v>33.1</v>
      </c>
      <c r="DD5">
        <f>_xll.BDP(TICKER &amp; " EQUITY", DB$6, "BEST_FPERIOD_OVERRIDE", $DR$1, "BEST_DATA_SOURCE_OVERRIDE", "BPE", "EQY_FUND_CRNCY",CURRENCY, "BEST_CONSOLIDATED_OVERRIDE", $D$19)</f>
        <v>50.1</v>
      </c>
      <c r="DE5" t="s">
        <v>619</v>
      </c>
      <c r="DF5">
        <f>_xll.BDP(TICKER &amp; " EQUITY", DB$6, "BEST_FPERIOD_OVERRIDE", EstDetPerT, "BEST_DATA_SOURCE_OVERRIDE", "BPE", "EQY_FUND_CRNCY",CURRENCY, "BEST_CONSOLIDATED_OVERRIDE", $D$19)</f>
        <v>36.9</v>
      </c>
      <c r="DG5" t="s">
        <v>619</v>
      </c>
      <c r="DH5">
        <f>_xll.BDP(TICKER &amp; " EQUITY", DG$6, "BEST_FPERIOD_OVERRIDE", EstDetPerO, "BEST_DATA_SOURCE_OVERRIDE", "BPE", "EQY_FUND_CRNCY",CURRENCY, "BEST_CONSOLIDATED_OVERRIDE", $D$19)</f>
        <v>15.167</v>
      </c>
      <c r="DI5">
        <f>_xll.BDP(TICKER &amp; " EQUITY", DG$6, "BEST_FPERIOD_OVERRIDE", $DR$1, "BEST_DATA_SOURCE_OVERRIDE", "BPE", "EQY_FUND_CRNCY",CURRENCY, "BEST_CONSOLIDATED_OVERRIDE", $D$19)</f>
        <v>21</v>
      </c>
      <c r="DJ5" t="s">
        <v>619</v>
      </c>
      <c r="DK5">
        <f>_xll.BDP(TICKER &amp; " EQUITY", DG$6, "BEST_FPERIOD_OVERRIDE", EstDetPerT, "BEST_DATA_SOURCE_OVERRIDE", "BPE", "EQY_FUND_CRNCY",CURRENCY, "BEST_CONSOLIDATED_OVERRIDE", $D$19)</f>
        <v>15.4</v>
      </c>
      <c r="DL5" t="s">
        <v>619</v>
      </c>
      <c r="DM5">
        <f>_xll.BDP(TICKER &amp; " EQUITY", DL$6, "BEST_FPERIOD_OVERRIDE", EstDetPerO, "BEST_DATA_SOURCE_OVERRIDE", "BPE", "EQY_FUND_CRNCY",CURRENCY, "BEST_CONSOLIDATED_OVERRIDE", $D$19)</f>
        <v>-149091.80000000002</v>
      </c>
      <c r="DN5">
        <f>_xll.BDP(TICKER &amp; " EQUITY", DL$6, "BEST_FPERIOD_OVERRIDE", $DR$1, "BEST_DATA_SOURCE_OVERRIDE", "BPE", "EQY_FUND_CRNCY",CURRENCY, "BEST_CONSOLIDATED_OVERRIDE", $D$19)</f>
        <v>-168768.4</v>
      </c>
      <c r="DO5" t="s">
        <v>619</v>
      </c>
      <c r="DP5">
        <f>_xll.BDP(TICKER &amp; " EQUITY", DL$6, "BEST_FPERIOD_OVERRIDE", EstDetPerT, "BEST_DATA_SOURCE_OVERRIDE", "BPE", "EQY_FUND_CRNCY",CURRENCY, "BEST_CONSOLIDATED_OVERRIDE", $D$19)</f>
        <v>-170173</v>
      </c>
      <c r="DR5" t="s">
        <v>427</v>
      </c>
      <c r="DS5" t="s">
        <v>417</v>
      </c>
    </row>
    <row r="6" spans="1:123">
      <c r="A6" s="68" t="s">
        <v>653</v>
      </c>
      <c r="B6" s="38">
        <v>41181</v>
      </c>
      <c r="C6">
        <v>156508</v>
      </c>
      <c r="D6">
        <f t="shared" si="0"/>
        <v>2012</v>
      </c>
      <c r="F6" s="32" t="s">
        <v>795</v>
      </c>
      <c r="G6" s="33">
        <v>18063</v>
      </c>
      <c r="H6" s="33" t="s">
        <v>801</v>
      </c>
      <c r="I6" s="34">
        <v>15314</v>
      </c>
      <c r="K6" s="32"/>
      <c r="L6" s="33"/>
      <c r="M6" s="33"/>
      <c r="N6" s="34"/>
      <c r="P6" t="s">
        <v>424</v>
      </c>
      <c r="Q6" t="s">
        <v>522</v>
      </c>
      <c r="R6" t="s">
        <v>602</v>
      </c>
      <c r="S6" t="s">
        <v>389</v>
      </c>
      <c r="T6" t="s">
        <v>598</v>
      </c>
      <c r="V6" s="38">
        <v>42083</v>
      </c>
      <c r="W6">
        <v>125.9</v>
      </c>
      <c r="X6">
        <v>8.6039999999999992</v>
      </c>
      <c r="Y6">
        <v>9.34</v>
      </c>
      <c r="Z6">
        <v>10.164</v>
      </c>
      <c r="AA6">
        <v>591783.77910000004</v>
      </c>
      <c r="AB6">
        <v>76576.812999999995</v>
      </c>
      <c r="AC6">
        <v>82194.937999999995</v>
      </c>
      <c r="AD6">
        <v>86939.6</v>
      </c>
      <c r="AF6" s="38">
        <f t="shared" si="1"/>
        <v>42083</v>
      </c>
      <c r="AG6">
        <f t="shared" si="2"/>
        <v>14.632728963272898</v>
      </c>
      <c r="AH6">
        <f t="shared" si="3"/>
        <v>13.4796573875803</v>
      </c>
      <c r="AI6">
        <f t="shared" si="4"/>
        <v>12.386855568673752</v>
      </c>
      <c r="AJ6">
        <f t="shared" si="5"/>
        <v>7.7279760793910306</v>
      </c>
      <c r="AK6">
        <f t="shared" si="6"/>
        <v>7.1997594194912597</v>
      </c>
      <c r="AL6">
        <f t="shared" si="7"/>
        <v>6.8068380703384879</v>
      </c>
      <c r="AN6" t="s">
        <v>717</v>
      </c>
      <c r="AO6" t="str">
        <f>IF($AN6="", "", $AN6)</f>
        <v>Oppenheimer &amp; Co</v>
      </c>
      <c r="AQ6" t="s">
        <v>717</v>
      </c>
      <c r="AR6" t="str">
        <f>IF($AQ6="", "", $AQ6)</f>
        <v>Oppenheimer &amp; Co</v>
      </c>
      <c r="AT6" s="60" t="s">
        <v>514</v>
      </c>
      <c r="AU6" s="61"/>
      <c r="AY6" t="s">
        <v>560</v>
      </c>
      <c r="BD6" t="s">
        <v>516</v>
      </c>
      <c r="BI6" t="s">
        <v>521</v>
      </c>
      <c r="BN6" t="s">
        <v>517</v>
      </c>
      <c r="BS6" t="s">
        <v>561</v>
      </c>
      <c r="BX6" t="s">
        <v>524</v>
      </c>
      <c r="CC6" t="s">
        <v>519</v>
      </c>
      <c r="CH6" t="s">
        <v>523</v>
      </c>
      <c r="CM6" t="s">
        <v>562</v>
      </c>
      <c r="CR6" t="s">
        <v>515</v>
      </c>
      <c r="CW6" t="s">
        <v>522</v>
      </c>
      <c r="DB6" t="s">
        <v>412</v>
      </c>
      <c r="DG6" t="s">
        <v>411</v>
      </c>
      <c r="DL6" t="s">
        <v>563</v>
      </c>
      <c r="DR6" t="str">
        <f>VLOOKUP(DR2,DR3:DS5, 2, FALSE)</f>
        <v>FQ</v>
      </c>
    </row>
    <row r="7" spans="1:123">
      <c r="A7" s="68" t="s">
        <v>654</v>
      </c>
      <c r="B7" s="38">
        <v>40810</v>
      </c>
      <c r="C7">
        <v>108249</v>
      </c>
      <c r="D7">
        <f t="shared" si="0"/>
        <v>2011</v>
      </c>
      <c r="F7" s="32" t="s">
        <v>796</v>
      </c>
      <c r="G7" s="33">
        <v>6093</v>
      </c>
      <c r="H7" s="33" t="s">
        <v>802</v>
      </c>
      <c r="I7" s="34" t="s">
        <v>527</v>
      </c>
      <c r="K7" s="32"/>
      <c r="L7" s="33"/>
      <c r="M7" s="33"/>
      <c r="N7" s="34"/>
      <c r="P7" t="s">
        <v>593</v>
      </c>
      <c r="Q7" t="s">
        <v>516</v>
      </c>
      <c r="R7" t="s">
        <v>603</v>
      </c>
      <c r="S7" t="s">
        <v>595</v>
      </c>
      <c r="T7" t="s">
        <v>600</v>
      </c>
      <c r="V7" s="38">
        <v>42076</v>
      </c>
      <c r="W7">
        <v>123.59</v>
      </c>
      <c r="X7">
        <v>8.6039999999999992</v>
      </c>
      <c r="Y7">
        <v>9.3290000000000006</v>
      </c>
      <c r="Z7">
        <v>10.144</v>
      </c>
      <c r="AA7">
        <v>578328.61109999998</v>
      </c>
      <c r="AB7">
        <v>76576.812999999995</v>
      </c>
      <c r="AC7">
        <v>82041.812999999995</v>
      </c>
      <c r="AD7">
        <v>86678.2</v>
      </c>
      <c r="AF7" s="38">
        <f t="shared" si="1"/>
        <v>42076</v>
      </c>
      <c r="AG7">
        <f t="shared" si="2"/>
        <v>14.364249186424921</v>
      </c>
      <c r="AH7">
        <f t="shared" si="3"/>
        <v>13.247936541965911</v>
      </c>
      <c r="AI7">
        <f t="shared" si="4"/>
        <v>12.183556782334385</v>
      </c>
      <c r="AJ7">
        <f t="shared" si="5"/>
        <v>7.5522679574037639</v>
      </c>
      <c r="AK7">
        <f t="shared" si="6"/>
        <v>7.049193453343114</v>
      </c>
      <c r="AL7">
        <f t="shared" si="7"/>
        <v>6.6721345286358043</v>
      </c>
      <c r="AN7" t="s">
        <v>641</v>
      </c>
      <c r="AO7" t="str">
        <f t="shared" ref="AO7:AO70" si="8">IF($AN7="", "", $AN7)</f>
        <v>PERM DENIED</v>
      </c>
      <c r="AQ7" t="s">
        <v>641</v>
      </c>
      <c r="AR7" t="str">
        <f t="shared" ref="AR7:AR70" si="9">IF($AQ7="", "", $AQ7)</f>
        <v>PERM DENIED</v>
      </c>
      <c r="AT7" s="60" t="s">
        <v>534</v>
      </c>
      <c r="AU7" s="61"/>
      <c r="AY7" t="s">
        <v>546</v>
      </c>
      <c r="BD7" t="s">
        <v>535</v>
      </c>
      <c r="BI7" t="s">
        <v>547</v>
      </c>
      <c r="BN7" t="s">
        <v>536</v>
      </c>
      <c r="BS7" t="s">
        <v>537</v>
      </c>
      <c r="BX7" t="s">
        <v>543</v>
      </c>
      <c r="CC7" t="s">
        <v>539</v>
      </c>
      <c r="CH7" t="s">
        <v>554</v>
      </c>
      <c r="CM7" t="s">
        <v>540</v>
      </c>
      <c r="CR7" t="s">
        <v>541</v>
      </c>
      <c r="CW7" t="s">
        <v>549</v>
      </c>
      <c r="DB7" t="s">
        <v>550</v>
      </c>
      <c r="DG7" t="s">
        <v>551</v>
      </c>
      <c r="DL7" t="s">
        <v>556</v>
      </c>
    </row>
    <row r="8" spans="1:123">
      <c r="A8" s="68" t="s">
        <v>655</v>
      </c>
      <c r="B8" s="38">
        <v>40446</v>
      </c>
      <c r="C8">
        <v>65225</v>
      </c>
      <c r="D8">
        <f t="shared" si="0"/>
        <v>2010</v>
      </c>
      <c r="F8" s="32" t="s">
        <v>797</v>
      </c>
      <c r="G8" s="33">
        <v>2286</v>
      </c>
      <c r="H8" s="33"/>
      <c r="I8" s="34"/>
      <c r="K8" s="32"/>
      <c r="L8" s="33"/>
      <c r="M8" s="33"/>
      <c r="N8" s="34"/>
      <c r="P8" t="s">
        <v>592</v>
      </c>
      <c r="Q8" t="s">
        <v>561</v>
      </c>
      <c r="R8" t="s">
        <v>603</v>
      </c>
      <c r="S8" t="s">
        <v>386</v>
      </c>
      <c r="T8" t="s">
        <v>601</v>
      </c>
      <c r="V8" s="38">
        <v>42069</v>
      </c>
      <c r="W8">
        <v>126.6</v>
      </c>
      <c r="X8">
        <v>8.5809999999999995</v>
      </c>
      <c r="Y8">
        <v>9.2530000000000001</v>
      </c>
      <c r="Z8">
        <v>10.013999999999999</v>
      </c>
      <c r="AA8">
        <v>595861.10270000005</v>
      </c>
      <c r="AB8">
        <v>76707.588000000003</v>
      </c>
      <c r="AC8">
        <v>81845</v>
      </c>
      <c r="AD8">
        <v>89233.111000000004</v>
      </c>
      <c r="AF8" s="38">
        <f t="shared" si="1"/>
        <v>42069</v>
      </c>
      <c r="AG8">
        <f t="shared" si="2"/>
        <v>14.753525230159655</v>
      </c>
      <c r="AH8">
        <f t="shared" si="3"/>
        <v>13.682049065168053</v>
      </c>
      <c r="AI8">
        <f t="shared" si="4"/>
        <v>12.642300778909528</v>
      </c>
      <c r="AJ8">
        <f t="shared" si="5"/>
        <v>7.7679551428471463</v>
      </c>
      <c r="AK8">
        <f t="shared" si="6"/>
        <v>7.2803604704013694</v>
      </c>
      <c r="AL8">
        <f t="shared" si="7"/>
        <v>6.6775784910155158</v>
      </c>
      <c r="AN8" t="s">
        <v>731</v>
      </c>
      <c r="AO8" t="str">
        <f t="shared" si="8"/>
        <v>Pacific Crest Securities</v>
      </c>
      <c r="AQ8" t="s">
        <v>731</v>
      </c>
      <c r="AR8" t="str">
        <f t="shared" si="9"/>
        <v>Pacific Crest Securities</v>
      </c>
      <c r="AT8" t="str">
        <f>_xll.BDS(TICKER &amp;" EQUITY",AT7,"BEST_FPERIOD_OVERRIDE",EstDetPerO,"STARTCOL=1","ENDCOL=1","EQY_FUND_CRNCY",CURRENCY,"BEST_CONSOLIDATED_OVERRIDE",BestConsOv)</f>
        <v>Broker</v>
      </c>
      <c r="AU8" t="str">
        <f>_xll.BDS(TICKER &amp;" EQUITY",AT7,"BEST_FPERIOD_OVERRIDE",EstDetPerO,"STARTCOL=4","ENDCOL=4","EQY_FUND_CRNCY",CURRENCY,"BEST_CONSOLIDATED_OVERRIDE",BestConsOv)</f>
        <v>#N/A Requesting Data...</v>
      </c>
      <c r="AV8" t="str">
        <f>_xll.BDS(TICKER &amp;" EQUITY",AT7,"BEST_FPERIOD_OVERRIDE",EstDetPerO,"STARTCOL=6","ENDCOL=6","EQY_FUND_CRNCY",CURRENCY,"BEST_CONSOLIDATED_OVERRIDE",BestConsOv)</f>
        <v>#N/A Requesting Data...</v>
      </c>
      <c r="AW8" t="str">
        <f>_xll.BDS(TICKER &amp;" EQUITY",AT7,"BEST_FPERIOD_OVERRIDE",EstDetPerT,"STARTCOL=1","ENDCOL=1","EQY_FUND_CRNCY",CURRENCY,"BEST_CONSOLIDATED_OVERRIDE",BestConsOv)</f>
        <v>#N/A Requesting Data...</v>
      </c>
      <c r="AX8" t="str">
        <f>_xll.BDS(TICKER &amp;" EQUITY",AT7,"BEST_FPERIOD_OVERRIDE",EstDetPerT,"STARTCOL=4","ENDCOL=4","EQY_FUND_CRNCY",CURRENCY,"BEST_CONSOLIDATED_OVERRIDE",BestConsOv)</f>
        <v>#N/A Requesting Data...</v>
      </c>
      <c r="AY8" s="78" t="str">
        <f>_xll.BDS(TICKER &amp;" EQUITY",AY7,"BEST_FPERIOD_OVERRIDE",EstDetPerO,"STARTCOL=1","ENDCOL=1","EQY_FUND_CRNCY",CURRENCY,"BEST_CONSOLIDATED_OVERRIDE",BestConsOv)</f>
        <v>#N/A Requesting Data...</v>
      </c>
      <c r="AZ8" s="78" t="str">
        <f>_xll.BDS(TICKER &amp;" EQUITY",AY7,"BEST_FPERIOD_OVERRIDE",EstDetPerO,"STARTCOL=4","ENDCOL=4","EQY_FUND_CRNCY",CURRENCY,"BEST_CONSOLIDATED_OVERRIDE",BestConsOv)</f>
        <v>#N/A Requesting Data...</v>
      </c>
      <c r="BA8" s="78" t="str">
        <f>_xll.BDS(TICKER &amp;" EQUITY",AY7,"BEST_FPERIOD_OVERRIDE",EstDetPerO,"STARTCOL=6","ENDCOL=6","EQY_FUND_CRNCY",CURRENCY,"BEST_CONSOLIDATED_OVERRIDE",BestConsOv)</f>
        <v>#N/A Requesting Data...</v>
      </c>
      <c r="BB8" s="78" t="str">
        <f>_xll.BDS(TICKER &amp;" EQUITY",AY7,"BEST_FPERIOD_OVERRIDE",EstDetPerT,"STARTCOL=1","ENDCOL=1","EQY_FUND_CRNCY",CURRENCY,"BEST_CONSOLIDATED_OVERRIDE",BestConsOv)</f>
        <v>#N/A Requesting Data...</v>
      </c>
      <c r="BC8" s="78" t="str">
        <f>_xll.BDS(TICKER &amp;" EQUITY",AY7,"BEST_FPERIOD_OVERRIDE",EstDetPerT,"STARTCOL=4","ENDCOL=4","EQY_FUND_CRNCY",CURRENCY,"BEST_CONSOLIDATED_OVERRIDE",BestConsOv)</f>
        <v>#N/A Requesting Data...</v>
      </c>
      <c r="BD8" s="78" t="str">
        <f>_xll.BDS(TICKER &amp;" EQUITY",BD7,"BEST_FPERIOD_OVERRIDE",EstDetPerO,"STARTCOL=1","ENDCOL=1","EQY_FUND_CRNCY",CURRENCY,"BEST_CONSOLIDATED_OVERRIDE",BestConsOv)</f>
        <v>#N/A Requesting Data...</v>
      </c>
      <c r="BE8" s="78" t="str">
        <f>_xll.BDS(TICKER &amp;" EQUITY",BD7,"BEST_FPERIOD_OVERRIDE",EstDetPerO,"STARTCOL=4","ENDCOL=4","EQY_FUND_CRNCY",CURRENCY,"BEST_CONSOLIDATED_OVERRIDE",BestConsOv)</f>
        <v>#N/A Requesting Data...</v>
      </c>
      <c r="BF8" s="78" t="str">
        <f>_xll.BDS(TICKER &amp;" EQUITY",BD7,"BEST_FPERIOD_OVERRIDE",EstDetPerO,"STARTCOL=6","ENDCOL=6","EQY_FUND_CRNCY",CURRENCY,"BEST_CONSOLIDATED_OVERRIDE",BestConsOv)</f>
        <v>#N/A Requesting Data...</v>
      </c>
      <c r="BG8" s="78" t="str">
        <f>_xll.BDS(TICKER &amp;" EQUITY",BD7,"BEST_FPERIOD_OVERRIDE",EstDetPerT,"STARTCOL=1","ENDCOL=1","EQY_FUND_CRNCY",CURRENCY,"BEST_CONSOLIDATED_OVERRIDE",BestConsOv)</f>
        <v>#N/A Requesting Data...</v>
      </c>
      <c r="BH8" s="78" t="str">
        <f>_xll.BDS(TICKER &amp;" EQUITY",BD7,"BEST_FPERIOD_OVERRIDE",EstDetPerT,"STARTCOL=4","ENDCOL=4","EQY_FUND_CRNCY",CURRENCY,"BEST_CONSOLIDATED_OVERRIDE",BestConsOv)</f>
        <v>#N/A Requesting Data...</v>
      </c>
      <c r="BI8" s="78" t="str">
        <f>_xll.BDS(TICKER &amp;" EQUITY",BI7,"BEST_FPERIOD_OVERRIDE",EstDetPerO,"STARTCOL=1","ENDCOL=1","EQY_FUND_CRNCY",CURRENCY,"BEST_CONSOLIDATED_OVERRIDE",BestConsOv)</f>
        <v>#N/A Requesting Data...</v>
      </c>
      <c r="BJ8" s="78" t="str">
        <f>_xll.BDS(TICKER &amp;" EQUITY",BI7,"BEST_FPERIOD_OVERRIDE",EstDetPerO,"STARTCOL=4","ENDCOL=4","EQY_FUND_CRNCY",CURRENCY,"BEST_CONSOLIDATED_OVERRIDE",BestConsOv)</f>
        <v>#N/A Requesting Data...</v>
      </c>
      <c r="BK8" s="78" t="str">
        <f>_xll.BDS(TICKER &amp;" EQUITY",BI7,"BEST_FPERIOD_OVERRIDE",EstDetPerO,"STARTCOL=6","ENDCOL=6","EQY_FUND_CRNCY",CURRENCY,"BEST_CONSOLIDATED_OVERRIDE",BestConsOv)</f>
        <v>#N/A Requesting Data...</v>
      </c>
      <c r="BL8" s="78" t="str">
        <f>_xll.BDS(TICKER &amp;" EQUITY",BI7,"BEST_FPERIOD_OVERRIDE",EstDetPerT,"STARTCOL=1","ENDCOL=1","EQY_FUND_CRNCY",CURRENCY,"BEST_CONSOLIDATED_OVERRIDE",BestConsOv)</f>
        <v>#N/A Requesting Data...</v>
      </c>
      <c r="BM8" s="78" t="str">
        <f>_xll.BDS(TICKER &amp;" EQUITY",BI7,"BEST_FPERIOD_OVERRIDE",EstDetPerT,"STARTCOL=4","ENDCOL=4","EQY_FUND_CRNCY",CURRENCY,"BEST_CONSOLIDATED_OVERRIDE",BestConsOv)</f>
        <v>#N/A Requesting Data...</v>
      </c>
      <c r="BN8" s="78" t="str">
        <f>_xll.BDS(TICKER &amp;" EQUITY",BN7,"BEST_FPERIOD_OVERRIDE",EstDetPerO,"STARTCOL=1","ENDCOL=1","EQY_FUND_CRNCY",CURRENCY,"BEST_CONSOLIDATED_OVERRIDE",BestConsOv)</f>
        <v>#N/A Requesting Data...</v>
      </c>
      <c r="BO8" s="78" t="str">
        <f>_xll.BDS(TICKER &amp;" EQUITY",BN7,"BEST_FPERIOD_OVERRIDE",EstDetPerO,"STARTCOL=4","ENDCOL=4","EQY_FUND_CRNCY",CURRENCY,"BEST_CONSOLIDATED_OVERRIDE",BestConsOv)</f>
        <v>#N/A Requesting Data...</v>
      </c>
      <c r="BP8" s="78" t="str">
        <f>_xll.BDS(TICKER &amp;" EQUITY",BN7,"BEST_FPERIOD_OVERRIDE",EstDetPerO,"STARTCOL=6","ENDCOL=6","EQY_FUND_CRNCY",CURRENCY,"BEST_CONSOLIDATED_OVERRIDE",BestConsOv)</f>
        <v>#N/A Requesting Data...</v>
      </c>
      <c r="BQ8" s="78" t="str">
        <f>_xll.BDS(TICKER &amp;" EQUITY",BN7,"BEST_FPERIOD_OVERRIDE",EstDetPerT,"STARTCOL=1","ENDCOL=1","EQY_FUND_CRNCY",CURRENCY,"BEST_CONSOLIDATED_OVERRIDE",BestConsOv)</f>
        <v>#N/A Requesting Data...</v>
      </c>
      <c r="BR8" s="78" t="str">
        <f>_xll.BDS(TICKER &amp;" EQUITY",BN7,"BEST_FPERIOD_OVERRIDE",EstDetPerT,"STARTCOL=4","ENDCOL=4","EQY_FUND_CRNCY",CURRENCY,"BEST_CONSOLIDATED_OVERRIDE",BestConsOv)</f>
        <v>#N/A Requesting Data...</v>
      </c>
      <c r="BS8" s="78" t="str">
        <f>_xll.BDS(TICKER &amp;" EQUITY",BS7,"BEST_FPERIOD_OVERRIDE",EstDetPerO,"STARTCOL=1","ENDCOL=1","EQY_FUND_CRNCY",CURRENCY,"BEST_CONSOLIDATED_OVERRIDE",BestConsOv)</f>
        <v>#N/A Requesting Data...</v>
      </c>
      <c r="BT8" s="78" t="str">
        <f>_xll.BDS(TICKER &amp;" EQUITY",BS7,"BEST_FPERIOD_OVERRIDE",EstDetPerO,"STARTCOL=4","ENDCOL=4","EQY_FUND_CRNCY",CURRENCY,"BEST_CONSOLIDATED_OVERRIDE",BestConsOv)</f>
        <v>#N/A Requesting Data...</v>
      </c>
      <c r="BU8" s="78" t="str">
        <f>_xll.BDS(TICKER &amp;" EQUITY",BS7,"BEST_FPERIOD_OVERRIDE",EstDetPerO,"STARTCOL=6","ENDCOL=6","EQY_FUND_CRNCY",CURRENCY,"BEST_CONSOLIDATED_OVERRIDE",BestConsOv)</f>
        <v>#N/A Requesting Data...</v>
      </c>
      <c r="BV8" s="78" t="str">
        <f>_xll.BDS(TICKER &amp;" EQUITY",BS7,"BEST_FPERIOD_OVERRIDE",EstDetPerT,"STARTCOL=1","ENDCOL=1","EQY_FUND_CRNCY",CURRENCY,"BEST_CONSOLIDATED_OVERRIDE",BestConsOv)</f>
        <v>#N/A Requesting Data...</v>
      </c>
      <c r="BW8" s="78" t="str">
        <f>_xll.BDS(TICKER &amp;" EQUITY",BS7,"BEST_FPERIOD_OVERRIDE",EstDetPerT,"STARTCOL=4","ENDCOL=4","EQY_FUND_CRNCY",CURRENCY,"BEST_CONSOLIDATED_OVERRIDE",BestConsOv)</f>
        <v>#N/A Requesting Data...</v>
      </c>
      <c r="BX8" s="78" t="str">
        <f>_xll.BDS(TICKER &amp;" EQUITY",BX7,"BEST_FPERIOD_OVERRIDE",EstDetPerO,"STARTCOL=1","ENDCOL=1","EQY_FUND_CRNCY",CURRENCY,"BEST_CONSOLIDATED_OVERRIDE",BestConsOv)</f>
        <v>#N/A Requesting Data...</v>
      </c>
      <c r="BY8" s="78" t="str">
        <f>_xll.BDS(TICKER &amp;" EQUITY",BX7,"BEST_FPERIOD_OVERRIDE",EstDetPerO,"STARTCOL=4","ENDCOL=4","EQY_FUND_CRNCY",CURRENCY,"BEST_CONSOLIDATED_OVERRIDE",BestConsOv)</f>
        <v>#N/A Requesting Data...</v>
      </c>
      <c r="BZ8" s="78" t="str">
        <f>_xll.BDS(TICKER &amp;" EQUITY",BX7,"BEST_FPERIOD_OVERRIDE",EstDetPerO,"STARTCOL=6","ENDCOL=6","EQY_FUND_CRNCY",CURRENCY,"BEST_CONSOLIDATED_OVERRIDE",BestConsOv)</f>
        <v>#N/A Requesting Data...</v>
      </c>
      <c r="CA8" s="78" t="str">
        <f>_xll.BDS(TICKER &amp;" EQUITY",BX7,"BEST_FPERIOD_OVERRIDE",EstDetPerT,"STARTCOL=1","ENDCOL=1","EQY_FUND_CRNCY",CURRENCY,"BEST_CONSOLIDATED_OVERRIDE",BestConsOv)</f>
        <v>#N/A Requesting Data...</v>
      </c>
      <c r="CB8" s="78" t="str">
        <f>_xll.BDS(TICKER &amp;" EQUITY",BX7,"BEST_FPERIOD_OVERRIDE",EstDetPerT,"STARTCOL=4","ENDCOL=4","EQY_FUND_CRNCY",CURRENCY,"BEST_CONSOLIDATED_OVERRIDE",BestConsOv)</f>
        <v>#N/A Requesting Data...</v>
      </c>
      <c r="CC8" s="78" t="str">
        <f>_xll.BDS(TICKER &amp;" EQUITY",CC7,"BEST_FPERIOD_OVERRIDE",EstDetPerO,"STARTCOL=1","ENDCOL=1","EQY_FUND_CRNCY",CURRENCY,"BEST_CONSOLIDATED_OVERRIDE",BestConsOv)</f>
        <v>#N/A Requesting Data...</v>
      </c>
      <c r="CD8" s="78" t="str">
        <f>_xll.BDS(TICKER &amp;" EQUITY",CC7,"BEST_FPERIOD_OVERRIDE",EstDetPerO,"STARTCOL=4","ENDCOL=4","EQY_FUND_CRNCY",CURRENCY,"BEST_CONSOLIDATED_OVERRIDE",BestConsOv)</f>
        <v>#N/A Requesting Data...</v>
      </c>
      <c r="CE8" s="78" t="str">
        <f>_xll.BDS(TICKER &amp;" EQUITY",CC7,"BEST_FPERIOD_OVERRIDE",EstDetPerO,"STARTCOL=6","ENDCOL=6","EQY_FUND_CRNCY",CURRENCY,"BEST_CONSOLIDATED_OVERRIDE",BestConsOv)</f>
        <v>#N/A Requesting Data...</v>
      </c>
      <c r="CF8" s="78" t="str">
        <f>_xll.BDS(TICKER &amp;" EQUITY",CC7,"BEST_FPERIOD_OVERRIDE",EstDetPerT,"STARTCOL=1","ENDCOL=1","EQY_FUND_CRNCY",CURRENCY,"BEST_CONSOLIDATED_OVERRIDE",BestConsOv)</f>
        <v>#N/A Requesting Data...</v>
      </c>
      <c r="CG8" s="78" t="str">
        <f>_xll.BDS(TICKER &amp;" EQUITY",CC7,"BEST_FPERIOD_OVERRIDE",EstDetPerT,"STARTCOL=4","ENDCOL=4","EQY_FUND_CRNCY",CURRENCY,"BEST_CONSOLIDATED_OVERRIDE",BestConsOv)</f>
        <v>#N/A Requesting Data...</v>
      </c>
      <c r="CH8" s="78" t="str">
        <f>_xll.BDS(TICKER &amp;" EQUITY",CH7,"BEST_FPERIOD_OVERRIDE",EstDetPerO,"STARTCOL=1","ENDCOL=1","EQY_FUND_CRNCY",CURRENCY,"BEST_CONSOLIDATED_OVERRIDE",BestConsOv)</f>
        <v>#N/A Requesting Data...</v>
      </c>
      <c r="CI8" s="78" t="str">
        <f>_xll.BDS(TICKER &amp;" EQUITY",CH7,"BEST_FPERIOD_OVERRIDE",EstDetPerO,"STARTCOL=4","ENDCOL=4","EQY_FUND_CRNCY",CURRENCY,"BEST_CONSOLIDATED_OVERRIDE",BestConsOv)</f>
        <v>#N/A Requesting Data...</v>
      </c>
      <c r="CJ8" s="78" t="str">
        <f>_xll.BDS(TICKER &amp;" EQUITY",CH7,"BEST_FPERIOD_OVERRIDE",EstDetPerO,"STARTCOL=6","ENDCOL=6","EQY_FUND_CRNCY",CURRENCY,"BEST_CONSOLIDATED_OVERRIDE",BestConsOv)</f>
        <v>#N/A Requesting Data...</v>
      </c>
      <c r="CK8" s="78" t="str">
        <f>_xll.BDS(TICKER &amp;" EQUITY",CH7,"BEST_FPERIOD_OVERRIDE",EstDetPerT,"STARTCOL=1","ENDCOL=1","EQY_FUND_CRNCY",CURRENCY,"BEST_CONSOLIDATED_OVERRIDE",BestConsOv)</f>
        <v>#N/A Requesting Data...</v>
      </c>
      <c r="CL8" s="78" t="str">
        <f>_xll.BDS(TICKER &amp;" EQUITY",CH7,"BEST_FPERIOD_OVERRIDE",EstDetPerT,"STARTCOL=4","ENDCOL=4","EQY_FUND_CRNCY",CURRENCY,"BEST_CONSOLIDATED_OVERRIDE",BestConsOv)</f>
        <v>#N/A Requesting Data...</v>
      </c>
      <c r="CM8" s="78" t="str">
        <f>_xll.BDS(TICKER &amp;" EQUITY",CM7,"BEST_FPERIOD_OVERRIDE",EstDetPerO,"STARTCOL=1","ENDCOL=1","EQY_FUND_CRNCY",CURRENCY,"BEST_CONSOLIDATED_OVERRIDE",BestConsOv)</f>
        <v>#N/A Requesting Data...</v>
      </c>
      <c r="CN8" s="78" t="str">
        <f>_xll.BDS(TICKER &amp;" EQUITY",CM7,"BEST_FPERIOD_OVERRIDE",EstDetPerO,"STARTCOL=4","ENDCOL=4","EQY_FUND_CRNCY",CURRENCY,"BEST_CONSOLIDATED_OVERRIDE",BestConsOv)</f>
        <v>#N/A Requesting Data...</v>
      </c>
      <c r="CO8" s="78" t="str">
        <f>_xll.BDS(TICKER &amp;" EQUITY",CM7,"BEST_FPERIOD_OVERRIDE",EstDetPerO,"STARTCOL=6","ENDCOL=6","EQY_FUND_CRNCY",CURRENCY,"BEST_CONSOLIDATED_OVERRIDE",BestConsOv)</f>
        <v>#N/A Requesting Data...</v>
      </c>
      <c r="CP8" s="78" t="str">
        <f>_xll.BDS(TICKER &amp;" EQUITY",CM7,"BEST_FPERIOD_OVERRIDE",EstDetPerT,"STARTCOL=1","ENDCOL=1","EQY_FUND_CRNCY",CURRENCY,"BEST_CONSOLIDATED_OVERRIDE",BestConsOv)</f>
        <v>#N/A Requesting Data...</v>
      </c>
      <c r="CQ8" s="78" t="str">
        <f>_xll.BDS(TICKER &amp;" EQUITY",CM7,"BEST_FPERIOD_OVERRIDE",EstDetPerT,"STARTCOL=4","ENDCOL=4","EQY_FUND_CRNCY",CURRENCY,"BEST_CONSOLIDATED_OVERRIDE",BestConsOv)</f>
        <v>#N/A Requesting Data...</v>
      </c>
      <c r="CR8" s="78" t="str">
        <f>_xll.BDS(TICKER &amp;" EQUITY",CR7,"BEST_FPERIOD_OVERRIDE",EstDetPerO,"STARTCOL=1","ENDCOL=1","EQY_FUND_CRNCY",CURRENCY,"BEST_CONSOLIDATED_OVERRIDE",BestConsOv)</f>
        <v>#N/A Requesting Data...</v>
      </c>
      <c r="CS8" s="78" t="str">
        <f>_xll.BDS(TICKER &amp;" EQUITY",CR7,"BEST_FPERIOD_OVERRIDE",EstDetPerO,"STARTCOL=4","ENDCOL=4","EQY_FUND_CRNCY",CURRENCY,"BEST_CONSOLIDATED_OVERRIDE",BestConsOv)</f>
        <v>#N/A Requesting Data...</v>
      </c>
      <c r="CT8" s="78" t="str">
        <f>_xll.BDS(TICKER &amp;" EQUITY",CR7,"BEST_FPERIOD_OVERRIDE",EstDetPerO,"STARTCOL=6","ENDCOL=6","EQY_FUND_CRNCY",CURRENCY,"BEST_CONSOLIDATED_OVERRIDE",BestConsOv)</f>
        <v>#N/A Requesting Data...</v>
      </c>
      <c r="CU8" s="78" t="str">
        <f>_xll.BDS(TICKER &amp;" EQUITY",CR7,"BEST_FPERIOD_OVERRIDE",EstDetPerT,"STARTCOL=1","ENDCOL=1","EQY_FUND_CRNCY",CURRENCY,"BEST_CONSOLIDATED_OVERRIDE",BestConsOv)</f>
        <v>#N/A Requesting Data...</v>
      </c>
      <c r="CV8" s="78" t="str">
        <f>_xll.BDS(TICKER &amp;" EQUITY",CR7,"BEST_FPERIOD_OVERRIDE",EstDetPerT,"STARTCOL=4","ENDCOL=4","EQY_FUND_CRNCY",CURRENCY,"BEST_CONSOLIDATED_OVERRIDE",BestConsOv)</f>
        <v>#N/A Requesting Data...</v>
      </c>
      <c r="CW8" s="78" t="str">
        <f>_xll.BDS(TICKER &amp;" EQUITY",CW7,"BEST_FPERIOD_OVERRIDE",EstDetPerO,"STARTCOL=1","ENDCOL=1","EQY_FUND_CRNCY",CURRENCY,"BEST_CONSOLIDATED_OVERRIDE",BestConsOv)</f>
        <v>#N/A Requesting Data...</v>
      </c>
      <c r="CX8" s="78" t="str">
        <f>_xll.BDS(TICKER &amp;" EQUITY",CW7,"BEST_FPERIOD_OVERRIDE",EstDetPerO,"STARTCOL=4","ENDCOL=4","EQY_FUND_CRNCY",CURRENCY,"BEST_CONSOLIDATED_OVERRIDE",BestConsOv)</f>
        <v>#N/A Requesting Data...</v>
      </c>
      <c r="CY8" s="78" t="str">
        <f>_xll.BDS(TICKER &amp;" EQUITY",CW7,"BEST_FPERIOD_OVERRIDE",EstDetPerO,"STARTCOL=6","ENDCOL=6","EQY_FUND_CRNCY",CURRENCY,"BEST_CONSOLIDATED_OVERRIDE",BestConsOv)</f>
        <v>#N/A Requesting Data...</v>
      </c>
      <c r="CZ8" s="78" t="str">
        <f>_xll.BDS(TICKER &amp;" EQUITY",CW7,"BEST_FPERIOD_OVERRIDE",EstDetPerT,"STARTCOL=1","ENDCOL=1","EQY_FUND_CRNCY",CURRENCY,"BEST_CONSOLIDATED_OVERRIDE",BestConsOv)</f>
        <v>#N/A Requesting Data...</v>
      </c>
      <c r="DA8" s="78" t="str">
        <f>_xll.BDS(TICKER &amp;" EQUITY",CW7,"BEST_FPERIOD_OVERRIDE",EstDetPerT,"STARTCOL=4","ENDCOL=4","EQY_FUND_CRNCY",CURRENCY,"BEST_CONSOLIDATED_OVERRIDE",BestConsOv)</f>
        <v>#N/A Requesting Data...</v>
      </c>
      <c r="DB8" s="78" t="str">
        <f>_xll.BDS(TICKER &amp;" EQUITY",DB7,"BEST_FPERIOD_OVERRIDE",EstDetPerO,"STARTCOL=1","ENDCOL=1","EQY_FUND_CRNCY",CURRENCY,"BEST_CONSOLIDATED_OVERRIDE",BestConsOv)</f>
        <v>#N/A Requesting Data...</v>
      </c>
      <c r="DC8" s="78" t="str">
        <f>_xll.BDS(TICKER &amp;" EQUITY",DB7,"BEST_FPERIOD_OVERRIDE",EstDetPerO,"STARTCOL=4","ENDCOL=4","EQY_FUND_CRNCY",CURRENCY,"BEST_CONSOLIDATED_OVERRIDE",BestConsOv)</f>
        <v>#N/A Requesting Data...</v>
      </c>
      <c r="DD8" s="78" t="str">
        <f>_xll.BDS(TICKER &amp;" EQUITY",DB7,"BEST_FPERIOD_OVERRIDE",EstDetPerO,"STARTCOL=6","ENDCOL=6","EQY_FUND_CRNCY",CURRENCY,"BEST_CONSOLIDATED_OVERRIDE",BestConsOv)</f>
        <v>#N/A Requesting Data...</v>
      </c>
      <c r="DE8" s="78" t="str">
        <f>_xll.BDS(TICKER &amp;" EQUITY",DB7,"BEST_FPERIOD_OVERRIDE",EstDetPerT,"STARTCOL=1","ENDCOL=1","EQY_FUND_CRNCY",CURRENCY,"BEST_CONSOLIDATED_OVERRIDE",BestConsOv)</f>
        <v>#N/A Requesting Data...</v>
      </c>
      <c r="DF8" s="78" t="str">
        <f>_xll.BDS(TICKER &amp;" EQUITY",DB7,"BEST_FPERIOD_OVERRIDE",EstDetPerT,"STARTCOL=4","ENDCOL=4","EQY_FUND_CRNCY",CURRENCY,"BEST_CONSOLIDATED_OVERRIDE",BestConsOv)</f>
        <v>#N/A Requesting Data...</v>
      </c>
      <c r="DG8" s="78" t="str">
        <f>_xll.BDS(TICKER &amp;" EQUITY",DG7,"BEST_FPERIOD_OVERRIDE",EstDetPerO,"STARTCOL=1","ENDCOL=1","EQY_FUND_CRNCY",CURRENCY,"BEST_CONSOLIDATED_OVERRIDE",BestConsOv)</f>
        <v>#N/A Requesting Data...</v>
      </c>
      <c r="DH8" s="78" t="str">
        <f>_xll.BDS(TICKER &amp;" EQUITY",DG7,"BEST_FPERIOD_OVERRIDE",EstDetPerO,"STARTCOL=4","ENDCOL=4","EQY_FUND_CRNCY",CURRENCY,"BEST_CONSOLIDATED_OVERRIDE",BestConsOv)</f>
        <v>#N/A Requesting Data...</v>
      </c>
      <c r="DI8" s="78" t="str">
        <f>_xll.BDS(TICKER &amp;" EQUITY",DG7,"BEST_FPERIOD_OVERRIDE",EstDetPerO,"STARTCOL=6","ENDCOL=6","EQY_FUND_CRNCY",CURRENCY,"BEST_CONSOLIDATED_OVERRIDE",BestConsOv)</f>
        <v>#N/A Requesting Data...</v>
      </c>
      <c r="DJ8" s="78" t="str">
        <f>_xll.BDS(TICKER &amp;" EQUITY",DG7,"BEST_FPERIOD_OVERRIDE",EstDetPerT,"STARTCOL=1","ENDCOL=1","EQY_FUND_CRNCY",CURRENCY,"BEST_CONSOLIDATED_OVERRIDE",BestConsOv)</f>
        <v>#N/A Requesting Data...</v>
      </c>
      <c r="DK8" s="78" t="str">
        <f>_xll.BDS(TICKER &amp;" EQUITY",DG7,"BEST_FPERIOD_OVERRIDE",EstDetPerT,"STARTCOL=4","ENDCOL=4","EQY_FUND_CRNCY",CURRENCY,"BEST_CONSOLIDATED_OVERRIDE",BestConsOv)</f>
        <v>#N/A Requesting Data...</v>
      </c>
      <c r="DL8" s="78" t="str">
        <f>_xll.BDS(TICKER &amp;" EQUITY",DL7,"BEST_FPERIOD_OVERRIDE",EstDetPerO,"STARTCOL=1","ENDCOL=1","EQY_FUND_CRNCY",CURRENCY,"BEST_CONSOLIDATED_OVERRIDE",BestConsOv)</f>
        <v>#N/A Requesting Data...</v>
      </c>
      <c r="DM8" s="78" t="str">
        <f>_xll.BDS(TICKER &amp;" EQUITY",DL7,"BEST_FPERIOD_OVERRIDE",EstDetPerO,"STARTCOL=4","ENDCOL=4","EQY_FUND_CRNCY",CURRENCY,"BEST_CONSOLIDATED_OVERRIDE",BestConsOv)</f>
        <v>#N/A Requesting Data...</v>
      </c>
      <c r="DN8" s="78" t="str">
        <f>_xll.BDS(TICKER &amp;" EQUITY",DL7,"BEST_FPERIOD_OVERRIDE",EstDetPerO,"STARTCOL=6","ENDCOL=6","EQY_FUND_CRNCY",CURRENCY,"BEST_CONSOLIDATED_OVERRIDE",BestConsOv)</f>
        <v>#N/A Requesting Data...</v>
      </c>
      <c r="DO8" s="78" t="str">
        <f>_xll.BDS(TICKER &amp;" EQUITY",DL7,"BEST_FPERIOD_OVERRIDE",EstDetPerT,"STARTCOL=1","ENDCOL=1","EQY_FUND_CRNCY",CURRENCY,"BEST_CONSOLIDATED_OVERRIDE",BestConsOv)</f>
        <v>#N/A Requesting Data...</v>
      </c>
      <c r="DP8" s="78" t="str">
        <f>_xll.BDS(TICKER &amp;" EQUITY",DL7,"BEST_FPERIOD_OVERRIDE",EstDetPerT,"STARTCOL=4","ENDCOL=4","EQY_FUND_CRNCY",CURRENCY,"BEST_CONSOLIDATED_OVERRIDE",BestConsOv)</f>
        <v>#N/A Requesting Data...</v>
      </c>
    </row>
    <row r="9" spans="1:123">
      <c r="A9" s="68" t="s">
        <v>656</v>
      </c>
      <c r="B9" s="38">
        <v>40082</v>
      </c>
      <c r="C9">
        <v>42905</v>
      </c>
      <c r="D9">
        <f t="shared" si="0"/>
        <v>2009</v>
      </c>
      <c r="F9" s="32" t="s">
        <v>798</v>
      </c>
      <c r="G9" s="33" t="s">
        <v>527</v>
      </c>
      <c r="H9" s="33"/>
      <c r="I9" s="34"/>
      <c r="K9" s="32"/>
      <c r="L9" s="33"/>
      <c r="M9" s="33"/>
      <c r="N9" s="34"/>
      <c r="P9" t="s">
        <v>421</v>
      </c>
      <c r="Q9" t="s">
        <v>517</v>
      </c>
      <c r="R9" t="s">
        <v>603</v>
      </c>
      <c r="S9" t="s">
        <v>387</v>
      </c>
      <c r="T9" t="s">
        <v>599</v>
      </c>
      <c r="V9" s="38">
        <v>42062</v>
      </c>
      <c r="W9">
        <v>128.46</v>
      </c>
      <c r="X9">
        <v>8.5730000000000004</v>
      </c>
      <c r="Y9">
        <v>9.2370000000000001</v>
      </c>
      <c r="Z9">
        <v>10.013999999999999</v>
      </c>
      <c r="AA9">
        <v>606695.13410000002</v>
      </c>
      <c r="AB9">
        <v>76643.411999999997</v>
      </c>
      <c r="AC9">
        <v>81842.353000000003</v>
      </c>
      <c r="AD9">
        <v>89230.555999999997</v>
      </c>
      <c r="AF9" s="38">
        <f t="shared" si="1"/>
        <v>42062</v>
      </c>
      <c r="AG9">
        <f t="shared" si="2"/>
        <v>14.984252886970722</v>
      </c>
      <c r="AH9">
        <f t="shared" si="3"/>
        <v>13.907112698928223</v>
      </c>
      <c r="AI9">
        <f t="shared" si="4"/>
        <v>12.828040742959859</v>
      </c>
      <c r="AJ9">
        <f t="shared" si="5"/>
        <v>7.9158158316333838</v>
      </c>
      <c r="AK9">
        <f t="shared" si="6"/>
        <v>7.4129727685126552</v>
      </c>
      <c r="AL9">
        <f t="shared" si="7"/>
        <v>6.7991858540027481</v>
      </c>
      <c r="AN9" t="s">
        <v>824</v>
      </c>
      <c r="AO9" t="str">
        <f t="shared" si="8"/>
        <v>Canaccord Genuity</v>
      </c>
      <c r="AQ9" t="s">
        <v>824</v>
      </c>
      <c r="AR9" t="str">
        <f t="shared" si="9"/>
        <v>Canaccord Genuity</v>
      </c>
    </row>
    <row r="10" spans="1:123">
      <c r="A10" s="68" t="s">
        <v>657</v>
      </c>
      <c r="B10" s="38">
        <v>39718</v>
      </c>
      <c r="C10">
        <v>37491</v>
      </c>
      <c r="D10">
        <f t="shared" si="0"/>
        <v>2008</v>
      </c>
      <c r="F10" s="35"/>
      <c r="G10" s="36"/>
      <c r="H10" s="36"/>
      <c r="I10" s="37"/>
      <c r="K10" s="35"/>
      <c r="L10" s="36"/>
      <c r="M10" s="36"/>
      <c r="N10" s="37"/>
      <c r="V10" s="38">
        <v>42055</v>
      </c>
      <c r="W10">
        <v>129.495</v>
      </c>
      <c r="X10">
        <v>8.5719999999999992</v>
      </c>
      <c r="Y10">
        <v>9.2260000000000009</v>
      </c>
      <c r="Z10">
        <v>9.9629999999999992</v>
      </c>
      <c r="AA10">
        <v>612723.74829999998</v>
      </c>
      <c r="AB10">
        <v>76616.881999999998</v>
      </c>
      <c r="AC10">
        <v>81578.058999999994</v>
      </c>
      <c r="AD10">
        <v>88550.5</v>
      </c>
      <c r="AF10" s="38">
        <f t="shared" si="1"/>
        <v>42055</v>
      </c>
      <c r="AG10">
        <f t="shared" si="2"/>
        <v>15.106742883807748</v>
      </c>
      <c r="AH10">
        <f t="shared" si="3"/>
        <v>14.035876869716018</v>
      </c>
      <c r="AI10">
        <f t="shared" si="4"/>
        <v>12.997591087021982</v>
      </c>
      <c r="AJ10">
        <f t="shared" si="5"/>
        <v>7.9972420216735003</v>
      </c>
      <c r="AK10">
        <f t="shared" si="6"/>
        <v>7.510889028384458</v>
      </c>
      <c r="AL10">
        <f t="shared" si="7"/>
        <v>6.9194837781830705</v>
      </c>
      <c r="AN10" t="s">
        <v>719</v>
      </c>
      <c r="AO10" t="str">
        <f t="shared" si="8"/>
        <v>Piper Jaffray</v>
      </c>
      <c r="AQ10" t="s">
        <v>719</v>
      </c>
      <c r="AR10" t="str">
        <f t="shared" si="9"/>
        <v>Piper Jaffray</v>
      </c>
    </row>
    <row r="11" spans="1:123">
      <c r="V11" s="38">
        <v>42048</v>
      </c>
      <c r="W11">
        <v>127.08</v>
      </c>
      <c r="X11">
        <v>8.5640000000000001</v>
      </c>
      <c r="Y11">
        <v>9.2029999999999994</v>
      </c>
      <c r="Z11">
        <v>9.9149999999999991</v>
      </c>
      <c r="AA11">
        <v>598656.98179999995</v>
      </c>
      <c r="AB11">
        <v>76495.353000000003</v>
      </c>
      <c r="AC11">
        <v>81394.471000000005</v>
      </c>
      <c r="AD11">
        <v>88064.125</v>
      </c>
      <c r="AF11" s="38">
        <f t="shared" si="1"/>
        <v>42048</v>
      </c>
      <c r="AG11">
        <f t="shared" si="2"/>
        <v>14.838860345632881</v>
      </c>
      <c r="AH11">
        <f t="shared" si="3"/>
        <v>13.808540693252201</v>
      </c>
      <c r="AI11">
        <f t="shared" si="4"/>
        <v>12.81694402420575</v>
      </c>
      <c r="AJ11">
        <f t="shared" si="5"/>
        <v>7.8260568560288872</v>
      </c>
      <c r="AK11">
        <f t="shared" si="6"/>
        <v>7.3550079562529485</v>
      </c>
      <c r="AL11">
        <f t="shared" si="7"/>
        <v>6.7979666158041079</v>
      </c>
      <c r="AN11" t="s">
        <v>680</v>
      </c>
      <c r="AO11" t="str">
        <f t="shared" si="8"/>
        <v>Jefferies</v>
      </c>
      <c r="AQ11" t="s">
        <v>680</v>
      </c>
      <c r="AR11" t="str">
        <f t="shared" si="9"/>
        <v>Jefferies</v>
      </c>
    </row>
    <row r="12" spans="1:123">
      <c r="A12" s="62" t="str">
        <f>IF(LEFT(B13,1)="#",IF(LEFT(C13,1)="#",D12,C12),B12)</f>
        <v>FQ</v>
      </c>
      <c r="B12" s="30" t="s">
        <v>415</v>
      </c>
      <c r="C12" s="30" t="s">
        <v>416</v>
      </c>
      <c r="D12" s="31" t="s">
        <v>417</v>
      </c>
      <c r="F12" s="29" t="str">
        <f>IF(LEFT(IF(LEFT(F3, 1) = "#", K3, F3), 1) = "#", "Unallocated Sales", IF(LEFT(F3, 1) = "#", K3, F3))</f>
        <v>iPhone</v>
      </c>
      <c r="G12" s="30">
        <f>IF(LEFT(IF(LEFT(G3, 1) = "#", L3, G3), 1) = "#", 1, IF(LEFT(G3, 1) = "#", L3, G3))</f>
        <v>101991</v>
      </c>
      <c r="H12" s="30" t="str">
        <f>IF(LEFT(IF(LEFT(H3, 1) = "#", M3, H3), 1) = "#", "Unallocated Sales", IF(LEFT(H3, 1) = "#", M3, H3))</f>
        <v>Americas</v>
      </c>
      <c r="I12" s="31">
        <f>IF(LEFT(IF(LEFT(I3, 1) = "#", N3, I3), 1) = "#", 1, IF(LEFT(I3, 1) = "#", N3, I3))</f>
        <v>80095</v>
      </c>
      <c r="K12" t="str">
        <f>IF(Lang="english",_xll.BDS(TICKER&amp;" EQUITY","CIE_DES_BULK","StartCol=1","EndCol=1","StartRow=1","EndRow=5","cols=1;rows=5"),IF(Lang="中文",_xll.BDS(TICKER&amp;" Equity","CIE_DES_BULK_CHINESE_TRADITIONAL","StartCol=1","EndCol=1","StartRow=1","EndRow=5","cols=1;rows=5","cols=1;rows=5"),_xll.BDS(TICKER&amp;" Equity","CIE_DES_BULK_JAPANESE","StartCol=1","EndCol=1","StartRow=1","EndRow=5","cols=1;rows=5","cols=1;rows=5")))</f>
        <v>Apple Inc. designs, manufactures, and markets personal computers and related</v>
      </c>
      <c r="V12" s="38">
        <v>42041</v>
      </c>
      <c r="W12">
        <v>118.93</v>
      </c>
      <c r="X12">
        <v>8.5579999999999998</v>
      </c>
      <c r="Y12">
        <v>9.1790000000000003</v>
      </c>
      <c r="Z12">
        <v>9.9149999999999991</v>
      </c>
      <c r="AA12">
        <v>551185.28520000004</v>
      </c>
      <c r="AB12">
        <v>76419.058999999994</v>
      </c>
      <c r="AC12">
        <v>80970.353000000003</v>
      </c>
      <c r="AD12">
        <v>88064.125</v>
      </c>
      <c r="AF12" s="38">
        <f t="shared" si="1"/>
        <v>42041</v>
      </c>
      <c r="AG12">
        <f t="shared" si="2"/>
        <v>13.896938537041367</v>
      </c>
      <c r="AH12">
        <f t="shared" si="3"/>
        <v>12.956749101209283</v>
      </c>
      <c r="AI12">
        <f t="shared" si="4"/>
        <v>11.994957135653053</v>
      </c>
      <c r="AJ12">
        <f t="shared" si="5"/>
        <v>7.2126677874952643</v>
      </c>
      <c r="AK12">
        <f t="shared" si="6"/>
        <v>6.8072481442683106</v>
      </c>
      <c r="AL12">
        <f t="shared" si="7"/>
        <v>6.2589083261770906</v>
      </c>
      <c r="AN12" t="s">
        <v>722</v>
      </c>
      <c r="AO12" t="str">
        <f t="shared" si="8"/>
        <v>Robert W. Baird &amp; Co</v>
      </c>
      <c r="AQ12" t="s">
        <v>722</v>
      </c>
      <c r="AR12" t="str">
        <f t="shared" si="9"/>
        <v>Robert W. Baird &amp; Co</v>
      </c>
    </row>
    <row r="13" spans="1:123">
      <c r="A13" s="63" t="str">
        <f>RIGHT(A12, 1)</f>
        <v>Q</v>
      </c>
      <c r="B13" s="36">
        <f>_xll.BDP(TICKER &amp; " EQUITY","CASH_AND_ST_INVESTMENTS", "EQY_FUND_RELATIVE_PERIOD", "-0FQ")</f>
        <v>202848</v>
      </c>
      <c r="C13" s="36" t="str">
        <f>_xll.BDP(TICKER &amp; " EQUITY","CASH_AND_ST_INVESTMENTS", "EQY_FUND_RELATIVE_PERIOD", "-0FS")</f>
        <v>#N/A N/A</v>
      </c>
      <c r="D13" s="37">
        <f>_xll.BDP(TICKER &amp; " EQUITY","CASH_AND_ST_INVESTMENTS", "EQY_FUND_RELATIVE_PERIOD", "-0FY")</f>
        <v>155239</v>
      </c>
      <c r="F13" s="32" t="str">
        <f>IF(IF(F4 = "", K4, F4) = "", "", IF(F4 = "", K4, F4))</f>
        <v>iPad</v>
      </c>
      <c r="G13" s="33">
        <f>IF(IF(G4 = "", L4, G4) = "", "", IF(G4 = "", L4, G4))</f>
        <v>30283</v>
      </c>
      <c r="H13" s="33" t="str">
        <f>IF(IF(H4 = "", M4, H4) = "", "", IF(H4 = "", M4, H4))</f>
        <v>Europe</v>
      </c>
      <c r="I13" s="34">
        <f>IF(IF(I4 = "", N4, I4) = "", "", IF(I4 = "", N4, I4))</f>
        <v>44285</v>
      </c>
      <c r="K13" t="s">
        <v>749</v>
      </c>
      <c r="V13" s="38">
        <v>42034</v>
      </c>
      <c r="W13">
        <v>117.16</v>
      </c>
      <c r="X13">
        <v>8.5250000000000004</v>
      </c>
      <c r="Y13">
        <v>9.1270000000000007</v>
      </c>
      <c r="Z13">
        <v>9.8149999999999995</v>
      </c>
      <c r="AA13">
        <v>540875.48120000004</v>
      </c>
      <c r="AB13">
        <v>76011.764999999999</v>
      </c>
      <c r="AC13">
        <v>80497.646999999997</v>
      </c>
      <c r="AD13">
        <v>87134</v>
      </c>
      <c r="AF13" s="38">
        <f t="shared" si="1"/>
        <v>42034</v>
      </c>
      <c r="AG13">
        <f t="shared" si="2"/>
        <v>13.743108504398826</v>
      </c>
      <c r="AH13">
        <f t="shared" si="3"/>
        <v>12.836638544976442</v>
      </c>
      <c r="AI13">
        <f t="shared" si="4"/>
        <v>11.93683138053999</v>
      </c>
      <c r="AJ13">
        <f t="shared" si="5"/>
        <v>7.1156811212053821</v>
      </c>
      <c r="AK13">
        <f t="shared" si="6"/>
        <v>6.7191464764181248</v>
      </c>
      <c r="AL13">
        <f t="shared" si="7"/>
        <v>6.2073987329859763</v>
      </c>
      <c r="AN13" t="s">
        <v>641</v>
      </c>
      <c r="AO13" t="str">
        <f t="shared" si="8"/>
        <v>PERM DENIED</v>
      </c>
      <c r="AQ13" t="s">
        <v>641</v>
      </c>
      <c r="AR13" t="str">
        <f t="shared" si="9"/>
        <v>PERM DENIED</v>
      </c>
    </row>
    <row r="14" spans="1:123">
      <c r="C14" s="167" t="str">
        <f>OverviewValRatioPeriod</f>
        <v>Fiscal Year</v>
      </c>
      <c r="D14" s="33" t="str">
        <f>VLOOKUP(C14,C15:D17, 2, FALSE)</f>
        <v>FY</v>
      </c>
      <c r="F14" s="32" t="str">
        <f t="shared" ref="F14:F19" si="10">IF(IF(F5 = "", K5, F5) = "", "", IF(F5 = "", K5, F5))</f>
        <v>Macintosh</v>
      </c>
      <c r="G14" s="33">
        <f t="shared" ref="G14:G19" si="11">IF(IF(G5 = "", L5, G5) = "", "", IF(G5 = "", L5, G5))</f>
        <v>24079</v>
      </c>
      <c r="H14" s="33" t="str">
        <f t="shared" ref="H14:H19" si="12">IF(IF(H5 = "", M5, H5) = "", "", IF(H5 = "", M5, H5))</f>
        <v>Asia-Pacific (Australia &amp; Asia)</v>
      </c>
      <c r="I14" s="34">
        <f t="shared" ref="I14:I19" si="13">IF(IF(I5 = "", N5, I5) = "", "", IF(I5 = "", N5, I5))</f>
        <v>43101</v>
      </c>
      <c r="K14" t="s">
        <v>750</v>
      </c>
      <c r="V14" s="38">
        <v>42027</v>
      </c>
      <c r="W14">
        <v>112.98</v>
      </c>
      <c r="X14">
        <v>7.7910000000000004</v>
      </c>
      <c r="Y14">
        <v>8.6329999999999991</v>
      </c>
      <c r="Z14">
        <v>9.4019999999999992</v>
      </c>
      <c r="AA14">
        <v>516528.0343</v>
      </c>
      <c r="AB14">
        <v>70402.562999999995</v>
      </c>
      <c r="AC14">
        <v>75582.687999999995</v>
      </c>
      <c r="AD14">
        <v>83430.429000000004</v>
      </c>
      <c r="AF14" s="38">
        <f t="shared" si="1"/>
        <v>42027</v>
      </c>
      <c r="AG14">
        <f t="shared" si="2"/>
        <v>14.501347708894878</v>
      </c>
      <c r="AH14">
        <f t="shared" si="3"/>
        <v>13.08699177574424</v>
      </c>
      <c r="AI14">
        <f t="shared" si="4"/>
        <v>12.016592214422465</v>
      </c>
      <c r="AJ14">
        <f t="shared" si="5"/>
        <v>7.3367788371568237</v>
      </c>
      <c r="AK14">
        <f t="shared" si="6"/>
        <v>6.8339463436389032</v>
      </c>
      <c r="AL14">
        <f t="shared" si="7"/>
        <v>6.1911228372084723</v>
      </c>
      <c r="AN14" t="s">
        <v>641</v>
      </c>
      <c r="AO14" t="str">
        <f t="shared" si="8"/>
        <v>PERM DENIED</v>
      </c>
      <c r="AQ14" t="s">
        <v>641</v>
      </c>
      <c r="AR14" t="str">
        <f t="shared" si="9"/>
        <v>PERM DENIED</v>
      </c>
    </row>
    <row r="15" spans="1:123">
      <c r="A15" s="60" t="s">
        <v>622</v>
      </c>
      <c r="B15" s="64"/>
      <c r="C15" s="32" t="s">
        <v>425</v>
      </c>
      <c r="D15" s="34" t="s">
        <v>415</v>
      </c>
      <c r="F15" s="32" t="str">
        <f t="shared" si="10"/>
        <v>Services</v>
      </c>
      <c r="G15" s="33">
        <f t="shared" si="11"/>
        <v>18063</v>
      </c>
      <c r="H15" s="33" t="str">
        <f t="shared" si="12"/>
        <v>Japan</v>
      </c>
      <c r="I15" s="34">
        <f t="shared" si="13"/>
        <v>15314</v>
      </c>
      <c r="K15" t="s">
        <v>751</v>
      </c>
      <c r="V15" s="38">
        <v>42020</v>
      </c>
      <c r="W15">
        <v>105.99</v>
      </c>
      <c r="X15">
        <v>7.7759999999999998</v>
      </c>
      <c r="Y15">
        <v>8.6470000000000002</v>
      </c>
      <c r="Z15">
        <v>9.4</v>
      </c>
      <c r="AA15">
        <v>480062.375</v>
      </c>
      <c r="AB15">
        <v>70219.562999999995</v>
      </c>
      <c r="AC15">
        <v>75936.812999999995</v>
      </c>
      <c r="AD15">
        <v>83458.857000000004</v>
      </c>
      <c r="AF15" s="38">
        <f t="shared" si="1"/>
        <v>42020</v>
      </c>
      <c r="AG15">
        <f t="shared" si="2"/>
        <v>13.6304012345679</v>
      </c>
      <c r="AH15">
        <f t="shared" si="3"/>
        <v>12.257430322655255</v>
      </c>
      <c r="AI15">
        <f t="shared" si="4"/>
        <v>11.275531914893616</v>
      </c>
      <c r="AJ15">
        <f t="shared" si="5"/>
        <v>6.8365901821405526</v>
      </c>
      <c r="AK15">
        <f t="shared" si="6"/>
        <v>6.321866246875544</v>
      </c>
      <c r="AL15">
        <f t="shared" si="7"/>
        <v>5.7520842275613715</v>
      </c>
      <c r="AN15" t="s">
        <v>641</v>
      </c>
      <c r="AO15" t="str">
        <f t="shared" si="8"/>
        <v>PERM DENIED</v>
      </c>
      <c r="AQ15" t="s">
        <v>641</v>
      </c>
      <c r="AR15" t="str">
        <f t="shared" si="9"/>
        <v>PERM DENIED</v>
      </c>
    </row>
    <row r="16" spans="1:123">
      <c r="A16" s="168" t="str">
        <f>FinancialsPeriod</f>
        <v>Fiscal Year</v>
      </c>
      <c r="B16" s="33" t="str">
        <f>VLOOKUP(A16,A17:B19, 2, FALSE)</f>
        <v>FY</v>
      </c>
      <c r="C16" s="32" t="s">
        <v>426</v>
      </c>
      <c r="D16" s="34" t="s">
        <v>416</v>
      </c>
      <c r="F16" s="32" t="str">
        <f t="shared" si="10"/>
        <v>Other Products</v>
      </c>
      <c r="G16" s="33">
        <f t="shared" si="11"/>
        <v>6093</v>
      </c>
      <c r="H16" s="33" t="str">
        <f t="shared" si="12"/>
        <v>Retail (U.S., Canada, Japan, U.K.)</v>
      </c>
      <c r="I16" s="34" t="str">
        <f t="shared" si="13"/>
        <v>#N/A N/A</v>
      </c>
      <c r="K16" t="s">
        <v>752</v>
      </c>
      <c r="V16" s="38">
        <v>42013</v>
      </c>
      <c r="W16">
        <v>112.01</v>
      </c>
      <c r="X16">
        <v>7.7910000000000004</v>
      </c>
      <c r="Y16">
        <v>8.6159999999999997</v>
      </c>
      <c r="Z16">
        <v>9.3719999999999999</v>
      </c>
      <c r="AA16">
        <v>515368.71090000001</v>
      </c>
      <c r="AB16">
        <v>69567</v>
      </c>
      <c r="AC16">
        <v>75112.437999999995</v>
      </c>
      <c r="AD16" t="s">
        <v>527</v>
      </c>
      <c r="AF16" s="38">
        <f t="shared" si="1"/>
        <v>42013</v>
      </c>
      <c r="AG16">
        <f t="shared" si="2"/>
        <v>14.376845077653703</v>
      </c>
      <c r="AH16">
        <f t="shared" si="3"/>
        <v>13.000232126276696</v>
      </c>
      <c r="AI16">
        <f t="shared" si="4"/>
        <v>11.951557831839523</v>
      </c>
      <c r="AJ16">
        <f t="shared" si="5"/>
        <v>7.408235383155807</v>
      </c>
      <c r="AK16">
        <f t="shared" si="6"/>
        <v>6.8612965391963447</v>
      </c>
      <c r="AL16" t="str">
        <f t="shared" si="7"/>
        <v/>
      </c>
      <c r="AN16" t="s">
        <v>806</v>
      </c>
      <c r="AO16" t="str">
        <f t="shared" si="8"/>
        <v>FBR Capital Markets</v>
      </c>
      <c r="AQ16" t="s">
        <v>806</v>
      </c>
      <c r="AR16" t="str">
        <f t="shared" si="9"/>
        <v>FBR Capital Markets</v>
      </c>
    </row>
    <row r="17" spans="1:44">
      <c r="A17" s="33" t="s">
        <v>425</v>
      </c>
      <c r="B17" s="33" t="s">
        <v>415</v>
      </c>
      <c r="C17" s="35" t="s">
        <v>427</v>
      </c>
      <c r="D17" s="37" t="s">
        <v>417</v>
      </c>
      <c r="F17" s="32" t="str">
        <f t="shared" si="10"/>
        <v>iPod</v>
      </c>
      <c r="G17" s="33">
        <f t="shared" si="11"/>
        <v>2286</v>
      </c>
      <c r="H17" s="33" t="str">
        <f t="shared" si="12"/>
        <v/>
      </c>
      <c r="I17" s="34" t="str">
        <f t="shared" si="13"/>
        <v/>
      </c>
      <c r="V17" s="38">
        <v>42006</v>
      </c>
      <c r="W17">
        <v>109.33</v>
      </c>
      <c r="X17">
        <v>7.7880000000000003</v>
      </c>
      <c r="Y17">
        <v>8.6199999999999992</v>
      </c>
      <c r="Z17" t="s">
        <v>527</v>
      </c>
      <c r="AA17">
        <v>499650.94010000001</v>
      </c>
      <c r="AB17">
        <v>69567</v>
      </c>
      <c r="AC17">
        <v>75112.437999999995</v>
      </c>
      <c r="AD17" t="s">
        <v>527</v>
      </c>
      <c r="AF17" s="38">
        <f t="shared" si="1"/>
        <v>42006</v>
      </c>
      <c r="AG17">
        <f t="shared" si="2"/>
        <v>14.038263995891114</v>
      </c>
      <c r="AH17">
        <f t="shared" si="3"/>
        <v>12.683294663573086</v>
      </c>
      <c r="AI17" t="str">
        <f t="shared" si="4"/>
        <v/>
      </c>
      <c r="AJ17">
        <f t="shared" si="5"/>
        <v>7.1822982175456751</v>
      </c>
      <c r="AK17">
        <f t="shared" si="6"/>
        <v>6.65203997372579</v>
      </c>
      <c r="AL17" t="str">
        <f t="shared" si="7"/>
        <v/>
      </c>
      <c r="AN17" t="s">
        <v>641</v>
      </c>
      <c r="AO17" t="str">
        <f t="shared" si="8"/>
        <v>PERM DENIED</v>
      </c>
      <c r="AQ17" t="s">
        <v>641</v>
      </c>
      <c r="AR17" t="str">
        <f t="shared" si="9"/>
        <v>PERM DENIED</v>
      </c>
    </row>
    <row r="18" spans="1:44">
      <c r="A18" s="33" t="s">
        <v>426</v>
      </c>
      <c r="B18" s="33" t="s">
        <v>416</v>
      </c>
      <c r="C18" s="167" t="str">
        <f>ViewConsolidatedOrParent</f>
        <v>Consolidated</v>
      </c>
      <c r="D18" s="31" t="str">
        <f>IF($C$18="Consolidated", "Y", "N")</f>
        <v>Y</v>
      </c>
      <c r="F18" s="32" t="str">
        <f t="shared" si="10"/>
        <v>Software, service, and other sales</v>
      </c>
      <c r="G18" s="33" t="str">
        <f t="shared" si="11"/>
        <v>#N/A N/A</v>
      </c>
      <c r="H18" s="33" t="str">
        <f t="shared" si="12"/>
        <v/>
      </c>
      <c r="I18" s="34" t="str">
        <f t="shared" si="13"/>
        <v/>
      </c>
      <c r="V18" s="38"/>
      <c r="AF18" s="38" t="str">
        <f t="shared" si="1"/>
        <v/>
      </c>
      <c r="AG18" t="str">
        <f t="shared" si="2"/>
        <v/>
      </c>
      <c r="AH18" t="str">
        <f t="shared" si="3"/>
        <v/>
      </c>
      <c r="AI18" t="str">
        <f t="shared" si="4"/>
        <v/>
      </c>
      <c r="AJ18" t="str">
        <f t="shared" si="5"/>
        <v/>
      </c>
      <c r="AK18" t="str">
        <f t="shared" si="6"/>
        <v/>
      </c>
      <c r="AL18" t="str">
        <f t="shared" si="7"/>
        <v/>
      </c>
      <c r="AN18" t="s">
        <v>641</v>
      </c>
      <c r="AO18" t="str">
        <f t="shared" si="8"/>
        <v>PERM DENIED</v>
      </c>
      <c r="AQ18" t="s">
        <v>641</v>
      </c>
      <c r="AR18" t="str">
        <f t="shared" si="9"/>
        <v>PERM DENIED</v>
      </c>
    </row>
    <row r="19" spans="1:44">
      <c r="A19" s="33" t="s">
        <v>427</v>
      </c>
      <c r="B19" s="33" t="s">
        <v>417</v>
      </c>
      <c r="C19" s="66" t="s">
        <v>643</v>
      </c>
      <c r="D19" s="34" t="str">
        <f>LEFT($C$18, 1)</f>
        <v>C</v>
      </c>
      <c r="F19" s="35" t="str">
        <f t="shared" si="10"/>
        <v/>
      </c>
      <c r="G19" s="36" t="str">
        <f t="shared" si="11"/>
        <v/>
      </c>
      <c r="H19" s="36" t="str">
        <f t="shared" si="12"/>
        <v/>
      </c>
      <c r="I19" s="37" t="str">
        <f t="shared" si="13"/>
        <v/>
      </c>
      <c r="V19" s="38"/>
      <c r="AF19" s="38" t="str">
        <f t="shared" si="1"/>
        <v/>
      </c>
      <c r="AG19" t="str">
        <f t="shared" si="2"/>
        <v/>
      </c>
      <c r="AH19" t="str">
        <f t="shared" si="3"/>
        <v/>
      </c>
      <c r="AI19" t="str">
        <f t="shared" si="4"/>
        <v/>
      </c>
      <c r="AJ19" t="str">
        <f t="shared" si="5"/>
        <v/>
      </c>
      <c r="AK19" t="str">
        <f t="shared" si="6"/>
        <v/>
      </c>
      <c r="AL19" t="str">
        <f t="shared" si="7"/>
        <v/>
      </c>
      <c r="AN19" t="s">
        <v>736</v>
      </c>
      <c r="AO19" t="str">
        <f t="shared" si="8"/>
        <v>BGC Partners</v>
      </c>
      <c r="AQ19" t="s">
        <v>736</v>
      </c>
      <c r="AR19" t="str">
        <f t="shared" si="9"/>
        <v>BGC Partners</v>
      </c>
    </row>
    <row r="20" spans="1:44">
      <c r="C20" s="35" t="s">
        <v>644</v>
      </c>
      <c r="D20" s="37"/>
      <c r="G20" s="28">
        <f>IF(COUNT(G12:G19)&lt;1, 1, COUNT(G12:G19))</f>
        <v>6</v>
      </c>
      <c r="I20" s="28">
        <f>IF(COUNT(I12:I19)&lt;1, 1, COUNT(I12:I19))</f>
        <v>4</v>
      </c>
      <c r="V20" s="38"/>
      <c r="AF20" s="38" t="str">
        <f t="shared" si="1"/>
        <v/>
      </c>
      <c r="AG20" t="str">
        <f t="shared" si="2"/>
        <v/>
      </c>
      <c r="AH20" t="str">
        <f t="shared" si="3"/>
        <v/>
      </c>
      <c r="AI20" t="str">
        <f t="shared" si="4"/>
        <v/>
      </c>
      <c r="AJ20" t="str">
        <f t="shared" si="5"/>
        <v/>
      </c>
      <c r="AK20" t="str">
        <f t="shared" si="6"/>
        <v/>
      </c>
      <c r="AL20" t="str">
        <f t="shared" si="7"/>
        <v/>
      </c>
      <c r="AN20" t="s">
        <v>720</v>
      </c>
      <c r="AO20" t="str">
        <f t="shared" si="8"/>
        <v>Exane BNP Paribas</v>
      </c>
      <c r="AQ20" t="s">
        <v>720</v>
      </c>
      <c r="AR20" t="str">
        <f t="shared" si="9"/>
        <v>Exane BNP Paribas</v>
      </c>
    </row>
    <row r="21" spans="1:44">
      <c r="F21" s="53" t="str">
        <f>TEXT(YEAR(ControlsH!G20)*10000+MONTH(ControlsH!G20)*100+DAY(ControlsH!G20), "00000000")</f>
        <v>20150824</v>
      </c>
      <c r="V21" s="38"/>
      <c r="AF21" s="38" t="str">
        <f t="shared" si="1"/>
        <v/>
      </c>
      <c r="AG21" t="str">
        <f t="shared" si="2"/>
        <v/>
      </c>
      <c r="AH21" t="str">
        <f t="shared" si="3"/>
        <v/>
      </c>
      <c r="AI21" t="str">
        <f t="shared" si="4"/>
        <v/>
      </c>
      <c r="AJ21" t="str">
        <f t="shared" si="5"/>
        <v/>
      </c>
      <c r="AK21" t="str">
        <f t="shared" si="6"/>
        <v/>
      </c>
      <c r="AL21" t="str">
        <f t="shared" si="7"/>
        <v/>
      </c>
      <c r="AN21" t="s">
        <v>641</v>
      </c>
      <c r="AO21" t="str">
        <f t="shared" si="8"/>
        <v>PERM DENIED</v>
      </c>
      <c r="AQ21" t="s">
        <v>641</v>
      </c>
      <c r="AR21" t="str">
        <f t="shared" si="9"/>
        <v>PERM DENIED</v>
      </c>
    </row>
    <row r="22" spans="1:44">
      <c r="A22" s="60" t="s">
        <v>621</v>
      </c>
      <c r="B22" s="61"/>
      <c r="F22" s="53" t="str">
        <f>TEXT(YEAR(ControlsH!G23)*10000+MONTH(ControlsH!G23)*100+DAY(ControlsH!G23), "00000000")</f>
        <v>20150724</v>
      </c>
      <c r="G22" s="53" t="str">
        <f>TEXT(YEAR(ControlsH!G24)*10000+MONTH(ControlsH!G24)*100+DAY(ControlsH!G24), "00000000")</f>
        <v>20150224</v>
      </c>
      <c r="H22">
        <f>I22-1</f>
        <v>2011</v>
      </c>
      <c r="I22">
        <f>J22-1</f>
        <v>2012</v>
      </c>
      <c r="J22">
        <f>K22-1</f>
        <v>2013</v>
      </c>
      <c r="K22">
        <f>L22-1</f>
        <v>2014</v>
      </c>
      <c r="L22">
        <f>YEAR(_xll.BToday())</f>
        <v>2015</v>
      </c>
      <c r="M22">
        <f>L22+1</f>
        <v>2016</v>
      </c>
      <c r="N22">
        <f>M22+1</f>
        <v>2017</v>
      </c>
      <c r="P22" s="168" t="str">
        <f>GraphValRatio2</f>
        <v>EV EBITDA</v>
      </c>
      <c r="Q22" t="str">
        <f>VLOOKUP($P22, $P23:$T28, 2, FALSE)</f>
        <v>BEST_EBITDA</v>
      </c>
      <c r="R22" t="str">
        <f>VLOOKUP($P22, $P23:$T28, 3, FALSE)</f>
        <v>CURR_ENTP_VAL</v>
      </c>
      <c r="S22" t="str">
        <f>VLOOKUP($P22, $P23:$T28, 4, FALSE)</f>
        <v>EV/EBITDA</v>
      </c>
      <c r="T22" t="str">
        <f>VLOOKUP($P22, $P23:$T28, 5, FALSE)</f>
        <v>EV EBITDA Ratio (Rolling FY1, FY2, FY3)</v>
      </c>
      <c r="V22" s="38"/>
      <c r="AF22" s="38" t="str">
        <f t="shared" si="1"/>
        <v/>
      </c>
      <c r="AG22" t="str">
        <f t="shared" si="2"/>
        <v/>
      </c>
      <c r="AH22" t="str">
        <f t="shared" si="3"/>
        <v/>
      </c>
      <c r="AI22" t="str">
        <f t="shared" si="4"/>
        <v/>
      </c>
      <c r="AJ22" t="str">
        <f t="shared" si="5"/>
        <v/>
      </c>
      <c r="AK22" t="str">
        <f t="shared" si="6"/>
        <v/>
      </c>
      <c r="AL22" t="str">
        <f t="shared" si="7"/>
        <v/>
      </c>
      <c r="AN22" t="s">
        <v>641</v>
      </c>
      <c r="AO22" t="str">
        <f t="shared" si="8"/>
        <v>PERM DENIED</v>
      </c>
      <c r="AQ22" t="s">
        <v>641</v>
      </c>
      <c r="AR22" t="str">
        <f t="shared" si="9"/>
        <v>PERM DENIED</v>
      </c>
    </row>
    <row r="23" spans="1:44">
      <c r="B23" s="168" t="str">
        <f>+Peers!U9</f>
        <v>Price to Sales</v>
      </c>
      <c r="C23" t="str">
        <f>VLOOKUP(B23, B24:D34, 2, FALSE)</f>
        <v>BEST_PX_SALES_RATIO</v>
      </c>
      <c r="D23">
        <f>VLOOKUP(B23, B24:D34, 3, FALSE)</f>
        <v>1</v>
      </c>
      <c r="F23">
        <f>_xll.BDP(Peers!$A18 &amp;" EQUITY", "CUST_TRR_RETURN_HOLDING_PER", "CUST_TRR_START_DT", $F$22, "CUST_TRR_END_DT", $F$21, "CUST_TRR_CRNCY", CURRENCY)/100</f>
        <v>-0.13451730000000001</v>
      </c>
      <c r="G23">
        <f>_xll.BDP(Peers!$A18 &amp;" EQUITY", "CUST_TRR_RETURN_HOLDING_PER", "CUST_TRR_START_DT", $G$22, "CUST_TRR_END_DT", $F$21, "CUST_TRR_CRNCY", CURRENCY)/100</f>
        <v>-0.2637679</v>
      </c>
      <c r="H23">
        <f>_xll.BDP(Peers!$A18&amp;" EQUITY",$C$23, "BEST_FPERIOD_OVERRIDE", MID(H$22, 3, 2)&amp;"BC", "EQY_CONSOLIDATED", $D$18)*$D$23</f>
        <v>0.98287775369998909</v>
      </c>
      <c r="I23">
        <f>_xll.BDP(Peers!$A18&amp;" EQUITY",$C$23, "BEST_FPERIOD_OVERRIDE", MID(I$22, 3, 2)&amp;"BC", "EQY_CONSOLIDATED", $D$18)*$D$23</f>
        <v>0.80643290101903842</v>
      </c>
      <c r="J23">
        <f>_xll.BDP(Peers!$A18&amp;" EQUITY",$C$23, "BEST_FPERIOD_OVERRIDE", MID(J$22, 3, 2)&amp;"BC", "EQY_CONSOLIDATED", $D$18)*$D$23</f>
        <v>0.70999286418439711</v>
      </c>
      <c r="K23">
        <f>_xll.BDP(Peers!$A18&amp;" EQUITY",$C$23, "BEST_FPERIOD_OVERRIDE", MID(K$22, 3, 2)&amp;"BC", "EQY_CONSOLIDATED", $D$18)*$D$23</f>
        <v>0.78647847425011963</v>
      </c>
      <c r="L23">
        <f>_xll.BDP(Peers!$A18&amp;" EQUITY",$C$23, "BEST_FPERIOD_OVERRIDE", MID(L$22, 3, 2)&amp;"BC", "EQY_CONSOLIDATED", $D$18)*$D$23</f>
        <v>0.80444672267476702</v>
      </c>
      <c r="M23">
        <f>_xll.BDP(Peers!$A18&amp;" EQUITY",$C$23, "BEST_FPERIOD_OVERRIDE", MID(M$22, 3, 2)&amp;"BC", "EQY_CONSOLIDATED", $D$18)*$D$23</f>
        <v>0.77549402406081114</v>
      </c>
      <c r="N23">
        <f>_xll.BDP(Peers!$A18&amp;" EQUITY",$C$23, "BEST_FPERIOD_OVERRIDE", MID(N$22, 3, 2)&amp;"BC", "EQY_CONSOLIDATED", $D$18)*$D$23</f>
        <v>0.75497139210770581</v>
      </c>
      <c r="P23" t="s">
        <v>420</v>
      </c>
      <c r="Q23" t="s">
        <v>514</v>
      </c>
      <c r="R23" t="s">
        <v>602</v>
      </c>
      <c r="S23" t="s">
        <v>385</v>
      </c>
      <c r="T23" t="s">
        <v>596</v>
      </c>
      <c r="V23" s="38"/>
      <c r="AF23" s="38" t="str">
        <f t="shared" si="1"/>
        <v/>
      </c>
      <c r="AG23" t="str">
        <f t="shared" si="2"/>
        <v/>
      </c>
      <c r="AH23" t="str">
        <f t="shared" si="3"/>
        <v/>
      </c>
      <c r="AI23" t="str">
        <f t="shared" si="4"/>
        <v/>
      </c>
      <c r="AJ23" t="str">
        <f t="shared" si="5"/>
        <v/>
      </c>
      <c r="AK23" t="str">
        <f t="shared" si="6"/>
        <v/>
      </c>
      <c r="AL23" t="str">
        <f t="shared" si="7"/>
        <v/>
      </c>
      <c r="AN23" t="s">
        <v>678</v>
      </c>
      <c r="AO23" t="str">
        <f t="shared" si="8"/>
        <v>Atlantic Equities LLP</v>
      </c>
      <c r="AQ23" t="s">
        <v>678</v>
      </c>
      <c r="AR23" t="str">
        <f t="shared" si="9"/>
        <v>Atlantic Equities LLP</v>
      </c>
    </row>
    <row r="24" spans="1:44">
      <c r="A24" s="3">
        <v>1</v>
      </c>
      <c r="B24" t="str">
        <f>"Price Earnings"</f>
        <v>Price Earnings</v>
      </c>
      <c r="C24" t="s">
        <v>390</v>
      </c>
      <c r="D24">
        <v>1</v>
      </c>
      <c r="F24">
        <f>_xll.BDP(Peers!$A19 &amp;" EQUITY", "CUST_TRR_RETURN_HOLDING_PER", "CUST_TRR_START_DT", $F$22, "CUST_TRR_END_DT", $F$21, "CUST_TRR_CRNCY", CURRENCY)/100</f>
        <v>-4.3311339999999997E-2</v>
      </c>
      <c r="G24">
        <f>_xll.BDP(Peers!$A19 &amp;" EQUITY", "CUST_TRR_RETURN_HOLDING_PER", "CUST_TRR_START_DT", $G$22, "CUST_TRR_END_DT", $F$21, "CUST_TRR_CRNCY", CURRENCY)/100</f>
        <v>-0.31077470000000001</v>
      </c>
      <c r="H24">
        <f>_xll.BDP(Peers!$A19&amp;" EQUITY",$C$23, "BEST_FPERIOD_OVERRIDE", MID(H$22, 3, 2)&amp;"BC", "EQY_CONSOLIDATED", $D$18)*$D$23</f>
        <v>0.19117471383014786</v>
      </c>
      <c r="I24">
        <f>_xll.BDP(Peers!$A19&amp;" EQUITY",$C$23, "BEST_FPERIOD_OVERRIDE", MID(I$22, 3, 2)&amp;"BC", "EQY_CONSOLIDATED", $D$18)*$D$23</f>
        <v>0.30650625813225285</v>
      </c>
      <c r="J24">
        <f>_xll.BDP(Peers!$A19&amp;" EQUITY",$C$23, "BEST_FPERIOD_OVERRIDE", MID(J$22, 3, 2)&amp;"BC", "EQY_CONSOLIDATED", $D$18)*$D$23</f>
        <v>0.46664334061153279</v>
      </c>
      <c r="K24">
        <f>_xll.BDP(Peers!$A19&amp;" EQUITY",$C$23, "BEST_FPERIOD_OVERRIDE", MID(K$22, 3, 2)&amp;"BC", "EQY_CONSOLIDATED", $D$18)*$D$23</f>
        <v>1.0459882645671501</v>
      </c>
      <c r="L24">
        <f>_xll.BDP(Peers!$A19&amp;" EQUITY",$C$23, "BEST_FPERIOD_OVERRIDE", MID(L$22, 3, 2)&amp;"BC", "EQY_CONSOLIDATED", $D$18)*$D$23</f>
        <v>1.4648922131410267</v>
      </c>
      <c r="M24">
        <f>_xll.BDP(Peers!$A19&amp;" EQUITY",$C$23, "BEST_FPERIOD_OVERRIDE", MID(M$22, 3, 2)&amp;"BC", "EQY_CONSOLIDATED", $D$18)*$D$23</f>
        <v>1.4635982330550061</v>
      </c>
      <c r="N24">
        <f>_xll.BDP(Peers!$A19&amp;" EQUITY",$C$23, "BEST_FPERIOD_OVERRIDE", MID(N$22, 3, 2)&amp;"BC", "EQY_CONSOLIDATED", $D$18)*$D$23</f>
        <v>1.7003835002463235</v>
      </c>
      <c r="P24" t="s">
        <v>423</v>
      </c>
      <c r="Q24" t="s">
        <v>516</v>
      </c>
      <c r="R24" t="s">
        <v>604</v>
      </c>
      <c r="S24" t="s">
        <v>594</v>
      </c>
      <c r="T24" t="s">
        <v>597</v>
      </c>
      <c r="V24" s="38"/>
      <c r="AF24" s="38" t="str">
        <f t="shared" si="1"/>
        <v/>
      </c>
      <c r="AG24" t="str">
        <f t="shared" si="2"/>
        <v/>
      </c>
      <c r="AH24" t="str">
        <f t="shared" si="3"/>
        <v/>
      </c>
      <c r="AI24" t="str">
        <f t="shared" si="4"/>
        <v/>
      </c>
      <c r="AJ24" t="str">
        <f t="shared" si="5"/>
        <v/>
      </c>
      <c r="AK24" t="str">
        <f t="shared" si="6"/>
        <v/>
      </c>
      <c r="AL24" t="str">
        <f t="shared" si="7"/>
        <v/>
      </c>
      <c r="AN24" t="s">
        <v>679</v>
      </c>
      <c r="AO24" t="str">
        <f t="shared" si="8"/>
        <v>BMO Capital Markets</v>
      </c>
      <c r="AQ24" t="s">
        <v>679</v>
      </c>
      <c r="AR24" t="str">
        <f t="shared" si="9"/>
        <v>BMO Capital Markets</v>
      </c>
    </row>
    <row r="25" spans="1:44">
      <c r="A25" s="3">
        <v>2</v>
      </c>
      <c r="B25" t="s">
        <v>422</v>
      </c>
      <c r="C25" t="s">
        <v>391</v>
      </c>
      <c r="D25">
        <v>1</v>
      </c>
      <c r="F25">
        <f>_xll.BDP(Peers!$A20 &amp;" EQUITY", "CUST_TRR_RETURN_HOLDING_PER", "CUST_TRR_START_DT", $F$22, "CUST_TRR_END_DT", $F$21, "CUST_TRR_CRNCY", CURRENCY)/100</f>
        <v>-0.20096119999999998</v>
      </c>
      <c r="G25">
        <f>_xll.BDP(Peers!$A20 &amp;" EQUITY", "CUST_TRR_RETURN_HOLDING_PER", "CUST_TRR_START_DT", $G$22, "CUST_TRR_END_DT", $F$21, "CUST_TRR_CRNCY", CURRENCY)/100</f>
        <v>-0.13413259999999999</v>
      </c>
      <c r="H25">
        <f>_xll.BDP(Peers!$A20&amp;" EQUITY",$C$23, "BEST_FPERIOD_OVERRIDE", MID(H$22, 3, 2)&amp;"BC", "EQY_CONSOLIDATED", $D$18)*$D$23</f>
        <v>0.58491098632417271</v>
      </c>
      <c r="I25">
        <f>_xll.BDP(Peers!$A20&amp;" EQUITY",$C$23, "BEST_FPERIOD_OVERRIDE", MID(I$22, 3, 2)&amp;"BC", "EQY_CONSOLIDATED", $D$18)*$D$23</f>
        <v>0.5678383257491324</v>
      </c>
      <c r="J25">
        <f>_xll.BDP(Peers!$A20&amp;" EQUITY",$C$23, "BEST_FPERIOD_OVERRIDE", MID(J$22, 3, 2)&amp;"BC", "EQY_CONSOLIDATED", $D$18)*$D$23</f>
        <v>0.49599999528428312</v>
      </c>
      <c r="K25">
        <f>_xll.BDP(Peers!$A20&amp;" EQUITY",$C$23, "BEST_FPERIOD_OVERRIDE", MID(K$22, 3, 2)&amp;"BC", "EQY_CONSOLIDATED", $D$18)*$D$23</f>
        <v>0.46491808805958734</v>
      </c>
      <c r="L25">
        <f>_xll.BDP(Peers!$A20&amp;" EQUITY",$C$23, "BEST_FPERIOD_OVERRIDE", MID(L$22, 3, 2)&amp;"BC", "EQY_CONSOLIDATED", $D$18)*$D$23</f>
        <v>0.46871404332038274</v>
      </c>
      <c r="M25">
        <f>_xll.BDP(Peers!$A20&amp;" EQUITY",$C$23, "BEST_FPERIOD_OVERRIDE", MID(M$22, 3, 2)&amp;"BC", "EQY_CONSOLIDATED", $D$18)*$D$23</f>
        <v>0.46865502853417285</v>
      </c>
      <c r="N25">
        <f>_xll.BDP(Peers!$A20&amp;" EQUITY",$C$23, "BEST_FPERIOD_OVERRIDE", MID(N$22, 3, 2)&amp;"BC", "EQY_CONSOLIDATED", $D$18)*$D$23</f>
        <v>0.46145716653464142</v>
      </c>
      <c r="P25" t="s">
        <v>424</v>
      </c>
      <c r="Q25" t="s">
        <v>522</v>
      </c>
      <c r="R25" t="s">
        <v>602</v>
      </c>
      <c r="S25" t="s">
        <v>389</v>
      </c>
      <c r="T25" t="s">
        <v>598</v>
      </c>
      <c r="V25" s="38"/>
      <c r="AF25" s="38" t="str">
        <f t="shared" si="1"/>
        <v/>
      </c>
      <c r="AG25" t="str">
        <f t="shared" si="2"/>
        <v/>
      </c>
      <c r="AH25" t="str">
        <f t="shared" si="3"/>
        <v/>
      </c>
      <c r="AI25" t="str">
        <f t="shared" si="4"/>
        <v/>
      </c>
      <c r="AJ25" t="str">
        <f t="shared" si="5"/>
        <v/>
      </c>
      <c r="AK25" t="str">
        <f t="shared" si="6"/>
        <v/>
      </c>
      <c r="AL25" t="str">
        <f t="shared" si="7"/>
        <v/>
      </c>
      <c r="AN25" t="s">
        <v>716</v>
      </c>
      <c r="AO25" t="str">
        <f t="shared" si="8"/>
        <v>Raymond James</v>
      </c>
      <c r="AQ25" t="s">
        <v>716</v>
      </c>
      <c r="AR25" t="str">
        <f t="shared" si="9"/>
        <v>Raymond James</v>
      </c>
    </row>
    <row r="26" spans="1:44">
      <c r="A26" s="3">
        <v>3</v>
      </c>
      <c r="B26" t="s">
        <v>421</v>
      </c>
      <c r="C26" t="s">
        <v>392</v>
      </c>
      <c r="D26">
        <v>1</v>
      </c>
      <c r="F26">
        <f>_xll.BDP(Peers!$A21 &amp;" EQUITY", "CUST_TRR_RETURN_HOLDING_PER", "CUST_TRR_START_DT", $F$22, "CUST_TRR_END_DT", $F$21, "CUST_TRR_CRNCY", CURRENCY)/100</f>
        <v>-3.8156259999999997E-2</v>
      </c>
      <c r="G26">
        <f>_xll.BDP(Peers!$A21 &amp;" EQUITY", "CUST_TRR_RETURN_HOLDING_PER", "CUST_TRR_START_DT", $G$22, "CUST_TRR_END_DT", $F$21, "CUST_TRR_CRNCY", CURRENCY)/100</f>
        <v>-0.3885555</v>
      </c>
      <c r="H26">
        <f>_xll.BDP(Peers!$A21&amp;" EQUITY",$C$23, "BEST_FPERIOD_OVERRIDE", MID(H$22, 3, 2)&amp;"BC", "EQY_CONSOLIDATED", $D$18)*$D$23</f>
        <v>0.12426675834463227</v>
      </c>
      <c r="I26">
        <f>_xll.BDP(Peers!$A21&amp;" EQUITY",$C$23, "BEST_FPERIOD_OVERRIDE", MID(I$22, 3, 2)&amp;"BC", "EQY_CONSOLIDATED", $D$18)*$D$23</f>
        <v>0.13230558962957167</v>
      </c>
      <c r="J26">
        <f>_xll.BDP(Peers!$A21&amp;" EQUITY",$C$23, "BEST_FPERIOD_OVERRIDE", MID(J$22, 3, 2)&amp;"BC", "EQY_CONSOLIDATED", $D$18)*$D$23</f>
        <v>0.11596570921385167</v>
      </c>
      <c r="K26">
        <f>_xll.BDP(Peers!$A21&amp;" EQUITY",$C$23, "BEST_FPERIOD_OVERRIDE", MID(K$22, 3, 2)&amp;"BC", "EQY_CONSOLIDATED", $D$18)*$D$23</f>
        <v>0.11419719432838098</v>
      </c>
      <c r="L26">
        <f>_xll.BDP(Peers!$A21&amp;" EQUITY",$C$23, "BEST_FPERIOD_OVERRIDE", MID(L$22, 3, 2)&amp;"BC", "EQY_CONSOLIDATED", $D$18)*$D$23</f>
        <v>0.11824899650905833</v>
      </c>
      <c r="M26">
        <f>_xll.BDP(Peers!$A21&amp;" EQUITY",$C$23, "BEST_FPERIOD_OVERRIDE", MID(M$22, 3, 2)&amp;"BC", "EQY_CONSOLIDATED", $D$18)*$D$23</f>
        <v>0.11415445542452772</v>
      </c>
      <c r="N26">
        <f>_xll.BDP(Peers!$A21&amp;" EQUITY",$C$23, "BEST_FPERIOD_OVERRIDE", MID(N$22, 3, 2)&amp;"BC", "EQY_CONSOLIDATED", $D$18)*$D$23</f>
        <v>0.1100265029289621</v>
      </c>
      <c r="P26" t="s">
        <v>593</v>
      </c>
      <c r="Q26" t="s">
        <v>516</v>
      </c>
      <c r="R26" t="s">
        <v>603</v>
      </c>
      <c r="S26" t="s">
        <v>595</v>
      </c>
      <c r="T26" t="s">
        <v>600</v>
      </c>
      <c r="V26" s="38"/>
      <c r="AF26" s="38" t="str">
        <f t="shared" si="1"/>
        <v/>
      </c>
      <c r="AG26" t="str">
        <f t="shared" si="2"/>
        <v/>
      </c>
      <c r="AH26" t="str">
        <f t="shared" si="3"/>
        <v/>
      </c>
      <c r="AI26" t="str">
        <f t="shared" si="4"/>
        <v/>
      </c>
      <c r="AJ26" t="str">
        <f t="shared" si="5"/>
        <v/>
      </c>
      <c r="AK26" t="str">
        <f t="shared" si="6"/>
        <v/>
      </c>
      <c r="AL26" t="str">
        <f t="shared" si="7"/>
        <v/>
      </c>
      <c r="AN26" t="s">
        <v>641</v>
      </c>
      <c r="AO26" t="str">
        <f t="shared" si="8"/>
        <v>PERM DENIED</v>
      </c>
      <c r="AQ26" t="s">
        <v>641</v>
      </c>
      <c r="AR26" t="str">
        <f t="shared" si="9"/>
        <v>PERM DENIED</v>
      </c>
    </row>
    <row r="27" spans="1:44">
      <c r="A27" s="3">
        <v>4</v>
      </c>
      <c r="B27" t="s">
        <v>423</v>
      </c>
      <c r="C27" t="s">
        <v>393</v>
      </c>
      <c r="D27">
        <v>1</v>
      </c>
      <c r="F27">
        <f>_xll.BDP(Peers!$A22 &amp;" EQUITY", "CUST_TRR_RETURN_HOLDING_PER", "CUST_TRR_START_DT", $F$22, "CUST_TRR_END_DT", $F$21, "CUST_TRR_CRNCY", CURRENCY)/100</f>
        <v>-0.13664389999999998</v>
      </c>
      <c r="G27">
        <f>_xll.BDP(Peers!$A22 &amp;" EQUITY", "CUST_TRR_RETURN_HOLDING_PER", "CUST_TRR_START_DT", $G$22, "CUST_TRR_END_DT", $F$21, "CUST_TRR_CRNCY", CURRENCY)/100</f>
        <v>-0.30181669999999999</v>
      </c>
      <c r="H27">
        <f>_xll.BDP(Peers!$A22&amp;" EQUITY",$C$23, "BEST_FPERIOD_OVERRIDE", MID(H$22, 3, 2)&amp;"BC", "EQY_CONSOLIDATED", $D$18)*$D$23</f>
        <v>0.38172894315531913</v>
      </c>
      <c r="I27">
        <f>_xll.BDP(Peers!$A22&amp;" EQUITY",$C$23, "BEST_FPERIOD_OVERRIDE", MID(I$22, 3, 2)&amp;"BC", "EQY_CONSOLIDATED", $D$18)*$D$23</f>
        <v>0.40297754670535646</v>
      </c>
      <c r="J27">
        <f>_xll.BDP(Peers!$A22&amp;" EQUITY",$C$23, "BEST_FPERIOD_OVERRIDE", MID(J$22, 3, 2)&amp;"BC", "EQY_CONSOLIDATED", $D$18)*$D$23</f>
        <v>0.4284064593704307</v>
      </c>
      <c r="K27">
        <f>_xll.BDP(Peers!$A22&amp;" EQUITY",$C$23, "BEST_FPERIOD_OVERRIDE", MID(K$22, 3, 2)&amp;"BC", "EQY_CONSOLIDATED", $D$18)*$D$23</f>
        <v>0.4345433032532286</v>
      </c>
      <c r="L27">
        <f>_xll.BDP(Peers!$A22&amp;" EQUITY",$C$23, "BEST_FPERIOD_OVERRIDE", MID(L$22, 3, 2)&amp;"BC", "EQY_CONSOLIDATED", $D$18)*$D$23</f>
        <v>0.46443955483048038</v>
      </c>
      <c r="M27">
        <f>_xll.BDP(Peers!$A22&amp;" EQUITY",$C$23, "BEST_FPERIOD_OVERRIDE", MID(M$22, 3, 2)&amp;"BC", "EQY_CONSOLIDATED", $D$18)*$D$23</f>
        <v>0.46926800233135363</v>
      </c>
      <c r="N27">
        <f>_xll.BDP(Peers!$A22&amp;" EQUITY",$C$23, "BEST_FPERIOD_OVERRIDE", MID(N$22, 3, 2)&amp;"BC", "EQY_CONSOLIDATED", $D$18)*$D$23</f>
        <v>0.47915119761208719</v>
      </c>
      <c r="P27" t="s">
        <v>592</v>
      </c>
      <c r="Q27" t="s">
        <v>561</v>
      </c>
      <c r="R27" t="s">
        <v>603</v>
      </c>
      <c r="S27" t="s">
        <v>386</v>
      </c>
      <c r="T27" t="s">
        <v>601</v>
      </c>
      <c r="V27" s="38"/>
      <c r="AF27" s="38" t="str">
        <f t="shared" si="1"/>
        <v/>
      </c>
      <c r="AG27" t="str">
        <f t="shared" si="2"/>
        <v/>
      </c>
      <c r="AH27" t="str">
        <f t="shared" si="3"/>
        <v/>
      </c>
      <c r="AI27" t="str">
        <f t="shared" si="4"/>
        <v/>
      </c>
      <c r="AJ27" t="str">
        <f t="shared" si="5"/>
        <v/>
      </c>
      <c r="AK27" t="str">
        <f t="shared" si="6"/>
        <v/>
      </c>
      <c r="AL27" t="str">
        <f t="shared" si="7"/>
        <v/>
      </c>
      <c r="AN27" t="s">
        <v>805</v>
      </c>
      <c r="AO27" t="str">
        <f t="shared" si="8"/>
        <v>Maxim Group LLC</v>
      </c>
      <c r="AQ27" t="s">
        <v>805</v>
      </c>
      <c r="AR27" t="str">
        <f t="shared" si="9"/>
        <v>Maxim Group LLC</v>
      </c>
    </row>
    <row r="28" spans="1:44">
      <c r="A28" s="3">
        <v>5</v>
      </c>
      <c r="B28" t="s">
        <v>424</v>
      </c>
      <c r="C28" t="s">
        <v>394</v>
      </c>
      <c r="D28">
        <v>1</v>
      </c>
      <c r="F28">
        <f>_xll.BDP(Peers!$A23 &amp;" EQUITY", "CUST_TRR_RETURN_HOLDING_PER", "CUST_TRR_START_DT", $F$22, "CUST_TRR_END_DT", $F$21, "CUST_TRR_CRNCY", CURRENCY)/100</f>
        <v>-0.11302820000000001</v>
      </c>
      <c r="G28">
        <f>_xll.BDP(Peers!$A23 &amp;" EQUITY", "CUST_TRR_RETURN_HOLDING_PER", "CUST_TRR_START_DT", $G$22, "CUST_TRR_END_DT", $F$21, "CUST_TRR_CRNCY", CURRENCY)/100</f>
        <v>-0.1367845</v>
      </c>
      <c r="H28">
        <f>_xll.BDP(Peers!$A23&amp;" EQUITY",$C$23, "BEST_FPERIOD_OVERRIDE", MID(H$22, 3, 2)&amp;"BC", "EQY_CONSOLIDATED", $D$18)*$D$23</f>
        <v>2.8808548805662162</v>
      </c>
      <c r="I28">
        <f>_xll.BDP(Peers!$A23&amp;" EQUITY",$C$23, "BEST_FPERIOD_OVERRIDE", MID(I$22, 3, 2)&amp;"BC", "EQY_CONSOLIDATED", $D$18)*$D$23</f>
        <v>2.72224819439813</v>
      </c>
      <c r="J28">
        <f>_xll.BDP(Peers!$A23&amp;" EQUITY",$C$23, "BEST_FPERIOD_OVERRIDE", MID(J$22, 3, 2)&amp;"BC", "EQY_CONSOLIDATED", $D$18)*$D$23</f>
        <v>2.6586558800106532</v>
      </c>
      <c r="K28">
        <f>_xll.BDP(Peers!$A23&amp;" EQUITY",$C$23, "BEST_FPERIOD_OVERRIDE", MID(K$22, 3, 2)&amp;"BC", "EQY_CONSOLIDATED", $D$18)*$D$23</f>
        <v>2.6789291781170714</v>
      </c>
      <c r="L28">
        <f>_xll.BDP(Peers!$A23&amp;" EQUITY",$C$23, "BEST_FPERIOD_OVERRIDE", MID(L$22, 3, 2)&amp;"BC", "EQY_CONSOLIDATED", $D$18)*$D$23</f>
        <v>2.5636022087985242</v>
      </c>
      <c r="M28">
        <f>_xll.BDP(Peers!$A23&amp;" EQUITY",$C$23, "BEST_FPERIOD_OVERRIDE", MID(M$22, 3, 2)&amp;"BC", "EQY_CONSOLIDATED", $D$18)*$D$23</f>
        <v>2.4762375019826166</v>
      </c>
      <c r="N28">
        <f>_xll.BDP(Peers!$A23&amp;" EQUITY",$C$23, "BEST_FPERIOD_OVERRIDE", MID(N$22, 3, 2)&amp;"BC", "EQY_CONSOLIDATED", $D$18)*$D$23</f>
        <v>2.3933255411996384</v>
      </c>
      <c r="P28" t="s">
        <v>421</v>
      </c>
      <c r="Q28" t="s">
        <v>517</v>
      </c>
      <c r="R28" t="s">
        <v>603</v>
      </c>
      <c r="S28" t="s">
        <v>387</v>
      </c>
      <c r="T28" t="s">
        <v>599</v>
      </c>
      <c r="V28" s="38"/>
      <c r="AF28" s="38" t="str">
        <f t="shared" si="1"/>
        <v/>
      </c>
      <c r="AG28" t="str">
        <f t="shared" si="2"/>
        <v/>
      </c>
      <c r="AH28" t="str">
        <f t="shared" si="3"/>
        <v/>
      </c>
      <c r="AI28" t="str">
        <f t="shared" si="4"/>
        <v/>
      </c>
      <c r="AJ28" t="str">
        <f t="shared" si="5"/>
        <v/>
      </c>
      <c r="AK28" t="str">
        <f t="shared" si="6"/>
        <v/>
      </c>
      <c r="AL28" t="str">
        <f t="shared" si="7"/>
        <v/>
      </c>
      <c r="AN28" t="s">
        <v>641</v>
      </c>
      <c r="AO28" t="str">
        <f t="shared" si="8"/>
        <v>PERM DENIED</v>
      </c>
      <c r="AQ28" t="s">
        <v>641</v>
      </c>
      <c r="AR28" t="str">
        <f t="shared" si="9"/>
        <v>PERM DENIED</v>
      </c>
    </row>
    <row r="29" spans="1:44">
      <c r="A29" s="3">
        <v>6</v>
      </c>
      <c r="B29" t="s">
        <v>430</v>
      </c>
      <c r="C29" t="s">
        <v>408</v>
      </c>
      <c r="D29">
        <v>0.01</v>
      </c>
      <c r="F29">
        <f>_xll.BDP(Peers!$A24 &amp;" EQUITY", "CUST_TRR_RETURN_HOLDING_PER", "CUST_TRR_START_DT", $F$22, "CUST_TRR_END_DT", $F$21, "CUST_TRR_CRNCY", CURRENCY)/100</f>
        <v>-0.13808880000000001</v>
      </c>
      <c r="G29">
        <f>_xll.BDP(Peers!$A24 &amp;" EQUITY", "CUST_TRR_RETURN_HOLDING_PER", "CUST_TRR_START_DT", $G$22, "CUST_TRR_END_DT", $F$21, "CUST_TRR_CRNCY", CURRENCY)/100</f>
        <v>-0.1872615</v>
      </c>
      <c r="H29">
        <f>_xll.BDP(Peers!$A24&amp;" EQUITY",$C$23, "BEST_FPERIOD_OVERRIDE", MID(H$22, 3, 2)&amp;"BC", "EQY_CONSOLIDATED", $D$18)*$D$23</f>
        <v>0.49759225043737265</v>
      </c>
      <c r="I29">
        <f>_xll.BDP(Peers!$A24&amp;" EQUITY",$C$23, "BEST_FPERIOD_OVERRIDE", MID(I$22, 3, 2)&amp;"BC", "EQY_CONSOLIDATED", $D$18)*$D$23</f>
        <v>0.54064848143880662</v>
      </c>
      <c r="J29">
        <f>_xll.BDP(Peers!$A24&amp;" EQUITY",$C$23, "BEST_FPERIOD_OVERRIDE", MID(J$22, 3, 2)&amp;"BC", "EQY_CONSOLIDATED", $D$18)*$D$23</f>
        <v>0.54102299548801613</v>
      </c>
      <c r="K29">
        <f>_xll.BDP(Peers!$A24&amp;" EQUITY",$C$23, "BEST_FPERIOD_OVERRIDE", MID(K$22, 3, 2)&amp;"BC", "EQY_CONSOLIDATED", $D$18)*$D$23</f>
        <v>0.59267020510434065</v>
      </c>
      <c r="L29">
        <f>_xll.BDP(Peers!$A24&amp;" EQUITY",$C$23, "BEST_FPERIOD_OVERRIDE", MID(L$22, 3, 2)&amp;"BC", "EQY_CONSOLIDATED", $D$18)*$D$23</f>
        <v>0.55394940249281943</v>
      </c>
      <c r="M29">
        <f>_xll.BDP(Peers!$A24&amp;" EQUITY",$C$23, "BEST_FPERIOD_OVERRIDE", MID(M$22, 3, 2)&amp;"BC", "EQY_CONSOLIDATED", $D$18)*$D$23</f>
        <v>0.53619942921786179</v>
      </c>
      <c r="N29">
        <f>_xll.BDP(Peers!$A24&amp;" EQUITY",$C$23, "BEST_FPERIOD_OVERRIDE", MID(N$22, 3, 2)&amp;"BC", "EQY_CONSOLIDATED", $D$18)*$D$23</f>
        <v>0.51084673128051672</v>
      </c>
      <c r="V29" s="38"/>
      <c r="AF29" s="38" t="str">
        <f t="shared" si="1"/>
        <v/>
      </c>
      <c r="AG29" t="str">
        <f t="shared" si="2"/>
        <v/>
      </c>
      <c r="AH29" t="str">
        <f t="shared" si="3"/>
        <v/>
      </c>
      <c r="AI29" t="str">
        <f t="shared" si="4"/>
        <v/>
      </c>
      <c r="AJ29" t="str">
        <f t="shared" si="5"/>
        <v/>
      </c>
      <c r="AK29" t="str">
        <f t="shared" si="6"/>
        <v/>
      </c>
      <c r="AL29" t="str">
        <f t="shared" si="7"/>
        <v/>
      </c>
      <c r="AN29" t="s">
        <v>735</v>
      </c>
      <c r="AO29" t="str">
        <f t="shared" si="8"/>
        <v>Hilliard Lyons</v>
      </c>
      <c r="AQ29" t="s">
        <v>735</v>
      </c>
      <c r="AR29" t="str">
        <f t="shared" si="9"/>
        <v>Hilliard Lyons</v>
      </c>
    </row>
    <row r="30" spans="1:44">
      <c r="A30" s="3">
        <v>7</v>
      </c>
      <c r="B30" t="s">
        <v>431</v>
      </c>
      <c r="C30" t="s">
        <v>409</v>
      </c>
      <c r="D30">
        <v>1</v>
      </c>
      <c r="F30">
        <f>_xll.BDP(Peers!$A25 &amp;" EQUITY", "CUST_TRR_RETURN_HOLDING_PER", "CUST_TRR_START_DT", $F$22, "CUST_TRR_END_DT", $F$21, "CUST_TRR_CRNCY", CURRENCY)/100</f>
        <v>-0.12342790000000001</v>
      </c>
      <c r="G30">
        <f>_xll.BDP(Peers!$A25 &amp;" EQUITY", "CUST_TRR_RETURN_HOLDING_PER", "CUST_TRR_START_DT", $G$22, "CUST_TRR_END_DT", $F$21, "CUST_TRR_CRNCY", CURRENCY)/100</f>
        <v>-0.24849470000000001</v>
      </c>
      <c r="H30">
        <f>_xll.BDP(Peers!$A25&amp;" EQUITY",$C$23, "BEST_FPERIOD_OVERRIDE", MID(H$22, 3, 2)&amp;"BC", "EQY_CONSOLIDATED", $D$18)*$D$23</f>
        <v>1.1446615058006973</v>
      </c>
      <c r="I30">
        <f>_xll.BDP(Peers!$A25&amp;" EQUITY",$C$23, "BEST_FPERIOD_OVERRIDE", MID(I$22, 3, 2)&amp;"BC", "EQY_CONSOLIDATED", $D$18)*$D$23</f>
        <v>1.1403497844744248</v>
      </c>
      <c r="J30">
        <f>_xll.BDP(Peers!$A25&amp;" EQUITY",$C$23, "BEST_FPERIOD_OVERRIDE", MID(J$22, 3, 2)&amp;"BC", "EQY_CONSOLIDATED", $D$18)*$D$23</f>
        <v>1.1423709343017734</v>
      </c>
      <c r="K30">
        <f>_xll.BDP(Peers!$A25&amp;" EQUITY",$C$23, "BEST_FPERIOD_OVERRIDE", MID(K$22, 3, 2)&amp;"BC", "EQY_CONSOLIDATED", $D$18)*$D$23</f>
        <v>1.1393293954277293</v>
      </c>
      <c r="L30">
        <f>_xll.BDP(Peers!$A25&amp;" EQUITY",$C$23, "BEST_FPERIOD_OVERRIDE", MID(L$22, 3, 2)&amp;"BC", "EQY_CONSOLIDATED", $D$18)*$D$23</f>
        <v>1.0553254643915413</v>
      </c>
      <c r="M30">
        <f>_xll.BDP(Peers!$A25&amp;" EQUITY",$C$23, "BEST_FPERIOD_OVERRIDE", MID(M$22, 3, 2)&amp;"BC", "EQY_CONSOLIDATED", $D$18)*$D$23</f>
        <v>1.031211200569502</v>
      </c>
      <c r="N30">
        <f>_xll.BDP(Peers!$A25&amp;" EQUITY",$C$23, "BEST_FPERIOD_OVERRIDE", MID(N$22, 3, 2)&amp;"BC", "EQY_CONSOLIDATED", $D$18)*$D$23</f>
        <v>1.0005099219202562</v>
      </c>
      <c r="V30" s="38"/>
      <c r="AF30" s="38" t="str">
        <f t="shared" si="1"/>
        <v/>
      </c>
      <c r="AG30" t="str">
        <f t="shared" si="2"/>
        <v/>
      </c>
      <c r="AH30" t="str">
        <f t="shared" si="3"/>
        <v/>
      </c>
      <c r="AI30" t="str">
        <f t="shared" si="4"/>
        <v/>
      </c>
      <c r="AJ30" t="str">
        <f t="shared" si="5"/>
        <v/>
      </c>
      <c r="AK30" t="str">
        <f t="shared" si="6"/>
        <v/>
      </c>
      <c r="AL30" t="str">
        <f t="shared" si="7"/>
        <v/>
      </c>
      <c r="AN30" t="s">
        <v>723</v>
      </c>
      <c r="AO30" t="str">
        <f t="shared" si="8"/>
        <v>Cross Research</v>
      </c>
      <c r="AQ30" t="s">
        <v>723</v>
      </c>
      <c r="AR30" t="str">
        <f t="shared" si="9"/>
        <v>Cross Research</v>
      </c>
    </row>
    <row r="31" spans="1:44">
      <c r="A31" s="3">
        <v>8</v>
      </c>
      <c r="B31" t="s">
        <v>432</v>
      </c>
      <c r="C31" t="s">
        <v>410</v>
      </c>
      <c r="D31">
        <v>1</v>
      </c>
      <c r="F31" t="e">
        <f>_xll.BDP(Peers!$A26 &amp;" EQUITY", "CUST_TRR_RETURN_HOLDING_PER", "CUST_TRR_START_DT", $F$22, "CUST_TRR_END_DT", $F$21, "CUST_TRR_CRNCY", CURRENCY)/100</f>
        <v>#VALUE!</v>
      </c>
      <c r="G31" t="e">
        <f>_xll.BDP(Peers!$A26 &amp;" EQUITY", "CUST_TRR_RETURN_HOLDING_PER", "CUST_TRR_START_DT", $G$22, "CUST_TRR_END_DT", $F$21, "CUST_TRR_CRNCY", CURRENCY)/100</f>
        <v>#VALUE!</v>
      </c>
      <c r="H31" t="e">
        <f>_xll.BDP(Peers!$A26&amp;" EQUITY",$C$23, "BEST_FPERIOD_OVERRIDE", MID(H$22, 3, 2)&amp;"BC", "EQY_CONSOLIDATED", $D$18)*$D$23</f>
        <v>#N/A</v>
      </c>
      <c r="I31" t="e">
        <f>_xll.BDP(Peers!$A26&amp;" EQUITY",$C$23, "BEST_FPERIOD_OVERRIDE", MID(I$22, 3, 2)&amp;"BC", "EQY_CONSOLIDATED", $D$18)*$D$23</f>
        <v>#N/A</v>
      </c>
      <c r="J31" t="e">
        <f>_xll.BDP(Peers!$A26&amp;" EQUITY",$C$23, "BEST_FPERIOD_OVERRIDE", MID(J$22, 3, 2)&amp;"BC", "EQY_CONSOLIDATED", $D$18)*$D$23</f>
        <v>#N/A</v>
      </c>
      <c r="K31" t="e">
        <f>_xll.BDP(Peers!$A26&amp;" EQUITY",$C$23, "BEST_FPERIOD_OVERRIDE", MID(K$22, 3, 2)&amp;"BC", "EQY_CONSOLIDATED", $D$18)*$D$23</f>
        <v>#N/A</v>
      </c>
      <c r="L31" t="e">
        <f>_xll.BDP(Peers!$A26&amp;" EQUITY",$C$23, "BEST_FPERIOD_OVERRIDE", MID(L$22, 3, 2)&amp;"BC", "EQY_CONSOLIDATED", $D$18)*$D$23</f>
        <v>#N/A</v>
      </c>
      <c r="M31" t="e">
        <f>_xll.BDP(Peers!$A26&amp;" EQUITY",$C$23, "BEST_FPERIOD_OVERRIDE", MID(M$22, 3, 2)&amp;"BC", "EQY_CONSOLIDATED", $D$18)*$D$23</f>
        <v>#N/A</v>
      </c>
      <c r="N31" t="e">
        <f>_xll.BDP(Peers!$A26&amp;" EQUITY",$C$23, "BEST_FPERIOD_OVERRIDE", MID(N$22, 3, 2)&amp;"BC", "EQY_CONSOLIDATED", $D$18)*$D$23</f>
        <v>#N/A</v>
      </c>
      <c r="V31" s="38"/>
      <c r="AF31" s="38" t="str">
        <f t="shared" si="1"/>
        <v/>
      </c>
      <c r="AG31" t="str">
        <f t="shared" si="2"/>
        <v/>
      </c>
      <c r="AH31" t="str">
        <f t="shared" si="3"/>
        <v/>
      </c>
      <c r="AI31" t="str">
        <f t="shared" si="4"/>
        <v/>
      </c>
      <c r="AJ31" t="str">
        <f t="shared" si="5"/>
        <v/>
      </c>
      <c r="AK31" t="str">
        <f t="shared" si="6"/>
        <v/>
      </c>
      <c r="AL31" t="str">
        <f t="shared" si="7"/>
        <v/>
      </c>
      <c r="AN31" t="s">
        <v>641</v>
      </c>
      <c r="AO31" t="str">
        <f t="shared" si="8"/>
        <v>PERM DENIED</v>
      </c>
      <c r="AQ31" t="s">
        <v>641</v>
      </c>
      <c r="AR31" t="str">
        <f t="shared" si="9"/>
        <v>PERM DENIED</v>
      </c>
    </row>
    <row r="32" spans="1:44">
      <c r="A32" s="3">
        <v>9</v>
      </c>
      <c r="B32" t="s">
        <v>433</v>
      </c>
      <c r="C32" t="s">
        <v>411</v>
      </c>
      <c r="D32">
        <v>0.01</v>
      </c>
      <c r="F32" t="e">
        <f>_xll.BDP(Peers!$A27 &amp;" EQUITY", "CUST_TRR_RETURN_HOLDING_PER", "CUST_TRR_START_DT", $F$22, "CUST_TRR_END_DT", $F$21, "CUST_TRR_CRNCY", CURRENCY)/100</f>
        <v>#VALUE!</v>
      </c>
      <c r="G32" t="e">
        <f>_xll.BDP(Peers!$A27 &amp;" EQUITY", "CUST_TRR_RETURN_HOLDING_PER", "CUST_TRR_START_DT", $G$22, "CUST_TRR_END_DT", $F$21, "CUST_TRR_CRNCY", CURRENCY)/100</f>
        <v>#VALUE!</v>
      </c>
      <c r="H32" t="e">
        <f>_xll.BDP(Peers!$A27&amp;" EQUITY",$C$23, "BEST_FPERIOD_OVERRIDE", MID(H$22, 3, 2)&amp;"BC", "EQY_CONSOLIDATED", $D$18)*$D$23</f>
        <v>#N/A</v>
      </c>
      <c r="I32" t="e">
        <f>_xll.BDP(Peers!$A27&amp;" EQUITY",$C$23, "BEST_FPERIOD_OVERRIDE", MID(I$22, 3, 2)&amp;"BC", "EQY_CONSOLIDATED", $D$18)*$D$23</f>
        <v>#N/A</v>
      </c>
      <c r="J32" t="e">
        <f>_xll.BDP(Peers!$A27&amp;" EQUITY",$C$23, "BEST_FPERIOD_OVERRIDE", MID(J$22, 3, 2)&amp;"BC", "EQY_CONSOLIDATED", $D$18)*$D$23</f>
        <v>#N/A</v>
      </c>
      <c r="K32" t="e">
        <f>_xll.BDP(Peers!$A27&amp;" EQUITY",$C$23, "BEST_FPERIOD_OVERRIDE", MID(K$22, 3, 2)&amp;"BC", "EQY_CONSOLIDATED", $D$18)*$D$23</f>
        <v>#N/A</v>
      </c>
      <c r="L32" t="e">
        <f>_xll.BDP(Peers!$A27&amp;" EQUITY",$C$23, "BEST_FPERIOD_OVERRIDE", MID(L$22, 3, 2)&amp;"BC", "EQY_CONSOLIDATED", $D$18)*$D$23</f>
        <v>#N/A</v>
      </c>
      <c r="M32" t="e">
        <f>_xll.BDP(Peers!$A27&amp;" EQUITY",$C$23, "BEST_FPERIOD_OVERRIDE", MID(M$22, 3, 2)&amp;"BC", "EQY_CONSOLIDATED", $D$18)*$D$23</f>
        <v>#N/A</v>
      </c>
      <c r="N32" t="e">
        <f>_xll.BDP(Peers!$A27&amp;" EQUITY",$C$23, "BEST_FPERIOD_OVERRIDE", MID(N$22, 3, 2)&amp;"BC", "EQY_CONSOLIDATED", $D$18)*$D$23</f>
        <v>#N/A</v>
      </c>
      <c r="V32" s="38"/>
      <c r="AF32" s="38" t="str">
        <f t="shared" si="1"/>
        <v/>
      </c>
      <c r="AG32" t="str">
        <f t="shared" si="2"/>
        <v/>
      </c>
      <c r="AH32" t="str">
        <f t="shared" si="3"/>
        <v/>
      </c>
      <c r="AI32" t="str">
        <f t="shared" si="4"/>
        <v/>
      </c>
      <c r="AJ32" t="str">
        <f t="shared" si="5"/>
        <v/>
      </c>
      <c r="AK32" t="str">
        <f t="shared" si="6"/>
        <v/>
      </c>
      <c r="AL32" t="str">
        <f t="shared" si="7"/>
        <v/>
      </c>
      <c r="AN32" t="s">
        <v>810</v>
      </c>
      <c r="AO32" t="str">
        <f t="shared" si="8"/>
        <v>Brean Capital LLC</v>
      </c>
      <c r="AQ32" t="s">
        <v>810</v>
      </c>
      <c r="AR32" t="str">
        <f t="shared" si="9"/>
        <v>Brean Capital LLC</v>
      </c>
    </row>
    <row r="33" spans="1:44">
      <c r="A33" s="3">
        <v>10</v>
      </c>
      <c r="B33" t="s">
        <v>434</v>
      </c>
      <c r="C33" t="s">
        <v>412</v>
      </c>
      <c r="D33">
        <v>0.01</v>
      </c>
      <c r="F33" t="e">
        <f>_xll.BDP(Peers!$A28 &amp;" EQUITY", "CUST_TRR_RETURN_HOLDING_PER", "CUST_TRR_START_DT", $F$22, "CUST_TRR_END_DT", $F$21, "CUST_TRR_CRNCY", CURRENCY)/100</f>
        <v>#VALUE!</v>
      </c>
      <c r="G33" t="e">
        <f>_xll.BDP(Peers!$A28 &amp;" EQUITY", "CUST_TRR_RETURN_HOLDING_PER", "CUST_TRR_START_DT", $G$22, "CUST_TRR_END_DT", $F$21, "CUST_TRR_CRNCY", CURRENCY)/100</f>
        <v>#VALUE!</v>
      </c>
      <c r="H33" t="e">
        <f>_xll.BDP(Peers!$A28&amp;" EQUITY",$C$23, "BEST_FPERIOD_OVERRIDE", MID(H$22, 3, 2)&amp;"BC", "EQY_CONSOLIDATED", $D$18)*$D$23</f>
        <v>#N/A</v>
      </c>
      <c r="I33" t="e">
        <f>_xll.BDP(Peers!$A28&amp;" EQUITY",$C$23, "BEST_FPERIOD_OVERRIDE", MID(I$22, 3, 2)&amp;"BC", "EQY_CONSOLIDATED", $D$18)*$D$23</f>
        <v>#N/A</v>
      </c>
      <c r="J33" t="e">
        <f>_xll.BDP(Peers!$A28&amp;" EQUITY",$C$23, "BEST_FPERIOD_OVERRIDE", MID(J$22, 3, 2)&amp;"BC", "EQY_CONSOLIDATED", $D$18)*$D$23</f>
        <v>#N/A</v>
      </c>
      <c r="K33" t="e">
        <f>_xll.BDP(Peers!$A28&amp;" EQUITY",$C$23, "BEST_FPERIOD_OVERRIDE", MID(K$22, 3, 2)&amp;"BC", "EQY_CONSOLIDATED", $D$18)*$D$23</f>
        <v>#N/A</v>
      </c>
      <c r="L33" t="e">
        <f>_xll.BDP(Peers!$A28&amp;" EQUITY",$C$23, "BEST_FPERIOD_OVERRIDE", MID(L$22, 3, 2)&amp;"BC", "EQY_CONSOLIDATED", $D$18)*$D$23</f>
        <v>#N/A</v>
      </c>
      <c r="M33" t="e">
        <f>_xll.BDP(Peers!$A28&amp;" EQUITY",$C$23, "BEST_FPERIOD_OVERRIDE", MID(M$22, 3, 2)&amp;"BC", "EQY_CONSOLIDATED", $D$18)*$D$23</f>
        <v>#N/A</v>
      </c>
      <c r="N33" t="e">
        <f>_xll.BDP(Peers!$A28&amp;" EQUITY",$C$23, "BEST_FPERIOD_OVERRIDE", MID(N$22, 3, 2)&amp;"BC", "EQY_CONSOLIDATED", $D$18)*$D$23</f>
        <v>#N/A</v>
      </c>
      <c r="V33" s="38"/>
      <c r="AF33" s="38" t="str">
        <f t="shared" si="1"/>
        <v/>
      </c>
      <c r="AG33" t="str">
        <f t="shared" si="2"/>
        <v/>
      </c>
      <c r="AH33" t="str">
        <f t="shared" si="3"/>
        <v/>
      </c>
      <c r="AI33" t="str">
        <f t="shared" si="4"/>
        <v/>
      </c>
      <c r="AJ33" t="str">
        <f t="shared" si="5"/>
        <v/>
      </c>
      <c r="AK33" t="str">
        <f t="shared" si="6"/>
        <v/>
      </c>
      <c r="AL33" t="str">
        <f t="shared" si="7"/>
        <v/>
      </c>
      <c r="AN33" t="s">
        <v>728</v>
      </c>
      <c r="AO33" t="str">
        <f t="shared" si="8"/>
        <v>FBN Securities</v>
      </c>
      <c r="AQ33" t="s">
        <v>728</v>
      </c>
      <c r="AR33" t="str">
        <f t="shared" si="9"/>
        <v>FBN Securities</v>
      </c>
    </row>
    <row r="34" spans="1:44">
      <c r="A34" s="3">
        <v>11</v>
      </c>
      <c r="B34" t="s">
        <v>435</v>
      </c>
      <c r="C34" t="s">
        <v>395</v>
      </c>
      <c r="D34">
        <v>0.01</v>
      </c>
      <c r="F34" t="e">
        <f>_xll.BDP(Peers!$A29 &amp;" EQUITY", "CUST_TRR_RETURN_HOLDING_PER", "CUST_TRR_START_DT", $F$22, "CUST_TRR_END_DT", $F$21, "CUST_TRR_CRNCY", CURRENCY)/100</f>
        <v>#VALUE!</v>
      </c>
      <c r="G34" t="e">
        <f>_xll.BDP(Peers!$A29 &amp;" EQUITY", "CUST_TRR_RETURN_HOLDING_PER", "CUST_TRR_START_DT", $G$22, "CUST_TRR_END_DT", $F$21, "CUST_TRR_CRNCY", CURRENCY)/100</f>
        <v>#VALUE!</v>
      </c>
      <c r="H34" t="e">
        <f>_xll.BDP(Peers!$A29&amp;" EQUITY",$C$23, "BEST_FPERIOD_OVERRIDE", MID(H$22, 3, 2)&amp;"BC", "EQY_CONSOLIDATED", $D$18)*$D$23</f>
        <v>#N/A</v>
      </c>
      <c r="I34" t="e">
        <f>_xll.BDP(Peers!$A29&amp;" EQUITY",$C$23, "BEST_FPERIOD_OVERRIDE", MID(I$22, 3, 2)&amp;"BC", "EQY_CONSOLIDATED", $D$18)*$D$23</f>
        <v>#N/A</v>
      </c>
      <c r="J34" t="e">
        <f>_xll.BDP(Peers!$A29&amp;" EQUITY",$C$23, "BEST_FPERIOD_OVERRIDE", MID(J$22, 3, 2)&amp;"BC", "EQY_CONSOLIDATED", $D$18)*$D$23</f>
        <v>#N/A</v>
      </c>
      <c r="K34" t="e">
        <f>_xll.BDP(Peers!$A29&amp;" EQUITY",$C$23, "BEST_FPERIOD_OVERRIDE", MID(K$22, 3, 2)&amp;"BC", "EQY_CONSOLIDATED", $D$18)*$D$23</f>
        <v>#N/A</v>
      </c>
      <c r="L34" t="e">
        <f>_xll.BDP(Peers!$A29&amp;" EQUITY",$C$23, "BEST_FPERIOD_OVERRIDE", MID(L$22, 3, 2)&amp;"BC", "EQY_CONSOLIDATED", $D$18)*$D$23</f>
        <v>#N/A</v>
      </c>
      <c r="M34" t="e">
        <f>_xll.BDP(Peers!$A29&amp;" EQUITY",$C$23, "BEST_FPERIOD_OVERRIDE", MID(M$22, 3, 2)&amp;"BC", "EQY_CONSOLIDATED", $D$18)*$D$23</f>
        <v>#N/A</v>
      </c>
      <c r="N34" t="e">
        <f>_xll.BDP(Peers!$A29&amp;" EQUITY",$C$23, "BEST_FPERIOD_OVERRIDE", MID(N$22, 3, 2)&amp;"BC", "EQY_CONSOLIDATED", $D$18)*$D$23</f>
        <v>#N/A</v>
      </c>
      <c r="V34" s="38"/>
      <c r="AF34" s="38" t="str">
        <f t="shared" si="1"/>
        <v/>
      </c>
      <c r="AG34" t="str">
        <f t="shared" si="2"/>
        <v/>
      </c>
      <c r="AH34" t="str">
        <f t="shared" si="3"/>
        <v/>
      </c>
      <c r="AI34" t="str">
        <f t="shared" si="4"/>
        <v/>
      </c>
      <c r="AJ34" t="str">
        <f t="shared" si="5"/>
        <v/>
      </c>
      <c r="AK34" t="str">
        <f t="shared" si="6"/>
        <v/>
      </c>
      <c r="AL34" t="str">
        <f t="shared" si="7"/>
        <v/>
      </c>
      <c r="AN34" t="s">
        <v>641</v>
      </c>
      <c r="AO34" t="str">
        <f t="shared" si="8"/>
        <v>PERM DENIED</v>
      </c>
      <c r="AQ34" t="s">
        <v>641</v>
      </c>
      <c r="AR34" t="str">
        <f t="shared" si="9"/>
        <v>PERM DENIED</v>
      </c>
    </row>
    <row r="35" spans="1:44">
      <c r="F35" t="e">
        <f>_xll.BDP(Peers!$A30 &amp;" EQUITY", "CUST_TRR_RETURN_HOLDING_PER", "CUST_TRR_START_DT", $F$22, "CUST_TRR_END_DT", $F$21, "CUST_TRR_CRNCY", CURRENCY)/100</f>
        <v>#VALUE!</v>
      </c>
      <c r="G35" t="e">
        <f>_xll.BDP(Peers!$A30 &amp;" EQUITY", "CUST_TRR_RETURN_HOLDING_PER", "CUST_TRR_START_DT", $G$22, "CUST_TRR_END_DT", $F$21, "CUST_TRR_CRNCY", CURRENCY)/100</f>
        <v>#VALUE!</v>
      </c>
      <c r="H35" t="e">
        <f>_xll.BDP(Peers!$A30&amp;" EQUITY",$C$23, "BEST_FPERIOD_OVERRIDE", MID(H$22, 3, 2)&amp;"BC", "EQY_CONSOLIDATED", $D$18)*$D$23</f>
        <v>#N/A</v>
      </c>
      <c r="I35" t="e">
        <f>_xll.BDP(Peers!$A30&amp;" EQUITY",$C$23, "BEST_FPERIOD_OVERRIDE", MID(I$22, 3, 2)&amp;"BC", "EQY_CONSOLIDATED", $D$18)*$D$23</f>
        <v>#N/A</v>
      </c>
      <c r="J35" t="e">
        <f>_xll.BDP(Peers!$A30&amp;" EQUITY",$C$23, "BEST_FPERIOD_OVERRIDE", MID(J$22, 3, 2)&amp;"BC", "EQY_CONSOLIDATED", $D$18)*$D$23</f>
        <v>#N/A</v>
      </c>
      <c r="K35" t="e">
        <f>_xll.BDP(Peers!$A30&amp;" EQUITY",$C$23, "BEST_FPERIOD_OVERRIDE", MID(K$22, 3, 2)&amp;"BC", "EQY_CONSOLIDATED", $D$18)*$D$23</f>
        <v>#N/A</v>
      </c>
      <c r="L35" t="e">
        <f>_xll.BDP(Peers!$A30&amp;" EQUITY",$C$23, "BEST_FPERIOD_OVERRIDE", MID(L$22, 3, 2)&amp;"BC", "EQY_CONSOLIDATED", $D$18)*$D$23</f>
        <v>#N/A</v>
      </c>
      <c r="M35" t="e">
        <f>_xll.BDP(Peers!$A30&amp;" EQUITY",$C$23, "BEST_FPERIOD_OVERRIDE", MID(M$22, 3, 2)&amp;"BC", "EQY_CONSOLIDATED", $D$18)*$D$23</f>
        <v>#N/A</v>
      </c>
      <c r="N35" t="e">
        <f>_xll.BDP(Peers!$A30&amp;" EQUITY",$C$23, "BEST_FPERIOD_OVERRIDE", MID(N$22, 3, 2)&amp;"BC", "EQY_CONSOLIDATED", $D$18)*$D$23</f>
        <v>#N/A</v>
      </c>
      <c r="V35" s="38"/>
      <c r="AF35" s="38" t="str">
        <f t="shared" si="1"/>
        <v/>
      </c>
      <c r="AG35" t="str">
        <f t="shared" si="2"/>
        <v/>
      </c>
      <c r="AH35" t="str">
        <f t="shared" si="3"/>
        <v/>
      </c>
      <c r="AI35" t="str">
        <f t="shared" si="4"/>
        <v/>
      </c>
      <c r="AJ35" t="str">
        <f t="shared" si="5"/>
        <v/>
      </c>
      <c r="AK35" t="str">
        <f t="shared" si="6"/>
        <v/>
      </c>
      <c r="AL35" t="str">
        <f t="shared" si="7"/>
        <v/>
      </c>
      <c r="AN35" t="s">
        <v>721</v>
      </c>
      <c r="AO35" t="str">
        <f t="shared" si="8"/>
        <v>Susquehanna Financial Group</v>
      </c>
      <c r="AQ35" t="s">
        <v>721</v>
      </c>
      <c r="AR35" t="str">
        <f t="shared" si="9"/>
        <v>Susquehanna Financial Group</v>
      </c>
    </row>
    <row r="36" spans="1:44">
      <c r="F36" t="e">
        <f>_xll.BDP(Peers!$A31 &amp;" EQUITY", "CUST_TRR_RETURN_HOLDING_PER", "CUST_TRR_START_DT", $F$22, "CUST_TRR_END_DT", $F$21, "CUST_TRR_CRNCY", CURRENCY)/100</f>
        <v>#VALUE!</v>
      </c>
      <c r="G36" t="e">
        <f>_xll.BDP(Peers!$A31 &amp;" EQUITY", "CUST_TRR_RETURN_HOLDING_PER", "CUST_TRR_START_DT", $G$22, "CUST_TRR_END_DT", $F$21, "CUST_TRR_CRNCY", CURRENCY)/100</f>
        <v>#VALUE!</v>
      </c>
      <c r="H36" t="e">
        <f>_xll.BDP(Peers!$A31&amp;" EQUITY",$C$23, "BEST_FPERIOD_OVERRIDE", MID(H$22, 3, 2)&amp;"BC", "EQY_CONSOLIDATED", $D$18)*$D$23</f>
        <v>#N/A</v>
      </c>
      <c r="I36" t="e">
        <f>_xll.BDP(Peers!$A31&amp;" EQUITY",$C$23, "BEST_FPERIOD_OVERRIDE", MID(I$22, 3, 2)&amp;"BC", "EQY_CONSOLIDATED", $D$18)*$D$23</f>
        <v>#N/A</v>
      </c>
      <c r="J36" t="e">
        <f>_xll.BDP(Peers!$A31&amp;" EQUITY",$C$23, "BEST_FPERIOD_OVERRIDE", MID(J$22, 3, 2)&amp;"BC", "EQY_CONSOLIDATED", $D$18)*$D$23</f>
        <v>#N/A</v>
      </c>
      <c r="K36" t="e">
        <f>_xll.BDP(Peers!$A31&amp;" EQUITY",$C$23, "BEST_FPERIOD_OVERRIDE", MID(K$22, 3, 2)&amp;"BC", "EQY_CONSOLIDATED", $D$18)*$D$23</f>
        <v>#N/A</v>
      </c>
      <c r="L36" t="e">
        <f>_xll.BDP(Peers!$A31&amp;" EQUITY",$C$23, "BEST_FPERIOD_OVERRIDE", MID(L$22, 3, 2)&amp;"BC", "EQY_CONSOLIDATED", $D$18)*$D$23</f>
        <v>#N/A</v>
      </c>
      <c r="M36" t="e">
        <f>_xll.BDP(Peers!$A31&amp;" EQUITY",$C$23, "BEST_FPERIOD_OVERRIDE", MID(M$22, 3, 2)&amp;"BC", "EQY_CONSOLIDATED", $D$18)*$D$23</f>
        <v>#N/A</v>
      </c>
      <c r="N36" t="e">
        <f>_xll.BDP(Peers!$A31&amp;" EQUITY",$C$23, "BEST_FPERIOD_OVERRIDE", MID(N$22, 3, 2)&amp;"BC", "EQY_CONSOLIDATED", $D$18)*$D$23</f>
        <v>#N/A</v>
      </c>
      <c r="V36" s="38"/>
      <c r="AF36" s="38" t="str">
        <f t="shared" si="1"/>
        <v/>
      </c>
      <c r="AG36" t="str">
        <f t="shared" si="2"/>
        <v/>
      </c>
      <c r="AH36" t="str">
        <f t="shared" si="3"/>
        <v/>
      </c>
      <c r="AI36" t="str">
        <f t="shared" si="4"/>
        <v/>
      </c>
      <c r="AJ36" t="str">
        <f t="shared" si="5"/>
        <v/>
      </c>
      <c r="AK36" t="str">
        <f t="shared" si="6"/>
        <v/>
      </c>
      <c r="AL36" t="str">
        <f t="shared" si="7"/>
        <v/>
      </c>
      <c r="AN36" t="s">
        <v>641</v>
      </c>
      <c r="AO36" t="str">
        <f t="shared" si="8"/>
        <v>PERM DENIED</v>
      </c>
      <c r="AQ36" t="s">
        <v>641</v>
      </c>
      <c r="AR36" t="str">
        <f t="shared" si="9"/>
        <v>PERM DENIED</v>
      </c>
    </row>
    <row r="37" spans="1:44">
      <c r="F37" t="e">
        <f>_xll.BDP(Peers!$A32 &amp;" EQUITY", "CUST_TRR_RETURN_HOLDING_PER", "CUST_TRR_START_DT", $F$22, "CUST_TRR_END_DT", $F$21, "CUST_TRR_CRNCY", CURRENCY)/100</f>
        <v>#VALUE!</v>
      </c>
      <c r="G37" t="e">
        <f>_xll.BDP(Peers!$A32 &amp;" EQUITY", "CUST_TRR_RETURN_HOLDING_PER", "CUST_TRR_START_DT", $G$22, "CUST_TRR_END_DT", $F$21, "CUST_TRR_CRNCY", CURRENCY)/100</f>
        <v>#VALUE!</v>
      </c>
      <c r="H37" t="e">
        <f>_xll.BDP(Peers!$A32&amp;" EQUITY",$C$23, "BEST_FPERIOD_OVERRIDE", MID(H$22, 3, 2)&amp;"BC", "EQY_CONSOLIDATED", $D$18)*$D$23</f>
        <v>#N/A</v>
      </c>
      <c r="I37" t="e">
        <f>_xll.BDP(Peers!$A32&amp;" EQUITY",$C$23, "BEST_FPERIOD_OVERRIDE", MID(I$22, 3, 2)&amp;"BC", "EQY_CONSOLIDATED", $D$18)*$D$23</f>
        <v>#N/A</v>
      </c>
      <c r="J37" t="e">
        <f>_xll.BDP(Peers!$A32&amp;" EQUITY",$C$23, "BEST_FPERIOD_OVERRIDE", MID(J$22, 3, 2)&amp;"BC", "EQY_CONSOLIDATED", $D$18)*$D$23</f>
        <v>#N/A</v>
      </c>
      <c r="K37" t="e">
        <f>_xll.BDP(Peers!$A32&amp;" EQUITY",$C$23, "BEST_FPERIOD_OVERRIDE", MID(K$22, 3, 2)&amp;"BC", "EQY_CONSOLIDATED", $D$18)*$D$23</f>
        <v>#N/A</v>
      </c>
      <c r="L37" t="e">
        <f>_xll.BDP(Peers!$A32&amp;" EQUITY",$C$23, "BEST_FPERIOD_OVERRIDE", MID(L$22, 3, 2)&amp;"BC", "EQY_CONSOLIDATED", $D$18)*$D$23</f>
        <v>#N/A</v>
      </c>
      <c r="M37" t="e">
        <f>_xll.BDP(Peers!$A32&amp;" EQUITY",$C$23, "BEST_FPERIOD_OVERRIDE", MID(M$22, 3, 2)&amp;"BC", "EQY_CONSOLIDATED", $D$18)*$D$23</f>
        <v>#N/A</v>
      </c>
      <c r="N37" t="e">
        <f>_xll.BDP(Peers!$A32&amp;" EQUITY",$C$23, "BEST_FPERIOD_OVERRIDE", MID(N$22, 3, 2)&amp;"BC", "EQY_CONSOLIDATED", $D$18)*$D$23</f>
        <v>#N/A</v>
      </c>
      <c r="V37" s="38"/>
      <c r="AF37" s="38" t="str">
        <f t="shared" si="1"/>
        <v/>
      </c>
      <c r="AG37" t="str">
        <f t="shared" si="2"/>
        <v/>
      </c>
      <c r="AH37" t="str">
        <f t="shared" si="3"/>
        <v/>
      </c>
      <c r="AI37" t="str">
        <f t="shared" si="4"/>
        <v/>
      </c>
      <c r="AJ37" t="str">
        <f t="shared" si="5"/>
        <v/>
      </c>
      <c r="AK37" t="str">
        <f t="shared" si="6"/>
        <v/>
      </c>
      <c r="AL37" t="str">
        <f t="shared" si="7"/>
        <v/>
      </c>
      <c r="AN37" t="s">
        <v>641</v>
      </c>
      <c r="AO37" t="str">
        <f t="shared" si="8"/>
        <v>PERM DENIED</v>
      </c>
      <c r="AQ37" t="s">
        <v>641</v>
      </c>
      <c r="AR37" t="str">
        <f t="shared" si="9"/>
        <v>PERM DENIED</v>
      </c>
    </row>
    <row r="38" spans="1:44">
      <c r="F38" t="e">
        <f>_xll.BDP(Peers!$A33 &amp;" EQUITY", "CUST_TRR_RETURN_HOLDING_PER", "CUST_TRR_START_DT", $F$22, "CUST_TRR_END_DT", $F$21, "CUST_TRR_CRNCY", CURRENCY)/100</f>
        <v>#VALUE!</v>
      </c>
      <c r="G38" t="e">
        <f>_xll.BDP(Peers!$A33 &amp;" EQUITY", "CUST_TRR_RETURN_HOLDING_PER", "CUST_TRR_START_DT", $G$22, "CUST_TRR_END_DT", $F$21, "CUST_TRR_CRNCY", CURRENCY)/100</f>
        <v>#VALUE!</v>
      </c>
      <c r="H38" t="e">
        <f>_xll.BDP(Peers!$A33&amp;" EQUITY",$C$23, "BEST_FPERIOD_OVERRIDE", MID(H$22, 3, 2)&amp;"BC", "EQY_CONSOLIDATED", $D$18)*$D$23</f>
        <v>#N/A</v>
      </c>
      <c r="I38" t="e">
        <f>_xll.BDP(Peers!$A33&amp;" EQUITY",$C$23, "BEST_FPERIOD_OVERRIDE", MID(I$22, 3, 2)&amp;"BC", "EQY_CONSOLIDATED", $D$18)*$D$23</f>
        <v>#N/A</v>
      </c>
      <c r="J38" t="e">
        <f>_xll.BDP(Peers!$A33&amp;" EQUITY",$C$23, "BEST_FPERIOD_OVERRIDE", MID(J$22, 3, 2)&amp;"BC", "EQY_CONSOLIDATED", $D$18)*$D$23</f>
        <v>#N/A</v>
      </c>
      <c r="K38" t="e">
        <f>_xll.BDP(Peers!$A33&amp;" EQUITY",$C$23, "BEST_FPERIOD_OVERRIDE", MID(K$22, 3, 2)&amp;"BC", "EQY_CONSOLIDATED", $D$18)*$D$23</f>
        <v>#N/A</v>
      </c>
      <c r="L38" t="e">
        <f>_xll.BDP(Peers!$A33&amp;" EQUITY",$C$23, "BEST_FPERIOD_OVERRIDE", MID(L$22, 3, 2)&amp;"BC", "EQY_CONSOLIDATED", $D$18)*$D$23</f>
        <v>#N/A</v>
      </c>
      <c r="M38" t="e">
        <f>_xll.BDP(Peers!$A33&amp;" EQUITY",$C$23, "BEST_FPERIOD_OVERRIDE", MID(M$22, 3, 2)&amp;"BC", "EQY_CONSOLIDATED", $D$18)*$D$23</f>
        <v>#N/A</v>
      </c>
      <c r="N38" t="e">
        <f>_xll.BDP(Peers!$A33&amp;" EQUITY",$C$23, "BEST_FPERIOD_OVERRIDE", MID(N$22, 3, 2)&amp;"BC", "EQY_CONSOLIDATED", $D$18)*$D$23</f>
        <v>#N/A</v>
      </c>
      <c r="V38" s="38"/>
      <c r="AF38" s="38" t="str">
        <f t="shared" si="1"/>
        <v/>
      </c>
      <c r="AG38" t="str">
        <f t="shared" si="2"/>
        <v/>
      </c>
      <c r="AH38" t="str">
        <f t="shared" si="3"/>
        <v/>
      </c>
      <c r="AI38" t="str">
        <f t="shared" si="4"/>
        <v/>
      </c>
      <c r="AJ38" t="str">
        <f t="shared" si="5"/>
        <v/>
      </c>
      <c r="AK38" t="str">
        <f t="shared" si="6"/>
        <v/>
      </c>
      <c r="AL38" t="str">
        <f t="shared" si="7"/>
        <v/>
      </c>
      <c r="AN38" t="s">
        <v>641</v>
      </c>
      <c r="AO38" t="str">
        <f t="shared" si="8"/>
        <v>PERM DENIED</v>
      </c>
      <c r="AQ38" t="s">
        <v>641</v>
      </c>
      <c r="AR38" t="str">
        <f t="shared" si="9"/>
        <v>PERM DENIED</v>
      </c>
    </row>
    <row r="39" spans="1:44">
      <c r="A39" s="60" t="s">
        <v>623</v>
      </c>
      <c r="B39" s="61"/>
      <c r="F39" t="e">
        <f>_xll.BDP(Peers!$A34 &amp;" EQUITY", "CUST_TRR_RETURN_HOLDING_PER", "CUST_TRR_START_DT", $F$22, "CUST_TRR_END_DT", $F$21, "CUST_TRR_CRNCY", CURRENCY)/100</f>
        <v>#VALUE!</v>
      </c>
      <c r="G39" t="e">
        <f>_xll.BDP(Peers!$A34 &amp;" EQUITY", "CUST_TRR_RETURN_HOLDING_PER", "CUST_TRR_START_DT", $G$22, "CUST_TRR_END_DT", $F$21, "CUST_TRR_CRNCY", CURRENCY)/100</f>
        <v>#VALUE!</v>
      </c>
      <c r="H39" t="e">
        <f>_xll.BDP(Peers!$A34&amp;" EQUITY",$C$23, "BEST_FPERIOD_OVERRIDE", MID(H$22, 3, 2)&amp;"BC", "EQY_CONSOLIDATED", $D$18)*$D$23</f>
        <v>#N/A</v>
      </c>
      <c r="I39" t="e">
        <f>_xll.BDP(Peers!$A34&amp;" EQUITY",$C$23, "BEST_FPERIOD_OVERRIDE", MID(I$22, 3, 2)&amp;"BC", "EQY_CONSOLIDATED", $D$18)*$D$23</f>
        <v>#N/A</v>
      </c>
      <c r="J39" t="e">
        <f>_xll.BDP(Peers!$A34&amp;" EQUITY",$C$23, "BEST_FPERIOD_OVERRIDE", MID(J$22, 3, 2)&amp;"BC", "EQY_CONSOLIDATED", $D$18)*$D$23</f>
        <v>#N/A</v>
      </c>
      <c r="K39" t="e">
        <f>_xll.BDP(Peers!$A34&amp;" EQUITY",$C$23, "BEST_FPERIOD_OVERRIDE", MID(K$22, 3, 2)&amp;"BC", "EQY_CONSOLIDATED", $D$18)*$D$23</f>
        <v>#N/A</v>
      </c>
      <c r="L39" t="e">
        <f>_xll.BDP(Peers!$A34&amp;" EQUITY",$C$23, "BEST_FPERIOD_OVERRIDE", MID(L$22, 3, 2)&amp;"BC", "EQY_CONSOLIDATED", $D$18)*$D$23</f>
        <v>#N/A</v>
      </c>
      <c r="M39" t="e">
        <f>_xll.BDP(Peers!$A34&amp;" EQUITY",$C$23, "BEST_FPERIOD_OVERRIDE", MID(M$22, 3, 2)&amp;"BC", "EQY_CONSOLIDATED", $D$18)*$D$23</f>
        <v>#N/A</v>
      </c>
      <c r="N39" t="e">
        <f>_xll.BDP(Peers!$A34&amp;" EQUITY",$C$23, "BEST_FPERIOD_OVERRIDE", MID(N$22, 3, 2)&amp;"BC", "EQY_CONSOLIDATED", $D$18)*$D$23</f>
        <v>#N/A</v>
      </c>
      <c r="V39" s="38"/>
      <c r="AF39" s="38" t="str">
        <f t="shared" si="1"/>
        <v/>
      </c>
      <c r="AG39" t="str">
        <f t="shared" si="2"/>
        <v/>
      </c>
      <c r="AH39" t="str">
        <f t="shared" si="3"/>
        <v/>
      </c>
      <c r="AI39" t="str">
        <f t="shared" si="4"/>
        <v/>
      </c>
      <c r="AJ39" t="str">
        <f t="shared" si="5"/>
        <v/>
      </c>
      <c r="AK39" t="str">
        <f t="shared" si="6"/>
        <v/>
      </c>
      <c r="AL39" t="str">
        <f t="shared" si="7"/>
        <v/>
      </c>
      <c r="AN39" t="s">
        <v>641</v>
      </c>
      <c r="AO39" t="str">
        <f t="shared" si="8"/>
        <v>PERM DENIED</v>
      </c>
      <c r="AQ39" t="s">
        <v>641</v>
      </c>
      <c r="AR39" t="str">
        <f t="shared" si="9"/>
        <v>PERM DENIED</v>
      </c>
    </row>
    <row r="40" spans="1:44">
      <c r="A40" t="s">
        <v>413</v>
      </c>
      <c r="B40" t="s">
        <v>564</v>
      </c>
      <c r="C40" t="s">
        <v>565</v>
      </c>
      <c r="D40" t="s">
        <v>566</v>
      </c>
      <c r="F40" t="e">
        <f>_xll.BDP(Peers!$A35 &amp;" EQUITY", "CUST_TRR_RETURN_HOLDING_PER", "CUST_TRR_START_DT", $F$22, "CUST_TRR_END_DT", $F$21, "CUST_TRR_CRNCY", CURRENCY)/100</f>
        <v>#VALUE!</v>
      </c>
      <c r="G40" t="e">
        <f>_xll.BDP(Peers!$A35 &amp;" EQUITY", "CUST_TRR_RETURN_HOLDING_PER", "CUST_TRR_START_DT", $G$22, "CUST_TRR_END_DT", $F$21, "CUST_TRR_CRNCY", CURRENCY)/100</f>
        <v>#VALUE!</v>
      </c>
      <c r="H40" t="e">
        <f>_xll.BDP(Peers!$A35&amp;" EQUITY",$C$23, "BEST_FPERIOD_OVERRIDE", MID(H$22, 3, 2)&amp;"BC", "EQY_CONSOLIDATED", $D$18)*$D$23</f>
        <v>#N/A</v>
      </c>
      <c r="I40" t="e">
        <f>_xll.BDP(Peers!$A35&amp;" EQUITY",$C$23, "BEST_FPERIOD_OVERRIDE", MID(I$22, 3, 2)&amp;"BC", "EQY_CONSOLIDATED", $D$18)*$D$23</f>
        <v>#N/A</v>
      </c>
      <c r="J40" t="e">
        <f>_xll.BDP(Peers!$A35&amp;" EQUITY",$C$23, "BEST_FPERIOD_OVERRIDE", MID(J$22, 3, 2)&amp;"BC", "EQY_CONSOLIDATED", $D$18)*$D$23</f>
        <v>#N/A</v>
      </c>
      <c r="K40" t="e">
        <f>_xll.BDP(Peers!$A35&amp;" EQUITY",$C$23, "BEST_FPERIOD_OVERRIDE", MID(K$22, 3, 2)&amp;"BC", "EQY_CONSOLIDATED", $D$18)*$D$23</f>
        <v>#N/A</v>
      </c>
      <c r="L40" t="e">
        <f>_xll.BDP(Peers!$A35&amp;" EQUITY",$C$23, "BEST_FPERIOD_OVERRIDE", MID(L$22, 3, 2)&amp;"BC", "EQY_CONSOLIDATED", $D$18)*$D$23</f>
        <v>#N/A</v>
      </c>
      <c r="M40" t="e">
        <f>_xll.BDP(Peers!$A35&amp;" EQUITY",$C$23, "BEST_FPERIOD_OVERRIDE", MID(M$22, 3, 2)&amp;"BC", "EQY_CONSOLIDATED", $D$18)*$D$23</f>
        <v>#N/A</v>
      </c>
      <c r="N40" t="e">
        <f>_xll.BDP(Peers!$A35&amp;" EQUITY",$C$23, "BEST_FPERIOD_OVERRIDE", MID(N$22, 3, 2)&amp;"BC", "EQY_CONSOLIDATED", $D$18)*$D$23</f>
        <v>#N/A</v>
      </c>
      <c r="V40" s="38"/>
      <c r="AF40" s="38" t="str">
        <f t="shared" si="1"/>
        <v/>
      </c>
      <c r="AG40" t="str">
        <f t="shared" si="2"/>
        <v/>
      </c>
      <c r="AH40" t="str">
        <f t="shared" si="3"/>
        <v/>
      </c>
      <c r="AI40" t="str">
        <f t="shared" si="4"/>
        <v/>
      </c>
      <c r="AJ40" t="str">
        <f t="shared" si="5"/>
        <v/>
      </c>
      <c r="AK40" t="str">
        <f t="shared" si="6"/>
        <v/>
      </c>
      <c r="AL40" t="str">
        <f t="shared" si="7"/>
        <v/>
      </c>
      <c r="AN40" t="s">
        <v>686</v>
      </c>
      <c r="AO40" t="str">
        <f t="shared" si="8"/>
        <v>Stifel</v>
      </c>
      <c r="AQ40" t="s">
        <v>686</v>
      </c>
      <c r="AR40" t="str">
        <f t="shared" si="9"/>
        <v>Stifel</v>
      </c>
    </row>
    <row r="41" spans="1:44">
      <c r="A41" s="38">
        <f>_xll.BDH(TICKER&amp;" EQUITY","TOT_BUY_REC","ED-13AM","","BEST FPERIOD OVERRIDE","1FY","PER=CM","SORT=D","DAYS=W","Fill=P","DTS=S","cols=2;rows=13")</f>
        <v>42216</v>
      </c>
      <c r="B41">
        <v>39</v>
      </c>
      <c r="C41">
        <f>_xll.BDH(TICKER&amp;" EQUITY","TOT_HOLD_REC","ED-13AM","","BEST FPERIOD OVERRIDE","1FY","PER=CM","SORT=D","DAYS=W","Fill=P","DTS=H","cols=1;rows=13")</f>
        <v>14</v>
      </c>
      <c r="D41">
        <f>_xll.BDH(TICKER&amp;" EQUITY","TOT_SELL_REC","ED-13AM","","BEST FPERIOD OVERRIDE","1FY","PER=CM","SORT=D","DAYS=W","Fill=P","DTS=H","cols=1;rows=13")</f>
        <v>2</v>
      </c>
      <c r="F41" t="e">
        <f>_xll.BDP(Peers!$A36 &amp;" EQUITY", "CUST_TRR_RETURN_HOLDING_PER", "CUST_TRR_START_DT", $F$22, "CUST_TRR_END_DT", $F$21, "CUST_TRR_CRNCY", CURRENCY)/100</f>
        <v>#VALUE!</v>
      </c>
      <c r="G41" t="e">
        <f>_xll.BDP(Peers!$A36 &amp;" EQUITY", "CUST_TRR_RETURN_HOLDING_PER", "CUST_TRR_START_DT", $G$22, "CUST_TRR_END_DT", $F$21, "CUST_TRR_CRNCY", CURRENCY)/100</f>
        <v>#VALUE!</v>
      </c>
      <c r="H41" t="e">
        <f>_xll.BDP(Peers!$A36&amp;" EQUITY",$C$23, "BEST_FPERIOD_OVERRIDE", MID(H$22, 3, 2)&amp;"BC", "EQY_CONSOLIDATED", $D$18)*$D$23</f>
        <v>#N/A</v>
      </c>
      <c r="I41" t="e">
        <f>_xll.BDP(Peers!$A36&amp;" EQUITY",$C$23, "BEST_FPERIOD_OVERRIDE", MID(I$22, 3, 2)&amp;"BC", "EQY_CONSOLIDATED", $D$18)*$D$23</f>
        <v>#N/A</v>
      </c>
      <c r="J41" t="e">
        <f>_xll.BDP(Peers!$A36&amp;" EQUITY",$C$23, "BEST_FPERIOD_OVERRIDE", MID(J$22, 3, 2)&amp;"BC", "EQY_CONSOLIDATED", $D$18)*$D$23</f>
        <v>#N/A</v>
      </c>
      <c r="K41" t="e">
        <f>_xll.BDP(Peers!$A36&amp;" EQUITY",$C$23, "BEST_FPERIOD_OVERRIDE", MID(K$22, 3, 2)&amp;"BC", "EQY_CONSOLIDATED", $D$18)*$D$23</f>
        <v>#N/A</v>
      </c>
      <c r="L41" t="e">
        <f>_xll.BDP(Peers!$A36&amp;" EQUITY",$C$23, "BEST_FPERIOD_OVERRIDE", MID(L$22, 3, 2)&amp;"BC", "EQY_CONSOLIDATED", $D$18)*$D$23</f>
        <v>#N/A</v>
      </c>
      <c r="M41" t="e">
        <f>_xll.BDP(Peers!$A36&amp;" EQUITY",$C$23, "BEST_FPERIOD_OVERRIDE", MID(M$22, 3, 2)&amp;"BC", "EQY_CONSOLIDATED", $D$18)*$D$23</f>
        <v>#N/A</v>
      </c>
      <c r="N41" t="e">
        <f>_xll.BDP(Peers!$A36&amp;" EQUITY",$C$23, "BEST_FPERIOD_OVERRIDE", MID(N$22, 3, 2)&amp;"BC", "EQY_CONSOLIDATED", $D$18)*$D$23</f>
        <v>#N/A</v>
      </c>
      <c r="V41" s="38"/>
      <c r="AF41" s="38" t="str">
        <f t="shared" si="1"/>
        <v/>
      </c>
      <c r="AG41" t="str">
        <f t="shared" si="2"/>
        <v/>
      </c>
      <c r="AH41" t="str">
        <f t="shared" si="3"/>
        <v/>
      </c>
      <c r="AI41" t="str">
        <f t="shared" si="4"/>
        <v/>
      </c>
      <c r="AJ41" t="str">
        <f t="shared" si="5"/>
        <v/>
      </c>
      <c r="AK41" t="str">
        <f t="shared" si="6"/>
        <v/>
      </c>
      <c r="AL41" t="str">
        <f t="shared" si="7"/>
        <v/>
      </c>
      <c r="AN41" t="s">
        <v>730</v>
      </c>
      <c r="AO41" t="str">
        <f t="shared" si="8"/>
        <v>Mizuho Securities USA Inc</v>
      </c>
      <c r="AQ41" t="s">
        <v>730</v>
      </c>
      <c r="AR41" t="str">
        <f t="shared" si="9"/>
        <v>Mizuho Securities USA Inc</v>
      </c>
    </row>
    <row r="42" spans="1:44">
      <c r="A42" s="38">
        <v>42185</v>
      </c>
      <c r="B42">
        <v>39</v>
      </c>
      <c r="C42">
        <v>15</v>
      </c>
      <c r="D42">
        <v>2</v>
      </c>
      <c r="F42" t="e">
        <f>_xll.BDP(Peers!$A37 &amp;" EQUITY", "CUST_TRR_RETURN_HOLDING_PER", "CUST_TRR_START_DT", $F$22, "CUST_TRR_END_DT", $F$21, "CUST_TRR_CRNCY", CURRENCY)/100</f>
        <v>#VALUE!</v>
      </c>
      <c r="G42" t="e">
        <f>_xll.BDP(Peers!$A37 &amp;" EQUITY", "CUST_TRR_RETURN_HOLDING_PER", "CUST_TRR_START_DT", $G$22, "CUST_TRR_END_DT", $F$21, "CUST_TRR_CRNCY", CURRENCY)/100</f>
        <v>#VALUE!</v>
      </c>
      <c r="H42" t="e">
        <f>_xll.BDP(Peers!$A37&amp;" EQUITY",$C$23, "BEST_FPERIOD_OVERRIDE", MID(H$22, 3, 2)&amp;"BC", "EQY_CONSOLIDATED", $D$18)*$D$23</f>
        <v>#N/A</v>
      </c>
      <c r="I42" t="e">
        <f>_xll.BDP(Peers!$A37&amp;" EQUITY",$C$23, "BEST_FPERIOD_OVERRIDE", MID(I$22, 3, 2)&amp;"BC", "EQY_CONSOLIDATED", $D$18)*$D$23</f>
        <v>#N/A</v>
      </c>
      <c r="J42" t="e">
        <f>_xll.BDP(Peers!$A37&amp;" EQUITY",$C$23, "BEST_FPERIOD_OVERRIDE", MID(J$22, 3, 2)&amp;"BC", "EQY_CONSOLIDATED", $D$18)*$D$23</f>
        <v>#N/A</v>
      </c>
      <c r="K42" t="e">
        <f>_xll.BDP(Peers!$A37&amp;" EQUITY",$C$23, "BEST_FPERIOD_OVERRIDE", MID(K$22, 3, 2)&amp;"BC", "EQY_CONSOLIDATED", $D$18)*$D$23</f>
        <v>#N/A</v>
      </c>
      <c r="L42" t="e">
        <f>_xll.BDP(Peers!$A37&amp;" EQUITY",$C$23, "BEST_FPERIOD_OVERRIDE", MID(L$22, 3, 2)&amp;"BC", "EQY_CONSOLIDATED", $D$18)*$D$23</f>
        <v>#N/A</v>
      </c>
      <c r="M42" t="e">
        <f>_xll.BDP(Peers!$A37&amp;" EQUITY",$C$23, "BEST_FPERIOD_OVERRIDE", MID(M$22, 3, 2)&amp;"BC", "EQY_CONSOLIDATED", $D$18)*$D$23</f>
        <v>#N/A</v>
      </c>
      <c r="N42" t="e">
        <f>_xll.BDP(Peers!$A37&amp;" EQUITY",$C$23, "BEST_FPERIOD_OVERRIDE", MID(N$22, 3, 2)&amp;"BC", "EQY_CONSOLIDATED", $D$18)*$D$23</f>
        <v>#N/A</v>
      </c>
      <c r="V42" s="38"/>
      <c r="AF42" s="38" t="str">
        <f t="shared" si="1"/>
        <v/>
      </c>
      <c r="AG42" t="str">
        <f t="shared" si="2"/>
        <v/>
      </c>
      <c r="AH42" t="str">
        <f t="shared" si="3"/>
        <v/>
      </c>
      <c r="AI42" t="str">
        <f t="shared" si="4"/>
        <v/>
      </c>
      <c r="AJ42" t="str">
        <f t="shared" si="5"/>
        <v/>
      </c>
      <c r="AK42" t="str">
        <f t="shared" si="6"/>
        <v/>
      </c>
      <c r="AL42" t="str">
        <f t="shared" si="7"/>
        <v/>
      </c>
      <c r="AN42" t="s">
        <v>738</v>
      </c>
      <c r="AO42" t="str">
        <f t="shared" si="8"/>
        <v>William Blair &amp; Co</v>
      </c>
      <c r="AQ42" t="s">
        <v>738</v>
      </c>
      <c r="AR42" t="str">
        <f t="shared" si="9"/>
        <v>William Blair &amp; Co</v>
      </c>
    </row>
    <row r="43" spans="1:44">
      <c r="A43" s="38">
        <v>42153</v>
      </c>
      <c r="B43">
        <v>39</v>
      </c>
      <c r="C43">
        <v>14</v>
      </c>
      <c r="D43">
        <v>3</v>
      </c>
      <c r="F43" t="e">
        <f>_xll.BDP(Peers!$A38 &amp;" EQUITY", "CUST_TRR_RETURN_HOLDING_PER", "CUST_TRR_START_DT", $F$22, "CUST_TRR_END_DT", $F$21, "CUST_TRR_CRNCY", CURRENCY)/100</f>
        <v>#VALUE!</v>
      </c>
      <c r="G43" t="e">
        <f>_xll.BDP(Peers!$A38 &amp;" EQUITY", "CUST_TRR_RETURN_HOLDING_PER", "CUST_TRR_START_DT", $G$22, "CUST_TRR_END_DT", $F$21, "CUST_TRR_CRNCY", CURRENCY)/100</f>
        <v>#VALUE!</v>
      </c>
      <c r="H43" t="e">
        <f>_xll.BDP(Peers!$A38&amp;" EQUITY",$C$23, "BEST_FPERIOD_OVERRIDE", MID(H$22, 3, 2)&amp;"BC", "EQY_CONSOLIDATED", $D$18)*$D$23</f>
        <v>#N/A</v>
      </c>
      <c r="I43" t="e">
        <f>_xll.BDP(Peers!$A38&amp;" EQUITY",$C$23, "BEST_FPERIOD_OVERRIDE", MID(I$22, 3, 2)&amp;"BC", "EQY_CONSOLIDATED", $D$18)*$D$23</f>
        <v>#N/A</v>
      </c>
      <c r="J43" t="e">
        <f>_xll.BDP(Peers!$A38&amp;" EQUITY",$C$23, "BEST_FPERIOD_OVERRIDE", MID(J$22, 3, 2)&amp;"BC", "EQY_CONSOLIDATED", $D$18)*$D$23</f>
        <v>#N/A</v>
      </c>
      <c r="K43" t="e">
        <f>_xll.BDP(Peers!$A38&amp;" EQUITY",$C$23, "BEST_FPERIOD_OVERRIDE", MID(K$22, 3, 2)&amp;"BC", "EQY_CONSOLIDATED", $D$18)*$D$23</f>
        <v>#N/A</v>
      </c>
      <c r="L43" t="e">
        <f>_xll.BDP(Peers!$A38&amp;" EQUITY",$C$23, "BEST_FPERIOD_OVERRIDE", MID(L$22, 3, 2)&amp;"BC", "EQY_CONSOLIDATED", $D$18)*$D$23</f>
        <v>#N/A</v>
      </c>
      <c r="M43" t="e">
        <f>_xll.BDP(Peers!$A38&amp;" EQUITY",$C$23, "BEST_FPERIOD_OVERRIDE", MID(M$22, 3, 2)&amp;"BC", "EQY_CONSOLIDATED", $D$18)*$D$23</f>
        <v>#N/A</v>
      </c>
      <c r="N43" t="e">
        <f>_xll.BDP(Peers!$A38&amp;" EQUITY",$C$23, "BEST_FPERIOD_OVERRIDE", MID(N$22, 3, 2)&amp;"BC", "EQY_CONSOLIDATED", $D$18)*$D$23</f>
        <v>#N/A</v>
      </c>
      <c r="V43" s="38"/>
      <c r="AF43" s="38" t="str">
        <f t="shared" si="1"/>
        <v/>
      </c>
      <c r="AG43" t="str">
        <f t="shared" si="2"/>
        <v/>
      </c>
      <c r="AH43" t="str">
        <f t="shared" si="3"/>
        <v/>
      </c>
      <c r="AI43" t="str">
        <f t="shared" si="4"/>
        <v/>
      </c>
      <c r="AJ43" t="str">
        <f t="shared" si="5"/>
        <v/>
      </c>
      <c r="AK43" t="str">
        <f t="shared" si="6"/>
        <v/>
      </c>
      <c r="AL43" t="str">
        <f t="shared" si="7"/>
        <v/>
      </c>
      <c r="AN43" t="s">
        <v>737</v>
      </c>
      <c r="AO43" t="str">
        <f t="shared" si="8"/>
        <v>BTIG LLC</v>
      </c>
      <c r="AQ43" t="s">
        <v>737</v>
      </c>
      <c r="AR43" t="str">
        <f t="shared" si="9"/>
        <v>BTIG LLC</v>
      </c>
    </row>
    <row r="44" spans="1:44">
      <c r="A44" s="38">
        <v>42124</v>
      </c>
      <c r="B44">
        <v>38</v>
      </c>
      <c r="C44">
        <v>17</v>
      </c>
      <c r="D44">
        <v>2</v>
      </c>
      <c r="F44" t="e">
        <f>_xll.BDP(Peers!$A39 &amp;" EQUITY", "CUST_TRR_RETURN_HOLDING_PER", "CUST_TRR_START_DT", $F$22, "CUST_TRR_END_DT", $F$21, "CUST_TRR_CRNCY", CURRENCY)/100</f>
        <v>#VALUE!</v>
      </c>
      <c r="G44" t="e">
        <f>_xll.BDP(Peers!$A39 &amp;" EQUITY", "CUST_TRR_RETURN_HOLDING_PER", "CUST_TRR_START_DT", $G$22, "CUST_TRR_END_DT", $F$21, "CUST_TRR_CRNCY", CURRENCY)/100</f>
        <v>#VALUE!</v>
      </c>
      <c r="H44" t="e">
        <f>_xll.BDP(Peers!$A39&amp;" EQUITY",$C$23, "BEST_FPERIOD_OVERRIDE", MID(H$22, 3, 2)&amp;"BC", "EQY_CONSOLIDATED", $D$18)*$D$23</f>
        <v>#N/A</v>
      </c>
      <c r="I44" t="e">
        <f>_xll.BDP(Peers!$A39&amp;" EQUITY",$C$23, "BEST_FPERIOD_OVERRIDE", MID(I$22, 3, 2)&amp;"BC", "EQY_CONSOLIDATED", $D$18)*$D$23</f>
        <v>#N/A</v>
      </c>
      <c r="J44" t="e">
        <f>_xll.BDP(Peers!$A39&amp;" EQUITY",$C$23, "BEST_FPERIOD_OVERRIDE", MID(J$22, 3, 2)&amp;"BC", "EQY_CONSOLIDATED", $D$18)*$D$23</f>
        <v>#N/A</v>
      </c>
      <c r="K44" t="e">
        <f>_xll.BDP(Peers!$A39&amp;" EQUITY",$C$23, "BEST_FPERIOD_OVERRIDE", MID(K$22, 3, 2)&amp;"BC", "EQY_CONSOLIDATED", $D$18)*$D$23</f>
        <v>#N/A</v>
      </c>
      <c r="L44" t="e">
        <f>_xll.BDP(Peers!$A39&amp;" EQUITY",$C$23, "BEST_FPERIOD_OVERRIDE", MID(L$22, 3, 2)&amp;"BC", "EQY_CONSOLIDATED", $D$18)*$D$23</f>
        <v>#N/A</v>
      </c>
      <c r="M44" t="e">
        <f>_xll.BDP(Peers!$A39&amp;" EQUITY",$C$23, "BEST_FPERIOD_OVERRIDE", MID(M$22, 3, 2)&amp;"BC", "EQY_CONSOLIDATED", $D$18)*$D$23</f>
        <v>#N/A</v>
      </c>
      <c r="N44" t="e">
        <f>_xll.BDP(Peers!$A39&amp;" EQUITY",$C$23, "BEST_FPERIOD_OVERRIDE", MID(N$22, 3, 2)&amp;"BC", "EQY_CONSOLIDATED", $D$18)*$D$23</f>
        <v>#N/A</v>
      </c>
      <c r="V44" s="38"/>
      <c r="AF44" s="38" t="str">
        <f t="shared" si="1"/>
        <v/>
      </c>
      <c r="AG44" t="str">
        <f t="shared" si="2"/>
        <v/>
      </c>
      <c r="AH44" t="str">
        <f t="shared" si="3"/>
        <v/>
      </c>
      <c r="AI44" t="str">
        <f t="shared" si="4"/>
        <v/>
      </c>
      <c r="AJ44" t="str">
        <f t="shared" si="5"/>
        <v/>
      </c>
      <c r="AK44" t="str">
        <f t="shared" si="6"/>
        <v/>
      </c>
      <c r="AL44" t="str">
        <f t="shared" si="7"/>
        <v/>
      </c>
      <c r="AN44" t="s">
        <v>683</v>
      </c>
      <c r="AO44" t="str">
        <f t="shared" si="8"/>
        <v>Societe Generale</v>
      </c>
      <c r="AQ44" t="s">
        <v>683</v>
      </c>
      <c r="AR44" t="str">
        <f t="shared" si="9"/>
        <v>Societe Generale</v>
      </c>
    </row>
    <row r="45" spans="1:44">
      <c r="A45" s="38">
        <v>42094</v>
      </c>
      <c r="B45">
        <v>40</v>
      </c>
      <c r="C45">
        <v>14</v>
      </c>
      <c r="D45">
        <v>2</v>
      </c>
      <c r="F45" t="e">
        <f>_xll.BDP(Peers!$A40 &amp;" EQUITY", "CUST_TRR_RETURN_HOLDING_PER", "CUST_TRR_START_DT", $F$22, "CUST_TRR_END_DT", $F$21, "CUST_TRR_CRNCY", CURRENCY)/100</f>
        <v>#VALUE!</v>
      </c>
      <c r="G45" t="e">
        <f>_xll.BDP(Peers!$A40 &amp;" EQUITY", "CUST_TRR_RETURN_HOLDING_PER", "CUST_TRR_START_DT", $G$22, "CUST_TRR_END_DT", $F$21, "CUST_TRR_CRNCY", CURRENCY)/100</f>
        <v>#VALUE!</v>
      </c>
      <c r="H45" t="e">
        <f>_xll.BDP(Peers!$A40&amp;" EQUITY",$C$23, "BEST_FPERIOD_OVERRIDE", MID(H$22, 3, 2)&amp;"BC", "EQY_CONSOLIDATED", $D$18)*$D$23</f>
        <v>#N/A</v>
      </c>
      <c r="I45" t="e">
        <f>_xll.BDP(Peers!$A40&amp;" EQUITY",$C$23, "BEST_FPERIOD_OVERRIDE", MID(I$22, 3, 2)&amp;"BC", "EQY_CONSOLIDATED", $D$18)*$D$23</f>
        <v>#N/A</v>
      </c>
      <c r="J45" t="e">
        <f>_xll.BDP(Peers!$A40&amp;" EQUITY",$C$23, "BEST_FPERIOD_OVERRIDE", MID(J$22, 3, 2)&amp;"BC", "EQY_CONSOLIDATED", $D$18)*$D$23</f>
        <v>#N/A</v>
      </c>
      <c r="K45" t="e">
        <f>_xll.BDP(Peers!$A40&amp;" EQUITY",$C$23, "BEST_FPERIOD_OVERRIDE", MID(K$22, 3, 2)&amp;"BC", "EQY_CONSOLIDATED", $D$18)*$D$23</f>
        <v>#N/A</v>
      </c>
      <c r="L45" t="e">
        <f>_xll.BDP(Peers!$A40&amp;" EQUITY",$C$23, "BEST_FPERIOD_OVERRIDE", MID(L$22, 3, 2)&amp;"BC", "EQY_CONSOLIDATED", $D$18)*$D$23</f>
        <v>#N/A</v>
      </c>
      <c r="M45" t="e">
        <f>_xll.BDP(Peers!$A40&amp;" EQUITY",$C$23, "BEST_FPERIOD_OVERRIDE", MID(M$22, 3, 2)&amp;"BC", "EQY_CONSOLIDATED", $D$18)*$D$23</f>
        <v>#N/A</v>
      </c>
      <c r="N45" t="e">
        <f>_xll.BDP(Peers!$A40&amp;" EQUITY",$C$23, "BEST_FPERIOD_OVERRIDE", MID(N$22, 3, 2)&amp;"BC", "EQY_CONSOLIDATED", $D$18)*$D$23</f>
        <v>#N/A</v>
      </c>
      <c r="V45" s="38"/>
      <c r="AF45" s="38" t="str">
        <f t="shared" si="1"/>
        <v/>
      </c>
      <c r="AG45" t="str">
        <f t="shared" si="2"/>
        <v/>
      </c>
      <c r="AH45" t="str">
        <f t="shared" si="3"/>
        <v/>
      </c>
      <c r="AI45" t="str">
        <f t="shared" si="4"/>
        <v/>
      </c>
      <c r="AJ45" t="str">
        <f t="shared" si="5"/>
        <v/>
      </c>
      <c r="AK45" t="str">
        <f t="shared" si="6"/>
        <v/>
      </c>
      <c r="AL45" t="str">
        <f t="shared" si="7"/>
        <v/>
      </c>
      <c r="AN45" t="s">
        <v>667</v>
      </c>
      <c r="AO45" t="str">
        <f t="shared" si="8"/>
        <v>Argus Research Corp</v>
      </c>
      <c r="AQ45" t="s">
        <v>667</v>
      </c>
      <c r="AR45" t="str">
        <f t="shared" si="9"/>
        <v>Argus Research Corp</v>
      </c>
    </row>
    <row r="46" spans="1:44">
      <c r="A46" s="38">
        <v>42062</v>
      </c>
      <c r="B46">
        <v>41</v>
      </c>
      <c r="C46">
        <v>15</v>
      </c>
      <c r="D46">
        <v>2</v>
      </c>
      <c r="F46" t="e">
        <f>_xll.BDP(Peers!$A41 &amp;" EQUITY", "CUST_TRR_RETURN_HOLDING_PER", "CUST_TRR_START_DT", $F$22, "CUST_TRR_END_DT", $F$21, "CUST_TRR_CRNCY", CURRENCY)/100</f>
        <v>#VALUE!</v>
      </c>
      <c r="G46" t="e">
        <f>_xll.BDP(Peers!$A41 &amp;" EQUITY", "CUST_TRR_RETURN_HOLDING_PER", "CUST_TRR_START_DT", $G$22, "CUST_TRR_END_DT", $F$21, "CUST_TRR_CRNCY", CURRENCY)/100</f>
        <v>#VALUE!</v>
      </c>
      <c r="H46" t="e">
        <f>_xll.BDP(Peers!$A41&amp;" EQUITY",$C$23, "BEST_FPERIOD_OVERRIDE", MID(H$22, 3, 2)&amp;"BC", "EQY_CONSOLIDATED", $D$18)*$D$23</f>
        <v>#N/A</v>
      </c>
      <c r="I46" t="e">
        <f>_xll.BDP(Peers!$A41&amp;" EQUITY",$C$23, "BEST_FPERIOD_OVERRIDE", MID(I$22, 3, 2)&amp;"BC", "EQY_CONSOLIDATED", $D$18)*$D$23</f>
        <v>#N/A</v>
      </c>
      <c r="J46" t="e">
        <f>_xll.BDP(Peers!$A41&amp;" EQUITY",$C$23, "BEST_FPERIOD_OVERRIDE", MID(J$22, 3, 2)&amp;"BC", "EQY_CONSOLIDATED", $D$18)*$D$23</f>
        <v>#N/A</v>
      </c>
      <c r="K46" t="e">
        <f>_xll.BDP(Peers!$A41&amp;" EQUITY",$C$23, "BEST_FPERIOD_OVERRIDE", MID(K$22, 3, 2)&amp;"BC", "EQY_CONSOLIDATED", $D$18)*$D$23</f>
        <v>#N/A</v>
      </c>
      <c r="L46" t="e">
        <f>_xll.BDP(Peers!$A41&amp;" EQUITY",$C$23, "BEST_FPERIOD_OVERRIDE", MID(L$22, 3, 2)&amp;"BC", "EQY_CONSOLIDATED", $D$18)*$D$23</f>
        <v>#N/A</v>
      </c>
      <c r="M46" t="e">
        <f>_xll.BDP(Peers!$A41&amp;" EQUITY",$C$23, "BEST_FPERIOD_OVERRIDE", MID(M$22, 3, 2)&amp;"BC", "EQY_CONSOLIDATED", $D$18)*$D$23</f>
        <v>#N/A</v>
      </c>
      <c r="N46" t="e">
        <f>_xll.BDP(Peers!$A41&amp;" EQUITY",$C$23, "BEST_FPERIOD_OVERRIDE", MID(N$22, 3, 2)&amp;"BC", "EQY_CONSOLIDATED", $D$18)*$D$23</f>
        <v>#N/A</v>
      </c>
      <c r="V46" s="38"/>
      <c r="AF46" s="38" t="str">
        <f t="shared" si="1"/>
        <v/>
      </c>
      <c r="AG46" t="str">
        <f t="shared" si="2"/>
        <v/>
      </c>
      <c r="AH46" t="str">
        <f t="shared" si="3"/>
        <v/>
      </c>
      <c r="AI46" t="str">
        <f t="shared" si="4"/>
        <v/>
      </c>
      <c r="AJ46" t="str">
        <f t="shared" si="5"/>
        <v/>
      </c>
      <c r="AK46" t="str">
        <f t="shared" si="6"/>
        <v/>
      </c>
      <c r="AL46" t="str">
        <f t="shared" si="7"/>
        <v/>
      </c>
      <c r="AN46" t="s">
        <v>739</v>
      </c>
      <c r="AO46" t="str">
        <f t="shared" si="8"/>
        <v>Scotia Capital</v>
      </c>
      <c r="AQ46" t="s">
        <v>739</v>
      </c>
      <c r="AR46" t="str">
        <f t="shared" si="9"/>
        <v>Scotia Capital</v>
      </c>
    </row>
    <row r="47" spans="1:44">
      <c r="A47" s="38">
        <v>42034</v>
      </c>
      <c r="B47">
        <v>43</v>
      </c>
      <c r="C47">
        <v>15</v>
      </c>
      <c r="D47">
        <v>2</v>
      </c>
      <c r="F47" t="e">
        <f>_xll.BDP(Peers!$A42 &amp;" EQUITY", "CUST_TRR_RETURN_HOLDING_PER", "CUST_TRR_START_DT", $F$22, "CUST_TRR_END_DT", $F$21, "CUST_TRR_CRNCY", CURRENCY)/100</f>
        <v>#VALUE!</v>
      </c>
      <c r="G47" t="e">
        <f>_xll.BDP(Peers!$A42 &amp;" EQUITY", "CUST_TRR_RETURN_HOLDING_PER", "CUST_TRR_START_DT", $G$22, "CUST_TRR_END_DT", $F$21, "CUST_TRR_CRNCY", CURRENCY)/100</f>
        <v>#VALUE!</v>
      </c>
      <c r="H47" t="e">
        <f>_xll.BDP(Peers!$A42&amp;" EQUITY",$C$23, "BEST_FPERIOD_OVERRIDE", MID(H$22, 3, 2)&amp;"BC", "EQY_CONSOLIDATED", $D$18)*$D$23</f>
        <v>#N/A</v>
      </c>
      <c r="I47" t="e">
        <f>_xll.BDP(Peers!$A42&amp;" EQUITY",$C$23, "BEST_FPERIOD_OVERRIDE", MID(I$22, 3, 2)&amp;"BC", "EQY_CONSOLIDATED", $D$18)*$D$23</f>
        <v>#N/A</v>
      </c>
      <c r="J47" t="e">
        <f>_xll.BDP(Peers!$A42&amp;" EQUITY",$C$23, "BEST_FPERIOD_OVERRIDE", MID(J$22, 3, 2)&amp;"BC", "EQY_CONSOLIDATED", $D$18)*$D$23</f>
        <v>#N/A</v>
      </c>
      <c r="K47" t="e">
        <f>_xll.BDP(Peers!$A42&amp;" EQUITY",$C$23, "BEST_FPERIOD_OVERRIDE", MID(K$22, 3, 2)&amp;"BC", "EQY_CONSOLIDATED", $D$18)*$D$23</f>
        <v>#N/A</v>
      </c>
      <c r="L47" t="e">
        <f>_xll.BDP(Peers!$A42&amp;" EQUITY",$C$23, "BEST_FPERIOD_OVERRIDE", MID(L$22, 3, 2)&amp;"BC", "EQY_CONSOLIDATED", $D$18)*$D$23</f>
        <v>#N/A</v>
      </c>
      <c r="M47" t="e">
        <f>_xll.BDP(Peers!$A42&amp;" EQUITY",$C$23, "BEST_FPERIOD_OVERRIDE", MID(M$22, 3, 2)&amp;"BC", "EQY_CONSOLIDATED", $D$18)*$D$23</f>
        <v>#N/A</v>
      </c>
      <c r="N47" t="e">
        <f>_xll.BDP(Peers!$A42&amp;" EQUITY",$C$23, "BEST_FPERIOD_OVERRIDE", MID(N$22, 3, 2)&amp;"BC", "EQY_CONSOLIDATED", $D$18)*$D$23</f>
        <v>#N/A</v>
      </c>
      <c r="V47" s="38"/>
      <c r="AF47" s="38" t="str">
        <f t="shared" si="1"/>
        <v/>
      </c>
      <c r="AG47" t="str">
        <f t="shared" si="2"/>
        <v/>
      </c>
      <c r="AH47" t="str">
        <f t="shared" si="3"/>
        <v/>
      </c>
      <c r="AI47" t="str">
        <f t="shared" si="4"/>
        <v/>
      </c>
      <c r="AJ47" t="str">
        <f t="shared" si="5"/>
        <v/>
      </c>
      <c r="AK47" t="str">
        <f t="shared" si="6"/>
        <v/>
      </c>
      <c r="AL47" t="str">
        <f t="shared" si="7"/>
        <v/>
      </c>
      <c r="AN47" t="s">
        <v>740</v>
      </c>
      <c r="AO47" t="str">
        <f t="shared" si="8"/>
        <v>Cleveland Research Company</v>
      </c>
      <c r="AQ47" t="s">
        <v>740</v>
      </c>
      <c r="AR47" t="str">
        <f t="shared" si="9"/>
        <v>Cleveland Research Company</v>
      </c>
    </row>
    <row r="48" spans="1:44">
      <c r="A48" s="38">
        <v>42004</v>
      </c>
      <c r="B48">
        <v>43</v>
      </c>
      <c r="C48">
        <v>14</v>
      </c>
      <c r="D48">
        <v>3</v>
      </c>
      <c r="F48" t="e">
        <f>_xll.BDP(Peers!$A43 &amp;" EQUITY", "CUST_TRR_RETURN_HOLDING_PER", "CUST_TRR_START_DT", $F$22, "CUST_TRR_END_DT", $F$21, "CUST_TRR_CRNCY", CURRENCY)/100</f>
        <v>#VALUE!</v>
      </c>
      <c r="G48" t="e">
        <f>_xll.BDP(Peers!$A43 &amp;" EQUITY", "CUST_TRR_RETURN_HOLDING_PER", "CUST_TRR_START_DT", $G$22, "CUST_TRR_END_DT", $F$21, "CUST_TRR_CRNCY", CURRENCY)/100</f>
        <v>#VALUE!</v>
      </c>
      <c r="H48" t="e">
        <f>_xll.BDP(Peers!$A43&amp;" EQUITY",$C$23, "BEST_FPERIOD_OVERRIDE", MID(H$22, 3, 2)&amp;"BC", "EQY_CONSOLIDATED", $D$18)*$D$23</f>
        <v>#N/A</v>
      </c>
      <c r="I48" t="e">
        <f>_xll.BDP(Peers!$A43&amp;" EQUITY",$C$23, "BEST_FPERIOD_OVERRIDE", MID(I$22, 3, 2)&amp;"BC", "EQY_CONSOLIDATED", $D$18)*$D$23</f>
        <v>#N/A</v>
      </c>
      <c r="J48" t="e">
        <f>_xll.BDP(Peers!$A43&amp;" EQUITY",$C$23, "BEST_FPERIOD_OVERRIDE", MID(J$22, 3, 2)&amp;"BC", "EQY_CONSOLIDATED", $D$18)*$D$23</f>
        <v>#N/A</v>
      </c>
      <c r="K48" t="e">
        <f>_xll.BDP(Peers!$A43&amp;" EQUITY",$C$23, "BEST_FPERIOD_OVERRIDE", MID(K$22, 3, 2)&amp;"BC", "EQY_CONSOLIDATED", $D$18)*$D$23</f>
        <v>#N/A</v>
      </c>
      <c r="L48" t="e">
        <f>_xll.BDP(Peers!$A43&amp;" EQUITY",$C$23, "BEST_FPERIOD_OVERRIDE", MID(L$22, 3, 2)&amp;"BC", "EQY_CONSOLIDATED", $D$18)*$D$23</f>
        <v>#N/A</v>
      </c>
      <c r="M48" t="e">
        <f>_xll.BDP(Peers!$A43&amp;" EQUITY",$C$23, "BEST_FPERIOD_OVERRIDE", MID(M$22, 3, 2)&amp;"BC", "EQY_CONSOLIDATED", $D$18)*$D$23</f>
        <v>#N/A</v>
      </c>
      <c r="N48" t="e">
        <f>_xll.BDP(Peers!$A43&amp;" EQUITY",$C$23, "BEST_FPERIOD_OVERRIDE", MID(N$22, 3, 2)&amp;"BC", "EQY_CONSOLIDATED", $D$18)*$D$23</f>
        <v>#N/A</v>
      </c>
      <c r="V48" s="38"/>
      <c r="AF48" s="38" t="str">
        <f t="shared" si="1"/>
        <v/>
      </c>
      <c r="AG48" t="str">
        <f t="shared" si="2"/>
        <v/>
      </c>
      <c r="AH48" t="str">
        <f t="shared" si="3"/>
        <v/>
      </c>
      <c r="AI48" t="str">
        <f t="shared" si="4"/>
        <v/>
      </c>
      <c r="AJ48" t="str">
        <f t="shared" si="5"/>
        <v/>
      </c>
      <c r="AK48" t="str">
        <f t="shared" si="6"/>
        <v/>
      </c>
      <c r="AL48" t="str">
        <f t="shared" si="7"/>
        <v/>
      </c>
      <c r="AO48" t="str">
        <f t="shared" si="8"/>
        <v/>
      </c>
      <c r="AR48" t="str">
        <f t="shared" si="9"/>
        <v/>
      </c>
    </row>
    <row r="49" spans="1:44">
      <c r="A49" s="38">
        <v>41971</v>
      </c>
      <c r="B49">
        <v>45</v>
      </c>
      <c r="C49">
        <v>13</v>
      </c>
      <c r="D49">
        <v>4</v>
      </c>
      <c r="F49" t="e">
        <f>_xll.BDP(Peers!$A44 &amp;" EQUITY", "CUST_TRR_RETURN_HOLDING_PER", "CUST_TRR_START_DT", $F$22, "CUST_TRR_END_DT", $F$21, "CUST_TRR_CRNCY", CURRENCY)/100</f>
        <v>#VALUE!</v>
      </c>
      <c r="G49" t="e">
        <f>_xll.BDP(Peers!$A44 &amp;" EQUITY", "CUST_TRR_RETURN_HOLDING_PER", "CUST_TRR_START_DT", $G$22, "CUST_TRR_END_DT", $F$21, "CUST_TRR_CRNCY", CURRENCY)/100</f>
        <v>#VALUE!</v>
      </c>
      <c r="H49" t="e">
        <f>_xll.BDP(Peers!$A44&amp;" EQUITY",$C$23, "BEST_FPERIOD_OVERRIDE", MID(H$22, 3, 2)&amp;"BC", "EQY_CONSOLIDATED", $D$18)*$D$23</f>
        <v>#N/A</v>
      </c>
      <c r="I49" t="e">
        <f>_xll.BDP(Peers!$A44&amp;" EQUITY",$C$23, "BEST_FPERIOD_OVERRIDE", MID(I$22, 3, 2)&amp;"BC", "EQY_CONSOLIDATED", $D$18)*$D$23</f>
        <v>#N/A</v>
      </c>
      <c r="J49" t="e">
        <f>_xll.BDP(Peers!$A44&amp;" EQUITY",$C$23, "BEST_FPERIOD_OVERRIDE", MID(J$22, 3, 2)&amp;"BC", "EQY_CONSOLIDATED", $D$18)*$D$23</f>
        <v>#N/A</v>
      </c>
      <c r="K49" t="e">
        <f>_xll.BDP(Peers!$A44&amp;" EQUITY",$C$23, "BEST_FPERIOD_OVERRIDE", MID(K$22, 3, 2)&amp;"BC", "EQY_CONSOLIDATED", $D$18)*$D$23</f>
        <v>#N/A</v>
      </c>
      <c r="L49" t="e">
        <f>_xll.BDP(Peers!$A44&amp;" EQUITY",$C$23, "BEST_FPERIOD_OVERRIDE", MID(L$22, 3, 2)&amp;"BC", "EQY_CONSOLIDATED", $D$18)*$D$23</f>
        <v>#N/A</v>
      </c>
      <c r="M49" t="e">
        <f>_xll.BDP(Peers!$A44&amp;" EQUITY",$C$23, "BEST_FPERIOD_OVERRIDE", MID(M$22, 3, 2)&amp;"BC", "EQY_CONSOLIDATED", $D$18)*$D$23</f>
        <v>#N/A</v>
      </c>
      <c r="N49" t="e">
        <f>_xll.BDP(Peers!$A44&amp;" EQUITY",$C$23, "BEST_FPERIOD_OVERRIDE", MID(N$22, 3, 2)&amp;"BC", "EQY_CONSOLIDATED", $D$18)*$D$23</f>
        <v>#N/A</v>
      </c>
      <c r="V49" s="38"/>
      <c r="AF49" s="38" t="str">
        <f t="shared" si="1"/>
        <v/>
      </c>
      <c r="AG49" t="str">
        <f t="shared" si="2"/>
        <v/>
      </c>
      <c r="AH49" t="str">
        <f t="shared" si="3"/>
        <v/>
      </c>
      <c r="AI49" t="str">
        <f t="shared" si="4"/>
        <v/>
      </c>
      <c r="AJ49" t="str">
        <f t="shared" si="5"/>
        <v/>
      </c>
      <c r="AK49" t="str">
        <f t="shared" si="6"/>
        <v/>
      </c>
      <c r="AL49" t="str">
        <f t="shared" si="7"/>
        <v/>
      </c>
      <c r="AO49" t="str">
        <f t="shared" si="8"/>
        <v/>
      </c>
      <c r="AR49" t="str">
        <f t="shared" si="9"/>
        <v/>
      </c>
    </row>
    <row r="50" spans="1:44">
      <c r="A50" s="38">
        <v>41943</v>
      </c>
      <c r="B50">
        <v>46</v>
      </c>
      <c r="C50">
        <v>11</v>
      </c>
      <c r="D50">
        <v>4</v>
      </c>
      <c r="F50" t="e">
        <f>_xll.BDP(Peers!$A45 &amp;" EQUITY", "CUST_TRR_RETURN_HOLDING_PER", "CUST_TRR_START_DT", $F$22, "CUST_TRR_END_DT", $F$21, "CUST_TRR_CRNCY", CURRENCY)/100</f>
        <v>#VALUE!</v>
      </c>
      <c r="G50" t="e">
        <f>_xll.BDP(Peers!$A45 &amp;" EQUITY", "CUST_TRR_RETURN_HOLDING_PER", "CUST_TRR_START_DT", $G$22, "CUST_TRR_END_DT", $F$21, "CUST_TRR_CRNCY", CURRENCY)/100</f>
        <v>#VALUE!</v>
      </c>
      <c r="H50" t="e">
        <f>_xll.BDP(Peers!$A45&amp;" EQUITY",$C$23, "BEST_FPERIOD_OVERRIDE", MID(H$22, 3, 2)&amp;"BC", "EQY_CONSOLIDATED", $D$18)*$D$23</f>
        <v>#N/A</v>
      </c>
      <c r="I50" t="e">
        <f>_xll.BDP(Peers!$A45&amp;" EQUITY",$C$23, "BEST_FPERIOD_OVERRIDE", MID(I$22, 3, 2)&amp;"BC", "EQY_CONSOLIDATED", $D$18)*$D$23</f>
        <v>#N/A</v>
      </c>
      <c r="J50" t="e">
        <f>_xll.BDP(Peers!$A45&amp;" EQUITY",$C$23, "BEST_FPERIOD_OVERRIDE", MID(J$22, 3, 2)&amp;"BC", "EQY_CONSOLIDATED", $D$18)*$D$23</f>
        <v>#N/A</v>
      </c>
      <c r="K50" t="e">
        <f>_xll.BDP(Peers!$A45&amp;" EQUITY",$C$23, "BEST_FPERIOD_OVERRIDE", MID(K$22, 3, 2)&amp;"BC", "EQY_CONSOLIDATED", $D$18)*$D$23</f>
        <v>#N/A</v>
      </c>
      <c r="L50" t="e">
        <f>_xll.BDP(Peers!$A45&amp;" EQUITY",$C$23, "BEST_FPERIOD_OVERRIDE", MID(L$22, 3, 2)&amp;"BC", "EQY_CONSOLIDATED", $D$18)*$D$23</f>
        <v>#N/A</v>
      </c>
      <c r="M50" t="e">
        <f>_xll.BDP(Peers!$A45&amp;" EQUITY",$C$23, "BEST_FPERIOD_OVERRIDE", MID(M$22, 3, 2)&amp;"BC", "EQY_CONSOLIDATED", $D$18)*$D$23</f>
        <v>#N/A</v>
      </c>
      <c r="N50" t="e">
        <f>_xll.BDP(Peers!$A45&amp;" EQUITY",$C$23, "BEST_FPERIOD_OVERRIDE", MID(N$22, 3, 2)&amp;"BC", "EQY_CONSOLIDATED", $D$18)*$D$23</f>
        <v>#N/A</v>
      </c>
      <c r="V50" s="38"/>
      <c r="AF50" s="38" t="str">
        <f t="shared" si="1"/>
        <v/>
      </c>
      <c r="AG50" t="str">
        <f t="shared" si="2"/>
        <v/>
      </c>
      <c r="AH50" t="str">
        <f t="shared" si="3"/>
        <v/>
      </c>
      <c r="AI50" t="str">
        <f t="shared" si="4"/>
        <v/>
      </c>
      <c r="AJ50" t="str">
        <f t="shared" si="5"/>
        <v/>
      </c>
      <c r="AK50" t="str">
        <f t="shared" si="6"/>
        <v/>
      </c>
      <c r="AL50" t="str">
        <f t="shared" si="7"/>
        <v/>
      </c>
      <c r="AO50" t="str">
        <f t="shared" si="8"/>
        <v/>
      </c>
      <c r="AR50" t="str">
        <f t="shared" si="9"/>
        <v/>
      </c>
    </row>
    <row r="51" spans="1:44">
      <c r="A51" s="38">
        <v>41912</v>
      </c>
      <c r="B51">
        <v>46</v>
      </c>
      <c r="C51">
        <v>13</v>
      </c>
      <c r="D51">
        <v>3</v>
      </c>
      <c r="F51" t="e">
        <f>_xll.BDP(Peers!$A46 &amp;" EQUITY", "CUST_TRR_RETURN_HOLDING_PER", "CUST_TRR_START_DT", $F$22, "CUST_TRR_END_DT", $F$21, "CUST_TRR_CRNCY", CURRENCY)/100</f>
        <v>#VALUE!</v>
      </c>
      <c r="G51" t="e">
        <f>_xll.BDP(Peers!$A46 &amp;" EQUITY", "CUST_TRR_RETURN_HOLDING_PER", "CUST_TRR_START_DT", $G$22, "CUST_TRR_END_DT", $F$21, "CUST_TRR_CRNCY", CURRENCY)/100</f>
        <v>#VALUE!</v>
      </c>
      <c r="H51" t="e">
        <f>_xll.BDP(Peers!$A46&amp;" EQUITY",$C$23, "BEST_FPERIOD_OVERRIDE", MID(H$22, 3, 2)&amp;"BC", "EQY_CONSOLIDATED", $D$18)*$D$23</f>
        <v>#N/A</v>
      </c>
      <c r="I51" t="e">
        <f>_xll.BDP(Peers!$A46&amp;" EQUITY",$C$23, "BEST_FPERIOD_OVERRIDE", MID(I$22, 3, 2)&amp;"BC", "EQY_CONSOLIDATED", $D$18)*$D$23</f>
        <v>#N/A</v>
      </c>
      <c r="J51" t="e">
        <f>_xll.BDP(Peers!$A46&amp;" EQUITY",$C$23, "BEST_FPERIOD_OVERRIDE", MID(J$22, 3, 2)&amp;"BC", "EQY_CONSOLIDATED", $D$18)*$D$23</f>
        <v>#N/A</v>
      </c>
      <c r="K51" t="e">
        <f>_xll.BDP(Peers!$A46&amp;" EQUITY",$C$23, "BEST_FPERIOD_OVERRIDE", MID(K$22, 3, 2)&amp;"BC", "EQY_CONSOLIDATED", $D$18)*$D$23</f>
        <v>#N/A</v>
      </c>
      <c r="L51" t="e">
        <f>_xll.BDP(Peers!$A46&amp;" EQUITY",$C$23, "BEST_FPERIOD_OVERRIDE", MID(L$22, 3, 2)&amp;"BC", "EQY_CONSOLIDATED", $D$18)*$D$23</f>
        <v>#N/A</v>
      </c>
      <c r="M51" t="e">
        <f>_xll.BDP(Peers!$A46&amp;" EQUITY",$C$23, "BEST_FPERIOD_OVERRIDE", MID(M$22, 3, 2)&amp;"BC", "EQY_CONSOLIDATED", $D$18)*$D$23</f>
        <v>#N/A</v>
      </c>
      <c r="N51" t="e">
        <f>_xll.BDP(Peers!$A46&amp;" EQUITY",$C$23, "BEST_FPERIOD_OVERRIDE", MID(N$22, 3, 2)&amp;"BC", "EQY_CONSOLIDATED", $D$18)*$D$23</f>
        <v>#N/A</v>
      </c>
      <c r="V51" s="38"/>
      <c r="AF51" s="38" t="str">
        <f t="shared" si="1"/>
        <v/>
      </c>
      <c r="AG51" t="str">
        <f t="shared" si="2"/>
        <v/>
      </c>
      <c r="AH51" t="str">
        <f t="shared" si="3"/>
        <v/>
      </c>
      <c r="AI51" t="str">
        <f t="shared" si="4"/>
        <v/>
      </c>
      <c r="AJ51" t="str">
        <f t="shared" si="5"/>
        <v/>
      </c>
      <c r="AK51" t="str">
        <f t="shared" si="6"/>
        <v/>
      </c>
      <c r="AL51" t="str">
        <f t="shared" si="7"/>
        <v/>
      </c>
      <c r="AO51" t="str">
        <f t="shared" si="8"/>
        <v/>
      </c>
      <c r="AR51" t="str">
        <f t="shared" si="9"/>
        <v/>
      </c>
    </row>
    <row r="52" spans="1:44">
      <c r="A52" s="38">
        <v>41880</v>
      </c>
      <c r="B52">
        <v>47</v>
      </c>
      <c r="C52">
        <v>12</v>
      </c>
      <c r="D52">
        <v>3</v>
      </c>
      <c r="F52" t="e">
        <f>_xll.BDP(Peers!$A47 &amp;" EQUITY", "CUST_TRR_RETURN_HOLDING_PER", "CUST_TRR_START_DT", $F$22, "CUST_TRR_END_DT", $F$21, "CUST_TRR_CRNCY", CURRENCY)/100</f>
        <v>#VALUE!</v>
      </c>
      <c r="G52" t="e">
        <f>_xll.BDP(Peers!$A47 &amp;" EQUITY", "CUST_TRR_RETURN_HOLDING_PER", "CUST_TRR_START_DT", $G$22, "CUST_TRR_END_DT", $F$21, "CUST_TRR_CRNCY", CURRENCY)/100</f>
        <v>#VALUE!</v>
      </c>
      <c r="H52" t="e">
        <f>_xll.BDP(Peers!$A47&amp;" EQUITY",$C$23, "BEST_FPERIOD_OVERRIDE", MID(H$22, 3, 2)&amp;"BC", "EQY_CONSOLIDATED", $D$18)*$D$23</f>
        <v>#N/A</v>
      </c>
      <c r="I52" t="e">
        <f>_xll.BDP(Peers!$A47&amp;" EQUITY",$C$23, "BEST_FPERIOD_OVERRIDE", MID(I$22, 3, 2)&amp;"BC", "EQY_CONSOLIDATED", $D$18)*$D$23</f>
        <v>#N/A</v>
      </c>
      <c r="J52" t="e">
        <f>_xll.BDP(Peers!$A47&amp;" EQUITY",$C$23, "BEST_FPERIOD_OVERRIDE", MID(J$22, 3, 2)&amp;"BC", "EQY_CONSOLIDATED", $D$18)*$D$23</f>
        <v>#N/A</v>
      </c>
      <c r="K52" t="e">
        <f>_xll.BDP(Peers!$A47&amp;" EQUITY",$C$23, "BEST_FPERIOD_OVERRIDE", MID(K$22, 3, 2)&amp;"BC", "EQY_CONSOLIDATED", $D$18)*$D$23</f>
        <v>#N/A</v>
      </c>
      <c r="L52" t="e">
        <f>_xll.BDP(Peers!$A47&amp;" EQUITY",$C$23, "BEST_FPERIOD_OVERRIDE", MID(L$22, 3, 2)&amp;"BC", "EQY_CONSOLIDATED", $D$18)*$D$23</f>
        <v>#N/A</v>
      </c>
      <c r="M52" t="e">
        <f>_xll.BDP(Peers!$A47&amp;" EQUITY",$C$23, "BEST_FPERIOD_OVERRIDE", MID(M$22, 3, 2)&amp;"BC", "EQY_CONSOLIDATED", $D$18)*$D$23</f>
        <v>#N/A</v>
      </c>
      <c r="N52" t="e">
        <f>_xll.BDP(Peers!$A47&amp;" EQUITY",$C$23, "BEST_FPERIOD_OVERRIDE", MID(N$22, 3, 2)&amp;"BC", "EQY_CONSOLIDATED", $D$18)*$D$23</f>
        <v>#N/A</v>
      </c>
      <c r="V52" s="38"/>
      <c r="AF52" s="38" t="str">
        <f t="shared" si="1"/>
        <v/>
      </c>
      <c r="AG52" t="str">
        <f t="shared" si="2"/>
        <v/>
      </c>
      <c r="AH52" t="str">
        <f t="shared" si="3"/>
        <v/>
      </c>
      <c r="AI52" t="str">
        <f t="shared" si="4"/>
        <v/>
      </c>
      <c r="AJ52" t="str">
        <f t="shared" si="5"/>
        <v/>
      </c>
      <c r="AK52" t="str">
        <f t="shared" si="6"/>
        <v/>
      </c>
      <c r="AL52" t="str">
        <f t="shared" si="7"/>
        <v/>
      </c>
      <c r="AO52" t="str">
        <f t="shared" si="8"/>
        <v/>
      </c>
      <c r="AR52" t="str">
        <f t="shared" si="9"/>
        <v/>
      </c>
    </row>
    <row r="53" spans="1:44">
      <c r="A53" s="38">
        <v>41851</v>
      </c>
      <c r="B53">
        <v>48</v>
      </c>
      <c r="C53">
        <v>12</v>
      </c>
      <c r="D53">
        <v>3</v>
      </c>
      <c r="V53" s="38"/>
      <c r="AF53" s="38" t="str">
        <f t="shared" si="1"/>
        <v/>
      </c>
      <c r="AG53" t="str">
        <f t="shared" si="2"/>
        <v/>
      </c>
      <c r="AH53" t="str">
        <f t="shared" si="3"/>
        <v/>
      </c>
      <c r="AI53" t="str">
        <f t="shared" si="4"/>
        <v/>
      </c>
      <c r="AJ53" t="str">
        <f t="shared" si="5"/>
        <v/>
      </c>
      <c r="AK53" t="str">
        <f t="shared" si="6"/>
        <v/>
      </c>
      <c r="AL53" t="str">
        <f t="shared" si="7"/>
        <v/>
      </c>
      <c r="AO53" t="str">
        <f t="shared" si="8"/>
        <v/>
      </c>
      <c r="AR53" t="str">
        <f t="shared" si="9"/>
        <v/>
      </c>
    </row>
    <row r="54" spans="1:44">
      <c r="A54" s="38"/>
      <c r="V54" s="38"/>
      <c r="AF54" s="38" t="str">
        <f t="shared" si="1"/>
        <v/>
      </c>
      <c r="AG54" t="str">
        <f t="shared" si="2"/>
        <v/>
      </c>
      <c r="AH54" t="str">
        <f t="shared" si="3"/>
        <v/>
      </c>
      <c r="AI54" t="str">
        <f t="shared" si="4"/>
        <v/>
      </c>
      <c r="AJ54" t="str">
        <f t="shared" si="5"/>
        <v/>
      </c>
      <c r="AK54" t="str">
        <f t="shared" si="6"/>
        <v/>
      </c>
      <c r="AL54" t="str">
        <f t="shared" si="7"/>
        <v/>
      </c>
      <c r="AO54" t="str">
        <f t="shared" si="8"/>
        <v/>
      </c>
      <c r="AR54" t="str">
        <f t="shared" si="9"/>
        <v/>
      </c>
    </row>
    <row r="55" spans="1:44">
      <c r="A55" s="60" t="s">
        <v>624</v>
      </c>
      <c r="B55" s="61"/>
      <c r="V55" s="38"/>
      <c r="AF55" s="38" t="str">
        <f t="shared" si="1"/>
        <v/>
      </c>
      <c r="AG55" t="str">
        <f t="shared" si="2"/>
        <v/>
      </c>
      <c r="AH55" t="str">
        <f t="shared" si="3"/>
        <v/>
      </c>
      <c r="AI55" t="str">
        <f t="shared" si="4"/>
        <v/>
      </c>
      <c r="AJ55" t="str">
        <f t="shared" si="5"/>
        <v/>
      </c>
      <c r="AK55" t="str">
        <f t="shared" si="6"/>
        <v/>
      </c>
      <c r="AL55" t="str">
        <f t="shared" si="7"/>
        <v/>
      </c>
      <c r="AO55" t="str">
        <f t="shared" si="8"/>
        <v/>
      </c>
      <c r="AR55" t="str">
        <f t="shared" si="9"/>
        <v/>
      </c>
    </row>
    <row r="56" spans="1:44">
      <c r="A56" t="str">
        <f>_xll.BDS(TICKER&amp;" EQUITY","TOP_20_HOLDERS_PUBLIC_FILINGS","TOP_HOLDERS_INST_TYPE_OVERRIDE",$J$56,"startcol=1","endcol=1","startrow=1","endrow=20","cols=1;rows=20")</f>
        <v>VANGUARD GROUP INC</v>
      </c>
      <c r="B56">
        <f>_xll.BDS(TICKER&amp;" EQUITY","TOP_20_HOLDERS_PUBLIC_FILINGS","TOP_HOLDERS_INST_TYPE_OVERRIDE",$J$56,"startcol=4","endcol=4","startrow=1","endrow=20","cols=1;rows=20")</f>
        <v>326966007</v>
      </c>
      <c r="C56">
        <f>_xll.BDS(TICKER&amp;" EQUITY","TOP_20_HOLDERS_PUBLIC_FILINGS","TOP_HOLDERS_INST_TYPE_OVERRIDE",$J$56,"startcol=6","endcol=6","startrow=1","endrow=20","cols=1;rows=20")</f>
        <v>-5273556</v>
      </c>
      <c r="D56" s="42">
        <f t="shared" ref="D56:D75" si="14">IF(OR(ISERROR(B56*currPRICE), B56=""), "", B56*currPRICE)</f>
        <v>33716734641.84</v>
      </c>
      <c r="E56">
        <f>_xll.BDS(TICKER&amp;" EQUITY","TOP_20_HOLDERS_PUBLIC_FILINGS","TOP_HOLDERS_INST_TYPE_OVERRIDE",$J$56,"startcol=5","endcol=5","startrow=1","endrow=20","cols=1;rows=20")</f>
        <v>5.73</v>
      </c>
      <c r="F56" s="38">
        <f>_xll.BDS(TICKER&amp;" EQUITY","TOP_20_HOLDERS_PUBLIC_FILINGS","TOP_HOLDERS_INST_TYPE_OVERRIDE",$J$56,"startcol=7","endcol=7","startrow=1","endrow=20","cols=1;rows=20")</f>
        <v>42094</v>
      </c>
      <c r="G56" t="str">
        <f>_xll.BDS(TICKER&amp;" EQUITY","TOP_20_HOLDERS_PUBLIC_FILINGS","TOP_HOLDERS_INST_TYPE_OVERRIDE",$J$56,"startcol=3","endcol=3","startrow=1","endrow=20","cols=1;rows=20")</f>
        <v>13F</v>
      </c>
      <c r="H56" t="str">
        <f>_xll.BDS(TICKER&amp;" EQUITY","TOP_20_HOLDERS_PUBLIC_FILINGS","TOP_HOLDERS_INST_TYPE_OVERRIDE",$J$56,"startcol=9","endcol=9","startrow=1","endrow=20","cols=1;rows=20")</f>
        <v>UNITED STATES</v>
      </c>
      <c r="J56" s="168" t="str">
        <f>Top20OwnerType</f>
        <v>TOP 20 ALL</v>
      </c>
      <c r="K56">
        <f>VLOOKUP($J56, $J$57:$K$71, 2, FALSE)</f>
        <v>0</v>
      </c>
      <c r="V56" s="38"/>
      <c r="AF56" s="38" t="str">
        <f t="shared" si="1"/>
        <v/>
      </c>
      <c r="AG56" t="str">
        <f t="shared" si="2"/>
        <v/>
      </c>
      <c r="AH56" t="str">
        <f t="shared" si="3"/>
        <v/>
      </c>
      <c r="AI56" t="str">
        <f t="shared" si="4"/>
        <v/>
      </c>
      <c r="AJ56" t="str">
        <f t="shared" si="5"/>
        <v/>
      </c>
      <c r="AK56" t="str">
        <f t="shared" si="6"/>
        <v/>
      </c>
      <c r="AL56" t="str">
        <f t="shared" si="7"/>
        <v/>
      </c>
      <c r="AO56" t="str">
        <f t="shared" si="8"/>
        <v/>
      </c>
      <c r="AR56" t="str">
        <f t="shared" si="9"/>
        <v/>
      </c>
    </row>
    <row r="57" spans="1:44">
      <c r="A57" t="s">
        <v>693</v>
      </c>
      <c r="B57">
        <v>318859739</v>
      </c>
      <c r="C57">
        <v>-7580302</v>
      </c>
      <c r="D57" s="42">
        <f t="shared" si="14"/>
        <v>32880816285.68</v>
      </c>
      <c r="E57">
        <v>5.59</v>
      </c>
      <c r="F57" s="38">
        <v>42185</v>
      </c>
      <c r="G57" t="s">
        <v>642</v>
      </c>
      <c r="H57" t="s">
        <v>572</v>
      </c>
      <c r="J57" t="s">
        <v>590</v>
      </c>
      <c r="V57" s="38"/>
      <c r="AF57" s="38" t="str">
        <f t="shared" si="1"/>
        <v/>
      </c>
      <c r="AG57" t="str">
        <f t="shared" si="2"/>
        <v/>
      </c>
      <c r="AH57" t="str">
        <f t="shared" si="3"/>
        <v/>
      </c>
      <c r="AI57" t="str">
        <f t="shared" si="4"/>
        <v/>
      </c>
      <c r="AJ57" t="str">
        <f t="shared" si="5"/>
        <v/>
      </c>
      <c r="AK57" t="str">
        <f t="shared" si="6"/>
        <v/>
      </c>
      <c r="AL57" t="str">
        <f t="shared" si="7"/>
        <v/>
      </c>
      <c r="AO57" t="str">
        <f t="shared" si="8"/>
        <v/>
      </c>
      <c r="AR57" t="str">
        <f t="shared" si="9"/>
        <v/>
      </c>
    </row>
    <row r="58" spans="1:44">
      <c r="A58" t="s">
        <v>671</v>
      </c>
      <c r="B58">
        <v>237028656</v>
      </c>
      <c r="C58">
        <v>-8651973</v>
      </c>
      <c r="D58" s="42">
        <f t="shared" si="14"/>
        <v>24442395006.720001</v>
      </c>
      <c r="E58">
        <v>4.16</v>
      </c>
      <c r="F58" s="38">
        <v>42226</v>
      </c>
      <c r="G58" t="s">
        <v>642</v>
      </c>
      <c r="H58" t="s">
        <v>572</v>
      </c>
      <c r="J58" t="s">
        <v>576</v>
      </c>
      <c r="K58" t="s">
        <v>576</v>
      </c>
      <c r="V58" s="38"/>
      <c r="AF58" s="38" t="str">
        <f t="shared" si="1"/>
        <v/>
      </c>
      <c r="AG58" t="str">
        <f t="shared" si="2"/>
        <v/>
      </c>
      <c r="AH58" t="str">
        <f t="shared" si="3"/>
        <v/>
      </c>
      <c r="AI58" t="str">
        <f t="shared" si="4"/>
        <v/>
      </c>
      <c r="AJ58" t="str">
        <f t="shared" si="5"/>
        <v/>
      </c>
      <c r="AK58" t="str">
        <f t="shared" si="6"/>
        <v/>
      </c>
      <c r="AL58" t="str">
        <f t="shared" si="7"/>
        <v/>
      </c>
      <c r="AO58" t="str">
        <f t="shared" si="8"/>
        <v/>
      </c>
      <c r="AR58" t="str">
        <f t="shared" si="9"/>
        <v/>
      </c>
    </row>
    <row r="59" spans="1:44">
      <c r="A59" t="s">
        <v>669</v>
      </c>
      <c r="B59">
        <v>176998331</v>
      </c>
      <c r="C59">
        <v>-1963426</v>
      </c>
      <c r="D59" s="42">
        <f t="shared" si="14"/>
        <v>18252067892.720001</v>
      </c>
      <c r="E59">
        <v>3.1</v>
      </c>
      <c r="F59" s="38">
        <v>42094</v>
      </c>
      <c r="G59" t="s">
        <v>642</v>
      </c>
      <c r="H59" t="s">
        <v>572</v>
      </c>
      <c r="J59" t="s">
        <v>577</v>
      </c>
      <c r="K59" t="s">
        <v>577</v>
      </c>
      <c r="V59" s="38"/>
      <c r="AF59" s="38" t="str">
        <f t="shared" si="1"/>
        <v/>
      </c>
      <c r="AG59" t="str">
        <f t="shared" si="2"/>
        <v/>
      </c>
      <c r="AH59" t="str">
        <f t="shared" si="3"/>
        <v/>
      </c>
      <c r="AI59" t="str">
        <f t="shared" si="4"/>
        <v/>
      </c>
      <c r="AJ59" t="str">
        <f t="shared" si="5"/>
        <v/>
      </c>
      <c r="AK59" t="str">
        <f t="shared" si="6"/>
        <v/>
      </c>
      <c r="AL59" t="str">
        <f t="shared" si="7"/>
        <v/>
      </c>
      <c r="AO59" t="str">
        <f t="shared" si="8"/>
        <v/>
      </c>
      <c r="AR59" t="str">
        <f t="shared" si="9"/>
        <v/>
      </c>
    </row>
    <row r="60" spans="1:44">
      <c r="A60" t="s">
        <v>658</v>
      </c>
      <c r="B60">
        <v>79920174</v>
      </c>
      <c r="C60">
        <v>-2321235</v>
      </c>
      <c r="D60" s="42">
        <f t="shared" si="14"/>
        <v>8241368342.8800001</v>
      </c>
      <c r="E60">
        <v>1.4</v>
      </c>
      <c r="F60" s="38">
        <v>42094</v>
      </c>
      <c r="G60" t="s">
        <v>664</v>
      </c>
      <c r="H60" t="s">
        <v>572</v>
      </c>
      <c r="J60" t="s">
        <v>578</v>
      </c>
      <c r="K60" t="s">
        <v>578</v>
      </c>
      <c r="V60" s="38"/>
      <c r="AF60" s="38" t="str">
        <f t="shared" si="1"/>
        <v/>
      </c>
      <c r="AG60" t="str">
        <f t="shared" si="2"/>
        <v/>
      </c>
      <c r="AH60" t="str">
        <f t="shared" si="3"/>
        <v/>
      </c>
      <c r="AI60" t="str">
        <f t="shared" si="4"/>
        <v/>
      </c>
      <c r="AJ60" t="str">
        <f t="shared" si="5"/>
        <v/>
      </c>
      <c r="AK60" t="str">
        <f t="shared" si="6"/>
        <v/>
      </c>
      <c r="AL60" t="str">
        <f t="shared" si="7"/>
        <v/>
      </c>
      <c r="AO60" t="str">
        <f t="shared" si="8"/>
        <v/>
      </c>
      <c r="AR60" t="str">
        <f t="shared" si="9"/>
        <v/>
      </c>
    </row>
    <row r="61" spans="1:44">
      <c r="A61" t="s">
        <v>659</v>
      </c>
      <c r="B61">
        <v>76752387</v>
      </c>
      <c r="C61">
        <v>-5281340</v>
      </c>
      <c r="D61" s="42">
        <f t="shared" si="14"/>
        <v>7914706147.4400005</v>
      </c>
      <c r="E61">
        <v>1.35</v>
      </c>
      <c r="F61" s="38">
        <v>42185</v>
      </c>
      <c r="G61" t="s">
        <v>664</v>
      </c>
      <c r="H61" t="s">
        <v>572</v>
      </c>
      <c r="J61" t="s">
        <v>579</v>
      </c>
      <c r="K61" t="s">
        <v>579</v>
      </c>
      <c r="V61" s="38"/>
      <c r="AF61" s="38" t="str">
        <f t="shared" si="1"/>
        <v/>
      </c>
      <c r="AG61" t="str">
        <f t="shared" si="2"/>
        <v/>
      </c>
      <c r="AH61" t="str">
        <f t="shared" si="3"/>
        <v/>
      </c>
      <c r="AI61" t="str">
        <f t="shared" si="4"/>
        <v/>
      </c>
      <c r="AJ61" t="str">
        <f t="shared" si="5"/>
        <v/>
      </c>
      <c r="AK61" t="str">
        <f t="shared" si="6"/>
        <v/>
      </c>
      <c r="AL61" t="str">
        <f t="shared" si="7"/>
        <v/>
      </c>
      <c r="AO61" t="str">
        <f t="shared" si="8"/>
        <v/>
      </c>
      <c r="AR61" t="str">
        <f t="shared" si="9"/>
        <v/>
      </c>
    </row>
    <row r="62" spans="1:44">
      <c r="A62" t="s">
        <v>682</v>
      </c>
      <c r="B62">
        <v>69957365</v>
      </c>
      <c r="C62">
        <v>3587989</v>
      </c>
      <c r="D62" s="42">
        <f t="shared" si="14"/>
        <v>7214003478.8000002</v>
      </c>
      <c r="E62">
        <v>1.23</v>
      </c>
      <c r="F62" s="38">
        <v>42185</v>
      </c>
      <c r="G62" t="s">
        <v>642</v>
      </c>
      <c r="H62" t="s">
        <v>572</v>
      </c>
      <c r="J62" t="s">
        <v>580</v>
      </c>
      <c r="K62" t="s">
        <v>580</v>
      </c>
      <c r="V62" s="38"/>
      <c r="AF62" s="38" t="str">
        <f t="shared" si="1"/>
        <v/>
      </c>
      <c r="AG62" t="str">
        <f t="shared" si="2"/>
        <v/>
      </c>
      <c r="AH62" t="str">
        <f t="shared" si="3"/>
        <v/>
      </c>
      <c r="AI62" t="str">
        <f t="shared" si="4"/>
        <v/>
      </c>
      <c r="AJ62" t="str">
        <f t="shared" si="5"/>
        <v/>
      </c>
      <c r="AK62" t="str">
        <f t="shared" si="6"/>
        <v/>
      </c>
      <c r="AL62" t="str">
        <f t="shared" si="7"/>
        <v/>
      </c>
      <c r="AO62" t="str">
        <f t="shared" si="8"/>
        <v/>
      </c>
      <c r="AR62" t="str">
        <f t="shared" si="9"/>
        <v/>
      </c>
    </row>
    <row r="63" spans="1:44">
      <c r="A63" t="s">
        <v>787</v>
      </c>
      <c r="B63">
        <v>61614041</v>
      </c>
      <c r="C63">
        <v>-1342516</v>
      </c>
      <c r="D63" s="42">
        <f t="shared" si="14"/>
        <v>6353639907.9200001</v>
      </c>
      <c r="E63">
        <v>1.08</v>
      </c>
      <c r="F63" s="38">
        <v>42094</v>
      </c>
      <c r="G63" t="s">
        <v>642</v>
      </c>
      <c r="H63" t="s">
        <v>572</v>
      </c>
      <c r="J63" t="s">
        <v>581</v>
      </c>
      <c r="K63" t="s">
        <v>581</v>
      </c>
      <c r="V63" s="38"/>
      <c r="AF63" s="38" t="str">
        <f t="shared" si="1"/>
        <v/>
      </c>
      <c r="AG63" t="str">
        <f t="shared" si="2"/>
        <v/>
      </c>
      <c r="AH63" t="str">
        <f t="shared" si="3"/>
        <v/>
      </c>
      <c r="AI63" t="str">
        <f t="shared" si="4"/>
        <v/>
      </c>
      <c r="AJ63" t="str">
        <f t="shared" si="5"/>
        <v/>
      </c>
      <c r="AK63" t="str">
        <f t="shared" si="6"/>
        <v/>
      </c>
      <c r="AL63" t="str">
        <f t="shared" si="7"/>
        <v/>
      </c>
      <c r="AO63" t="str">
        <f t="shared" si="8"/>
        <v/>
      </c>
      <c r="AR63" t="str">
        <f t="shared" si="9"/>
        <v/>
      </c>
    </row>
    <row r="64" spans="1:44">
      <c r="A64" t="s">
        <v>788</v>
      </c>
      <c r="B64">
        <v>58987710</v>
      </c>
      <c r="C64">
        <v>-2764913</v>
      </c>
      <c r="D64" s="42">
        <f t="shared" si="14"/>
        <v>6082812655.1999998</v>
      </c>
      <c r="E64">
        <v>1.03</v>
      </c>
      <c r="F64" s="38">
        <v>42094</v>
      </c>
      <c r="G64" t="s">
        <v>664</v>
      </c>
      <c r="H64" t="s">
        <v>572</v>
      </c>
      <c r="J64" t="s">
        <v>582</v>
      </c>
      <c r="K64" t="s">
        <v>582</v>
      </c>
      <c r="V64" s="38"/>
      <c r="AF64" s="38" t="str">
        <f t="shared" si="1"/>
        <v/>
      </c>
      <c r="AG64" t="str">
        <f t="shared" si="2"/>
        <v/>
      </c>
      <c r="AH64" t="str">
        <f t="shared" si="3"/>
        <v/>
      </c>
      <c r="AI64" t="str">
        <f t="shared" si="4"/>
        <v/>
      </c>
      <c r="AJ64" t="str">
        <f t="shared" si="5"/>
        <v/>
      </c>
      <c r="AK64" t="str">
        <f t="shared" si="6"/>
        <v/>
      </c>
      <c r="AL64" t="str">
        <f t="shared" si="7"/>
        <v/>
      </c>
      <c r="AO64" t="str">
        <f t="shared" si="8"/>
        <v/>
      </c>
      <c r="AR64" t="str">
        <f t="shared" si="9"/>
        <v/>
      </c>
    </row>
    <row r="65" spans="1:44">
      <c r="A65" t="s">
        <v>650</v>
      </c>
      <c r="B65">
        <v>56467693</v>
      </c>
      <c r="C65">
        <v>-1919755</v>
      </c>
      <c r="D65" s="42">
        <f t="shared" si="14"/>
        <v>5822948502.1599998</v>
      </c>
      <c r="E65">
        <v>0.99</v>
      </c>
      <c r="F65" s="38">
        <v>42223</v>
      </c>
      <c r="G65" t="s">
        <v>642</v>
      </c>
      <c r="H65" t="s">
        <v>640</v>
      </c>
      <c r="J65" t="s">
        <v>583</v>
      </c>
      <c r="K65" t="s">
        <v>583</v>
      </c>
      <c r="V65" s="38"/>
      <c r="AF65" s="38" t="str">
        <f t="shared" si="1"/>
        <v/>
      </c>
      <c r="AG65" t="str">
        <f t="shared" si="2"/>
        <v/>
      </c>
      <c r="AH65" t="str">
        <f t="shared" si="3"/>
        <v/>
      </c>
      <c r="AI65" t="str">
        <f t="shared" si="4"/>
        <v/>
      </c>
      <c r="AJ65" t="str">
        <f t="shared" si="5"/>
        <v/>
      </c>
      <c r="AK65" t="str">
        <f t="shared" si="6"/>
        <v/>
      </c>
      <c r="AL65" t="str">
        <f t="shared" si="7"/>
        <v/>
      </c>
      <c r="AO65" t="str">
        <f t="shared" si="8"/>
        <v/>
      </c>
      <c r="AR65" t="str">
        <f t="shared" si="9"/>
        <v/>
      </c>
    </row>
    <row r="66" spans="1:44">
      <c r="A66" t="s">
        <v>828</v>
      </c>
      <c r="B66">
        <v>52760848</v>
      </c>
      <c r="C66">
        <v>0</v>
      </c>
      <c r="D66" s="42">
        <f t="shared" si="14"/>
        <v>5440698645.7600002</v>
      </c>
      <c r="E66">
        <v>0.93</v>
      </c>
      <c r="F66" s="38">
        <v>42094</v>
      </c>
      <c r="G66" t="s">
        <v>664</v>
      </c>
      <c r="H66" t="s">
        <v>572</v>
      </c>
      <c r="J66" t="s">
        <v>584</v>
      </c>
      <c r="K66" t="s">
        <v>584</v>
      </c>
      <c r="V66" s="38"/>
      <c r="AF66" s="38" t="str">
        <f t="shared" si="1"/>
        <v/>
      </c>
      <c r="AG66" t="str">
        <f t="shared" si="2"/>
        <v/>
      </c>
      <c r="AH66" t="str">
        <f t="shared" si="3"/>
        <v/>
      </c>
      <c r="AI66" t="str">
        <f t="shared" si="4"/>
        <v/>
      </c>
      <c r="AJ66" t="str">
        <f t="shared" si="5"/>
        <v/>
      </c>
      <c r="AK66" t="str">
        <f t="shared" si="6"/>
        <v/>
      </c>
      <c r="AL66" t="str">
        <f t="shared" si="7"/>
        <v/>
      </c>
      <c r="AO66" t="str">
        <f t="shared" si="8"/>
        <v/>
      </c>
      <c r="AR66" t="str">
        <f t="shared" si="9"/>
        <v/>
      </c>
    </row>
    <row r="67" spans="1:44">
      <c r="A67" t="s">
        <v>696</v>
      </c>
      <c r="B67">
        <v>51742517</v>
      </c>
      <c r="C67">
        <v>11692308</v>
      </c>
      <c r="D67" s="42">
        <f t="shared" si="14"/>
        <v>5335688353.04</v>
      </c>
      <c r="E67">
        <v>0.91</v>
      </c>
      <c r="F67" s="38">
        <v>42094</v>
      </c>
      <c r="G67" t="s">
        <v>642</v>
      </c>
      <c r="H67" t="s">
        <v>572</v>
      </c>
      <c r="J67" t="s">
        <v>585</v>
      </c>
      <c r="K67" t="s">
        <v>585</v>
      </c>
      <c r="V67" s="38"/>
      <c r="AF67" s="38" t="str">
        <f t="shared" si="1"/>
        <v/>
      </c>
      <c r="AG67" t="str">
        <f t="shared" si="2"/>
        <v/>
      </c>
      <c r="AH67" t="str">
        <f t="shared" si="3"/>
        <v/>
      </c>
      <c r="AI67" t="str">
        <f t="shared" si="4"/>
        <v/>
      </c>
      <c r="AJ67" t="str">
        <f t="shared" si="5"/>
        <v/>
      </c>
      <c r="AK67" t="str">
        <f t="shared" si="6"/>
        <v/>
      </c>
      <c r="AL67" t="str">
        <f t="shared" si="7"/>
        <v/>
      </c>
      <c r="AO67" t="str">
        <f t="shared" si="8"/>
        <v/>
      </c>
      <c r="AR67" t="str">
        <f t="shared" si="9"/>
        <v/>
      </c>
    </row>
    <row r="68" spans="1:44">
      <c r="A68" t="s">
        <v>789</v>
      </c>
      <c r="B68">
        <v>50120647</v>
      </c>
      <c r="C68">
        <v>3053008</v>
      </c>
      <c r="D68" s="42">
        <f t="shared" si="14"/>
        <v>5168441118.6400003</v>
      </c>
      <c r="E68">
        <v>0.88</v>
      </c>
      <c r="F68" s="38">
        <v>42094</v>
      </c>
      <c r="G68" t="s">
        <v>642</v>
      </c>
      <c r="H68" t="s">
        <v>572</v>
      </c>
      <c r="J68" t="s">
        <v>586</v>
      </c>
      <c r="K68" t="s">
        <v>586</v>
      </c>
      <c r="V68" s="38"/>
      <c r="AF68" s="38" t="str">
        <f t="shared" ref="AF68:AF131" si="15">IF($V68="", "", $V68)</f>
        <v/>
      </c>
      <c r="AG68" t="str">
        <f t="shared" ref="AG68:AG131" si="16">IF($X68&lt;0, "NA", IF(ISERROR($W68/$X68), "", $W68/$X68))</f>
        <v/>
      </c>
      <c r="AH68" t="str">
        <f t="shared" ref="AH68:AH131" si="17">IF($Y68&lt;0, "NA", IF(ISERROR($W68/$Y68), "", $W68/$Y68))</f>
        <v/>
      </c>
      <c r="AI68" t="str">
        <f t="shared" ref="AI68:AI131" si="18">IF($Z68&lt;0, "NA", IF(ISERROR($W68/$Z68), "", $W68/$Z68))</f>
        <v/>
      </c>
      <c r="AJ68" t="str">
        <f t="shared" ref="AJ68:AJ131" si="19">IF($AB68&lt;0, "NA", IF(ISERROR($AA68/$AB68), "", $AA68/$AB68))</f>
        <v/>
      </c>
      <c r="AK68" t="str">
        <f t="shared" ref="AK68:AK131" si="20">IF($AC68&lt;0, "NA", IF(ISERROR($AA68/$AC68), "", $AA68/$AC68))</f>
        <v/>
      </c>
      <c r="AL68" t="str">
        <f t="shared" ref="AL68:AL131" si="21">IF($AD68&lt;0, "NA", IF(ISERROR($AA68/$AD68), "", $AA68/$AD68))</f>
        <v/>
      </c>
      <c r="AO68" t="str">
        <f t="shared" si="8"/>
        <v/>
      </c>
      <c r="AR68" t="str">
        <f t="shared" si="9"/>
        <v/>
      </c>
    </row>
    <row r="69" spans="1:44">
      <c r="A69" t="s">
        <v>694</v>
      </c>
      <c r="B69">
        <v>48490566</v>
      </c>
      <c r="C69">
        <v>-2851354</v>
      </c>
      <c r="D69" s="42">
        <f t="shared" si="14"/>
        <v>5000347165.9200001</v>
      </c>
      <c r="E69">
        <v>0.85</v>
      </c>
      <c r="F69" s="38">
        <v>42185</v>
      </c>
      <c r="G69" t="s">
        <v>642</v>
      </c>
      <c r="H69" t="s">
        <v>572</v>
      </c>
      <c r="J69" t="s">
        <v>587</v>
      </c>
      <c r="K69" t="s">
        <v>587</v>
      </c>
      <c r="V69" s="38"/>
      <c r="AF69" s="38" t="str">
        <f t="shared" si="15"/>
        <v/>
      </c>
      <c r="AG69" t="str">
        <f t="shared" si="16"/>
        <v/>
      </c>
      <c r="AH69" t="str">
        <f t="shared" si="17"/>
        <v/>
      </c>
      <c r="AI69" t="str">
        <f t="shared" si="18"/>
        <v/>
      </c>
      <c r="AJ69" t="str">
        <f t="shared" si="19"/>
        <v/>
      </c>
      <c r="AK69" t="str">
        <f t="shared" si="20"/>
        <v/>
      </c>
      <c r="AL69" t="str">
        <f t="shared" si="21"/>
        <v/>
      </c>
      <c r="AO69" t="str">
        <f t="shared" si="8"/>
        <v/>
      </c>
      <c r="AR69" t="str">
        <f t="shared" si="9"/>
        <v/>
      </c>
    </row>
    <row r="70" spans="1:44">
      <c r="A70" t="s">
        <v>790</v>
      </c>
      <c r="B70">
        <v>47931932</v>
      </c>
      <c r="C70">
        <v>2662794</v>
      </c>
      <c r="D70" s="42">
        <f t="shared" si="14"/>
        <v>4942740827.8400002</v>
      </c>
      <c r="E70">
        <v>0.84</v>
      </c>
      <c r="F70" s="38">
        <v>42094</v>
      </c>
      <c r="G70" t="s">
        <v>642</v>
      </c>
      <c r="H70" t="s">
        <v>572</v>
      </c>
      <c r="J70" t="s">
        <v>588</v>
      </c>
      <c r="K70" t="s">
        <v>588</v>
      </c>
      <c r="V70" s="38"/>
      <c r="AF70" s="38" t="str">
        <f t="shared" si="15"/>
        <v/>
      </c>
      <c r="AG70" t="str">
        <f t="shared" si="16"/>
        <v/>
      </c>
      <c r="AH70" t="str">
        <f t="shared" si="17"/>
        <v/>
      </c>
      <c r="AI70" t="str">
        <f t="shared" si="18"/>
        <v/>
      </c>
      <c r="AJ70" t="str">
        <f t="shared" si="19"/>
        <v/>
      </c>
      <c r="AK70" t="str">
        <f t="shared" si="20"/>
        <v/>
      </c>
      <c r="AL70" t="str">
        <f t="shared" si="21"/>
        <v/>
      </c>
      <c r="AO70" t="str">
        <f t="shared" si="8"/>
        <v/>
      </c>
      <c r="AR70" t="str">
        <f t="shared" si="9"/>
        <v/>
      </c>
    </row>
    <row r="71" spans="1:44">
      <c r="A71" t="s">
        <v>660</v>
      </c>
      <c r="B71">
        <v>47453880</v>
      </c>
      <c r="C71">
        <v>1418014</v>
      </c>
      <c r="D71" s="42">
        <f t="shared" si="14"/>
        <v>4893444105.6000004</v>
      </c>
      <c r="E71">
        <v>0.83</v>
      </c>
      <c r="F71" s="38">
        <v>42094</v>
      </c>
      <c r="G71" t="s">
        <v>664</v>
      </c>
      <c r="H71" t="s">
        <v>572</v>
      </c>
      <c r="J71" t="s">
        <v>589</v>
      </c>
      <c r="K71" t="s">
        <v>589</v>
      </c>
      <c r="V71" s="38"/>
      <c r="AF71" s="38" t="str">
        <f t="shared" si="15"/>
        <v/>
      </c>
      <c r="AG71" t="str">
        <f t="shared" si="16"/>
        <v/>
      </c>
      <c r="AH71" t="str">
        <f t="shared" si="17"/>
        <v/>
      </c>
      <c r="AI71" t="str">
        <f t="shared" si="18"/>
        <v/>
      </c>
      <c r="AJ71" t="str">
        <f t="shared" si="19"/>
        <v/>
      </c>
      <c r="AK71" t="str">
        <f t="shared" si="20"/>
        <v/>
      </c>
      <c r="AL71" t="str">
        <f t="shared" si="21"/>
        <v/>
      </c>
      <c r="AO71" t="str">
        <f t="shared" ref="AO71:AO100" si="22">IF($AN71="", "", $AN71)</f>
        <v/>
      </c>
      <c r="AR71" t="str">
        <f t="shared" ref="AR71:AR100" si="23">IF($AQ71="", "", $AQ71)</f>
        <v/>
      </c>
    </row>
    <row r="72" spans="1:44">
      <c r="A72" t="s">
        <v>695</v>
      </c>
      <c r="B72">
        <v>45855072</v>
      </c>
      <c r="C72">
        <v>-994318</v>
      </c>
      <c r="D72" s="42">
        <f t="shared" si="14"/>
        <v>4728575024.6400003</v>
      </c>
      <c r="E72">
        <v>0.8</v>
      </c>
      <c r="F72" s="38">
        <v>42004</v>
      </c>
      <c r="G72" t="s">
        <v>664</v>
      </c>
      <c r="H72" t="s">
        <v>633</v>
      </c>
      <c r="V72" s="38"/>
      <c r="AF72" s="38" t="str">
        <f t="shared" si="15"/>
        <v/>
      </c>
      <c r="AG72" t="str">
        <f t="shared" si="16"/>
        <v/>
      </c>
      <c r="AH72" t="str">
        <f t="shared" si="17"/>
        <v/>
      </c>
      <c r="AI72" t="str">
        <f t="shared" si="18"/>
        <v/>
      </c>
      <c r="AJ72" t="str">
        <f t="shared" si="19"/>
        <v/>
      </c>
      <c r="AK72" t="str">
        <f t="shared" si="20"/>
        <v/>
      </c>
      <c r="AL72" t="str">
        <f t="shared" si="21"/>
        <v/>
      </c>
      <c r="AO72" t="str">
        <f t="shared" si="22"/>
        <v/>
      </c>
      <c r="AR72" t="str">
        <f t="shared" si="23"/>
        <v/>
      </c>
    </row>
    <row r="73" spans="1:44">
      <c r="A73" t="s">
        <v>791</v>
      </c>
      <c r="B73">
        <v>37483765</v>
      </c>
      <c r="C73">
        <v>-4390344</v>
      </c>
      <c r="D73" s="42">
        <f t="shared" si="14"/>
        <v>3865325846.8000002</v>
      </c>
      <c r="E73">
        <v>0.66</v>
      </c>
      <c r="F73" s="38">
        <v>42094</v>
      </c>
      <c r="G73" t="s">
        <v>642</v>
      </c>
      <c r="H73" t="s">
        <v>572</v>
      </c>
      <c r="V73" s="38"/>
      <c r="AF73" s="38" t="str">
        <f t="shared" si="15"/>
        <v/>
      </c>
      <c r="AG73" t="str">
        <f t="shared" si="16"/>
        <v/>
      </c>
      <c r="AH73" t="str">
        <f t="shared" si="17"/>
        <v/>
      </c>
      <c r="AI73" t="str">
        <f t="shared" si="18"/>
        <v/>
      </c>
      <c r="AJ73" t="str">
        <f t="shared" si="19"/>
        <v/>
      </c>
      <c r="AK73" t="str">
        <f t="shared" si="20"/>
        <v/>
      </c>
      <c r="AL73" t="str">
        <f t="shared" si="21"/>
        <v/>
      </c>
      <c r="AO73" t="str">
        <f t="shared" si="22"/>
        <v/>
      </c>
      <c r="AR73" t="str">
        <f t="shared" si="23"/>
        <v/>
      </c>
    </row>
    <row r="74" spans="1:44">
      <c r="A74" t="s">
        <v>792</v>
      </c>
      <c r="B74">
        <v>35731406</v>
      </c>
      <c r="C74">
        <v>189836</v>
      </c>
      <c r="D74" s="42">
        <f t="shared" si="14"/>
        <v>3684622586.7200003</v>
      </c>
      <c r="E74">
        <v>0.63</v>
      </c>
      <c r="F74" s="38">
        <v>42185</v>
      </c>
      <c r="G74" t="s">
        <v>642</v>
      </c>
      <c r="H74" t="s">
        <v>572</v>
      </c>
      <c r="J74" t="str">
        <f>_xll.BDS(TICKER&amp;" EQUITY","PCT_GEO_OWNERSHIP","StartCol=1","EndCol=2","StartRow=1","EndRow=8","cols=2;rows=8")</f>
        <v>UNITED STATES</v>
      </c>
      <c r="K74">
        <v>83.176000000000002</v>
      </c>
      <c r="M74" t="str">
        <f>_xll.BDS(TICKER&amp;" Equity","PCT_OWNERSHIP_TYP","StartCol=1","EndCol=2","StartRow=1","EndRow=8","cols=2;rows=8")</f>
        <v>Investment Advisor</v>
      </c>
      <c r="N74">
        <v>85.472999999999999</v>
      </c>
      <c r="V74" s="38"/>
      <c r="AF74" s="38" t="str">
        <f t="shared" si="15"/>
        <v/>
      </c>
      <c r="AG74" t="str">
        <f t="shared" si="16"/>
        <v/>
      </c>
      <c r="AH74" t="str">
        <f t="shared" si="17"/>
        <v/>
      </c>
      <c r="AI74" t="str">
        <f t="shared" si="18"/>
        <v/>
      </c>
      <c r="AJ74" t="str">
        <f t="shared" si="19"/>
        <v/>
      </c>
      <c r="AK74" t="str">
        <f t="shared" si="20"/>
        <v/>
      </c>
      <c r="AL74" t="str">
        <f t="shared" si="21"/>
        <v/>
      </c>
      <c r="AO74" t="str">
        <f t="shared" si="22"/>
        <v/>
      </c>
      <c r="AR74" t="str">
        <f t="shared" si="23"/>
        <v/>
      </c>
    </row>
    <row r="75" spans="1:44">
      <c r="A75" t="s">
        <v>816</v>
      </c>
      <c r="B75">
        <v>35403740</v>
      </c>
      <c r="C75">
        <v>7684409</v>
      </c>
      <c r="D75" s="42">
        <f t="shared" si="14"/>
        <v>3650833668.8000002</v>
      </c>
      <c r="E75">
        <v>0.62</v>
      </c>
      <c r="F75" s="38">
        <v>42185</v>
      </c>
      <c r="G75" t="s">
        <v>642</v>
      </c>
      <c r="H75" t="s">
        <v>684</v>
      </c>
      <c r="J75" t="s">
        <v>571</v>
      </c>
      <c r="K75">
        <v>4.9450000000000003</v>
      </c>
      <c r="M75" t="s">
        <v>573</v>
      </c>
      <c r="N75">
        <v>3.5859999999999999</v>
      </c>
      <c r="V75" s="38"/>
      <c r="AF75" s="38" t="str">
        <f t="shared" si="15"/>
        <v/>
      </c>
      <c r="AG75" t="str">
        <f t="shared" si="16"/>
        <v/>
      </c>
      <c r="AH75" t="str">
        <f t="shared" si="17"/>
        <v/>
      </c>
      <c r="AI75" t="str">
        <f t="shared" si="18"/>
        <v/>
      </c>
      <c r="AJ75" t="str">
        <f t="shared" si="19"/>
        <v/>
      </c>
      <c r="AK75" t="str">
        <f t="shared" si="20"/>
        <v/>
      </c>
      <c r="AL75" t="str">
        <f t="shared" si="21"/>
        <v/>
      </c>
      <c r="AO75" t="str">
        <f t="shared" si="22"/>
        <v/>
      </c>
      <c r="AR75" t="str">
        <f t="shared" si="23"/>
        <v/>
      </c>
    </row>
    <row r="76" spans="1:44">
      <c r="J76" t="s">
        <v>635</v>
      </c>
      <c r="K76">
        <v>2.3559999999999999</v>
      </c>
      <c r="M76" t="s">
        <v>637</v>
      </c>
      <c r="N76">
        <v>3.5640000000000001</v>
      </c>
      <c r="V76" s="38"/>
      <c r="AF76" s="38" t="str">
        <f t="shared" si="15"/>
        <v/>
      </c>
      <c r="AG76" t="str">
        <f t="shared" si="16"/>
        <v/>
      </c>
      <c r="AH76" t="str">
        <f t="shared" si="17"/>
        <v/>
      </c>
      <c r="AI76" t="str">
        <f t="shared" si="18"/>
        <v/>
      </c>
      <c r="AJ76" t="str">
        <f t="shared" si="19"/>
        <v/>
      </c>
      <c r="AK76" t="str">
        <f t="shared" si="20"/>
        <v/>
      </c>
      <c r="AL76" t="str">
        <f t="shared" si="21"/>
        <v/>
      </c>
      <c r="AO76" t="str">
        <f t="shared" si="22"/>
        <v/>
      </c>
      <c r="AR76" t="str">
        <f t="shared" si="23"/>
        <v/>
      </c>
    </row>
    <row r="77" spans="1:44">
      <c r="A77" t="str">
        <f>_xll.BDS(TICKER &amp;" EQUITY","INSIDER_HOLDING","FILL=B","startcol=1","endcol=1","startrow=1","endrow=5","cols=1;rows=5")</f>
        <v>LEVINSON ARTHUR D</v>
      </c>
      <c r="B77">
        <f>_xll.BDS(TICKER &amp;" EQUITY","INSIDER_HOLDING","FILL=B","startcol=3","endcol=3","startrow=1","endrow=5","cols=1;rows=5")</f>
        <v>1147283</v>
      </c>
      <c r="C77" t="str">
        <f>_xll.BDS(TICKER &amp;" EQUITY","INSIDER_HOLDING","FILL=B","startcol=5","endcol=5","startrow=1","endrow=5","cols=1;rows=5")</f>
        <v/>
      </c>
      <c r="D77">
        <f>IF(OR(ISERROR(B77*currPRICE), B77=""), "", B77*currPRICE)</f>
        <v>118307822.96000001</v>
      </c>
      <c r="E77">
        <f>_xll.BDS(TICKER &amp;" EQUITY","INSIDER_HOLDING","FILL=B","startcol=4","endcol=4","startrow=1","endrow=5","cols=1;rows=5")</f>
        <v>0.02</v>
      </c>
      <c r="F77" s="38">
        <f>_xll.BDS(TICKER &amp;" EQUITY","INSIDER_HOLDING","FILL=B","startcol=6","endcol=6","startrow=1","endrow=5","cols=1;rows=5")</f>
        <v>42152</v>
      </c>
      <c r="G77" t="str">
        <f>_xll.BDS(TICKER &amp; " EQUITY","INSIDER_HOLDING","FILL=B","startcol=2","endcol=2","startrow=1","endrow=5","cols=1;rows=5")</f>
        <v>Form 4</v>
      </c>
      <c r="J77" t="s">
        <v>661</v>
      </c>
      <c r="K77">
        <v>1.528</v>
      </c>
      <c r="M77" t="s">
        <v>575</v>
      </c>
      <c r="N77">
        <v>2.113</v>
      </c>
      <c r="V77" s="38"/>
      <c r="AF77" s="38" t="str">
        <f t="shared" si="15"/>
        <v/>
      </c>
      <c r="AG77" t="str">
        <f t="shared" si="16"/>
        <v/>
      </c>
      <c r="AH77" t="str">
        <f t="shared" si="17"/>
        <v/>
      </c>
      <c r="AI77" t="str">
        <f t="shared" si="18"/>
        <v/>
      </c>
      <c r="AJ77" t="str">
        <f t="shared" si="19"/>
        <v/>
      </c>
      <c r="AK77" t="str">
        <f t="shared" si="20"/>
        <v/>
      </c>
      <c r="AL77" t="str">
        <f t="shared" si="21"/>
        <v/>
      </c>
      <c r="AO77" t="str">
        <f t="shared" si="22"/>
        <v/>
      </c>
      <c r="AR77" t="str">
        <f t="shared" si="23"/>
        <v/>
      </c>
    </row>
    <row r="78" spans="1:44">
      <c r="A78" t="s">
        <v>746</v>
      </c>
      <c r="B78">
        <v>901027</v>
      </c>
      <c r="C78">
        <v>-49740</v>
      </c>
      <c r="D78">
        <f>IF(OR(ISERROR(B78*currPRICE), B78=""), "", B78*currPRICE)</f>
        <v>92913904.24000001</v>
      </c>
      <c r="E78">
        <v>1.6E-2</v>
      </c>
      <c r="F78" s="38">
        <v>42152</v>
      </c>
      <c r="G78" t="s">
        <v>663</v>
      </c>
      <c r="J78" t="s">
        <v>640</v>
      </c>
      <c r="K78">
        <v>1.417</v>
      </c>
      <c r="M78" t="s">
        <v>632</v>
      </c>
      <c r="N78">
        <v>1.8740000000000001</v>
      </c>
      <c r="V78" s="38"/>
      <c r="AF78" s="38" t="str">
        <f t="shared" si="15"/>
        <v/>
      </c>
      <c r="AG78" t="str">
        <f t="shared" si="16"/>
        <v/>
      </c>
      <c r="AH78" t="str">
        <f t="shared" si="17"/>
        <v/>
      </c>
      <c r="AI78" t="str">
        <f t="shared" si="18"/>
        <v/>
      </c>
      <c r="AJ78" t="str">
        <f t="shared" si="19"/>
        <v/>
      </c>
      <c r="AK78" t="str">
        <f t="shared" si="20"/>
        <v/>
      </c>
      <c r="AL78" t="str">
        <f t="shared" si="21"/>
        <v/>
      </c>
      <c r="AO78" t="str">
        <f t="shared" si="22"/>
        <v/>
      </c>
      <c r="AR78" t="str">
        <f t="shared" si="23"/>
        <v/>
      </c>
    </row>
    <row r="79" spans="1:44">
      <c r="A79" t="s">
        <v>747</v>
      </c>
      <c r="B79">
        <v>440986</v>
      </c>
      <c r="C79">
        <v>3325</v>
      </c>
      <c r="D79">
        <f>IF(OR(ISERROR(B79*currPRICE), B79=""), "", B79*currPRICE)</f>
        <v>45474476.32</v>
      </c>
      <c r="E79">
        <v>8.0000000000000002E-3</v>
      </c>
      <c r="F79" s="38">
        <v>42036</v>
      </c>
      <c r="G79" t="s">
        <v>663</v>
      </c>
      <c r="J79" t="s">
        <v>684</v>
      </c>
      <c r="K79">
        <v>1.405</v>
      </c>
      <c r="M79" t="s">
        <v>753</v>
      </c>
      <c r="N79">
        <v>1.5580000000000001</v>
      </c>
      <c r="V79" s="38"/>
      <c r="AF79" s="38" t="str">
        <f t="shared" si="15"/>
        <v/>
      </c>
      <c r="AG79" t="str">
        <f t="shared" si="16"/>
        <v/>
      </c>
      <c r="AH79" t="str">
        <f t="shared" si="17"/>
        <v/>
      </c>
      <c r="AI79" t="str">
        <f t="shared" si="18"/>
        <v/>
      </c>
      <c r="AJ79" t="str">
        <f t="shared" si="19"/>
        <v/>
      </c>
      <c r="AK79" t="str">
        <f t="shared" si="20"/>
        <v/>
      </c>
      <c r="AL79" t="str">
        <f t="shared" si="21"/>
        <v/>
      </c>
      <c r="AO79" t="str">
        <f t="shared" si="22"/>
        <v/>
      </c>
      <c r="AR79" t="str">
        <f t="shared" si="23"/>
        <v/>
      </c>
    </row>
    <row r="80" spans="1:44">
      <c r="A80" t="s">
        <v>748</v>
      </c>
      <c r="B80">
        <v>372223</v>
      </c>
      <c r="C80">
        <v>86511</v>
      </c>
      <c r="D80">
        <f>IF(OR(ISERROR(B80*currPRICE), B80=""), "", B80*currPRICE)</f>
        <v>38383635.760000005</v>
      </c>
      <c r="E80">
        <v>7.0000000000000001E-3</v>
      </c>
      <c r="F80" s="38">
        <v>42117</v>
      </c>
      <c r="G80" t="s">
        <v>663</v>
      </c>
      <c r="J80" t="s">
        <v>633</v>
      </c>
      <c r="K80">
        <v>1.35</v>
      </c>
      <c r="M80" t="s">
        <v>574</v>
      </c>
      <c r="N80">
        <v>1.355</v>
      </c>
      <c r="V80" s="38"/>
      <c r="AF80" s="38" t="str">
        <f t="shared" si="15"/>
        <v/>
      </c>
      <c r="AG80" t="str">
        <f t="shared" si="16"/>
        <v/>
      </c>
      <c r="AH80" t="str">
        <f t="shared" si="17"/>
        <v/>
      </c>
      <c r="AI80" t="str">
        <f t="shared" si="18"/>
        <v/>
      </c>
      <c r="AJ80" t="str">
        <f t="shared" si="19"/>
        <v/>
      </c>
      <c r="AK80" t="str">
        <f t="shared" si="20"/>
        <v/>
      </c>
      <c r="AL80" t="str">
        <f t="shared" si="21"/>
        <v/>
      </c>
      <c r="AO80" t="str">
        <f t="shared" si="22"/>
        <v/>
      </c>
      <c r="AR80" t="str">
        <f t="shared" si="23"/>
        <v/>
      </c>
    </row>
    <row r="81" spans="1:44">
      <c r="A81" t="s">
        <v>803</v>
      </c>
      <c r="B81">
        <v>95042</v>
      </c>
      <c r="D81">
        <f>IF(OR(ISERROR(B81*currPRICE), B81=""), "", B81*currPRICE)</f>
        <v>9800731.040000001</v>
      </c>
      <c r="E81">
        <v>2E-3</v>
      </c>
      <c r="F81" s="38">
        <v>42206</v>
      </c>
      <c r="G81" t="s">
        <v>663</v>
      </c>
      <c r="J81" t="s">
        <v>811</v>
      </c>
      <c r="K81">
        <v>0.83199999999999996</v>
      </c>
      <c r="M81" t="s">
        <v>662</v>
      </c>
      <c r="N81">
        <v>0.27700000000000002</v>
      </c>
      <c r="V81" s="38"/>
      <c r="AF81" s="38" t="str">
        <f t="shared" si="15"/>
        <v/>
      </c>
      <c r="AG81" t="str">
        <f t="shared" si="16"/>
        <v/>
      </c>
      <c r="AH81" t="str">
        <f t="shared" si="17"/>
        <v/>
      </c>
      <c r="AI81" t="str">
        <f t="shared" si="18"/>
        <v/>
      </c>
      <c r="AJ81" t="str">
        <f t="shared" si="19"/>
        <v/>
      </c>
      <c r="AK81" t="str">
        <f t="shared" si="20"/>
        <v/>
      </c>
      <c r="AL81" t="str">
        <f t="shared" si="21"/>
        <v/>
      </c>
      <c r="AO81" t="str">
        <f t="shared" si="22"/>
        <v/>
      </c>
      <c r="AR81" t="str">
        <f t="shared" si="23"/>
        <v/>
      </c>
    </row>
    <row r="82" spans="1:44">
      <c r="V82" s="38"/>
      <c r="AF82" s="38" t="str">
        <f t="shared" si="15"/>
        <v/>
      </c>
      <c r="AG82" t="str">
        <f t="shared" si="16"/>
        <v/>
      </c>
      <c r="AH82" t="str">
        <f t="shared" si="17"/>
        <v/>
      </c>
      <c r="AI82" t="str">
        <f t="shared" si="18"/>
        <v/>
      </c>
      <c r="AJ82" t="str">
        <f t="shared" si="19"/>
        <v/>
      </c>
      <c r="AK82" t="str">
        <f t="shared" si="20"/>
        <v/>
      </c>
      <c r="AL82" t="str">
        <f t="shared" si="21"/>
        <v/>
      </c>
      <c r="AO82" t="str">
        <f t="shared" si="22"/>
        <v/>
      </c>
      <c r="AR82" t="str">
        <f t="shared" si="23"/>
        <v/>
      </c>
    </row>
    <row r="83" spans="1:44">
      <c r="A83" s="60" t="s">
        <v>625</v>
      </c>
      <c r="B83" s="61"/>
      <c r="V83" s="38"/>
      <c r="AF83" s="38" t="str">
        <f t="shared" si="15"/>
        <v/>
      </c>
      <c r="AG83" t="str">
        <f t="shared" si="16"/>
        <v/>
      </c>
      <c r="AH83" t="str">
        <f t="shared" si="17"/>
        <v/>
      </c>
      <c r="AI83" t="str">
        <f t="shared" si="18"/>
        <v/>
      </c>
      <c r="AJ83" t="str">
        <f t="shared" si="19"/>
        <v/>
      </c>
      <c r="AK83" t="str">
        <f t="shared" si="20"/>
        <v/>
      </c>
      <c r="AL83" t="str">
        <f t="shared" si="21"/>
        <v/>
      </c>
      <c r="AO83" t="str">
        <f t="shared" si="22"/>
        <v/>
      </c>
      <c r="AR83" t="str">
        <f t="shared" si="23"/>
        <v/>
      </c>
    </row>
    <row r="84" spans="1:44">
      <c r="A84" t="str">
        <f>_xll.BDS(TICKER &amp;" EQUITY",$N$84,"BEST_FPERIOD_OVERRIDE","1"&amp;$N$107,"EQY_CONSOLIDATED",$D$18,"STARTCOL=1","ENDCOL=1","cols=1;rows=50")</f>
        <v>Broker</v>
      </c>
      <c r="B84" t="str">
        <f>_xll.BDS(TICKER &amp;" EQUITY",$N$84,"BEST_FPERIOD_OVERRIDE","1"&amp;$N$107,"EQY_CONSOLIDATED",$D$18,"STARTCOL=3","ENDCOL=3","cols=1;rows=50")</f>
        <v>Date</v>
      </c>
      <c r="C84" s="38">
        <f>_xll.BDS(TICKER &amp;" EQUITY",$N$84,"BEST_FPERIOD_OVERRIDE","1"&amp;$N$107,"EQY_CONSOLIDATED",$D$18,"STARTCOL=4","ENDCOL=4","EQY_FUND_CRNCY",CURRENCY,"cols=1;rows=51")</f>
        <v>42248</v>
      </c>
      <c r="D84" t="str">
        <f>_xll.BDS(TICKER &amp;" EQUITY",$N$84,"BEST_FPERIOD_OVERRIDE","1"&amp;$N$107,"EQY_CONSOLIDATED",$D$18,"STARTCOL=5","ENDCOL=5","EQY_FUND_CRNCY",CURRENCY,"cols=1;rows=51")</f>
        <v>Change</v>
      </c>
      <c r="E84" t="e">
        <f>_xll.BDS(TICKER &amp;" EQUITY",$N$84,"BEST_FPERIOD_OVERRIDE","2"&amp;$N$107,"EQY_CONSOLIDATED",$D$18,"STARTCOL=1","ENDCOL=1","cols=1;rows=49")</f>
        <v>#N/A</v>
      </c>
      <c r="F84" t="e">
        <f>_xll.BDS(TICKER &amp;" EQUITY",$N$84,"BEST_FPERIOD_OVERRIDE","2"&amp;$N$107,"EQY_CONSOLIDATED",$D$18,"STARTCOL=3","ENDCOL=3","cols=1;rows=49")</f>
        <v>#N/A</v>
      </c>
      <c r="G84" s="38">
        <f>_xll.BDS(TICKER &amp;" EQUITY",$N$84,"BEST_FPERIOD_OVERRIDE","2"&amp;$N$107,"EQY_CONSOLIDATED",$D$18,"STARTCOL=4","ENDCOL=4","EQY_FUND_CRNCY",CURRENCY,"cols=1;rows=50")</f>
        <v>42614</v>
      </c>
      <c r="H84" t="str">
        <f>_xll.BDS(TICKER &amp;" EQUITY",$N$84,"BEST_FPERIOD_OVERRIDE","2"&amp;$N$107,"EQY_CONSOLIDATED",$D$18,"STARTCOL=5","ENDCOL=5","EQY_FUND_CRNCY",CURRENCY,"cols=1;rows=50")</f>
        <v>Change</v>
      </c>
      <c r="I84" t="e">
        <f>_xll.BDS(TICKER &amp;" EQUITY",$N$84,"BEST_FPERIOD_OVERRIDE","3"&amp;$N$107,"EQY_CONSOLIDATED",$D$18,"STARTCOL=1","ENDCOL=1","cols=1;rows=21")</f>
        <v>#N/A</v>
      </c>
      <c r="J84" t="e">
        <f>_xll.BDS(TICKER &amp;" EQUITY",$N$84,"BEST_FPERIOD_OVERRIDE","3"&amp;$N$107,"EQY_CONSOLIDATED",$D$18,"STARTCOL=3","ENDCOL=3","cols=1;rows=21")</f>
        <v>#N/A</v>
      </c>
      <c r="K84" s="38">
        <f>_xll.BDS(TICKER &amp;" EQUITY",$N$84,"BEST_FPERIOD_OVERRIDE","3"&amp;$N$107,"EQY_CONSOLIDATED",$D$18,"STARTCOL=4","ENDCOL=4","EQY_FUND_CRNCY",CURRENCY,"cols=1;rows=21")</f>
        <v>42979</v>
      </c>
      <c r="L84" t="str">
        <f>_xll.BDS(TICKER &amp;" EQUITY",$N$84,"BEST_FPERIOD_OVERRIDE","3"&amp;$N$107,"EQY_CONSOLIDATED",$D$18,"STARTCOL=5","ENDCOL=5","EQY_FUND_CRNCY",CURRENCY,"cols=1;rows=21")</f>
        <v>Change</v>
      </c>
      <c r="M84" s="168" t="str">
        <f>ESTBrokersItem</f>
        <v>EPS (GAAP)</v>
      </c>
      <c r="N84" t="str">
        <f>VLOOKUP(M84, M85:N100, 2, FALSE)</f>
        <v>BEST_EPS_GAAP_BRK_GRID</v>
      </c>
      <c r="V84" s="38"/>
      <c r="AF84" s="38" t="str">
        <f t="shared" si="15"/>
        <v/>
      </c>
      <c r="AG84" t="str">
        <f t="shared" si="16"/>
        <v/>
      </c>
      <c r="AH84" t="str">
        <f t="shared" si="17"/>
        <v/>
      </c>
      <c r="AI84" t="str">
        <f t="shared" si="18"/>
        <v/>
      </c>
      <c r="AJ84" t="str">
        <f t="shared" si="19"/>
        <v/>
      </c>
      <c r="AK84" t="str">
        <f t="shared" si="20"/>
        <v/>
      </c>
      <c r="AL84" t="str">
        <f t="shared" si="21"/>
        <v/>
      </c>
      <c r="AO84" t="str">
        <f t="shared" si="22"/>
        <v/>
      </c>
      <c r="AR84" t="str">
        <f t="shared" si="23"/>
        <v/>
      </c>
    </row>
    <row r="85" spans="1:44">
      <c r="A85" t="s">
        <v>680</v>
      </c>
      <c r="B85" s="38">
        <v>42226</v>
      </c>
      <c r="C85">
        <v>9.15</v>
      </c>
      <c r="D85">
        <v>0</v>
      </c>
      <c r="E85" t="s">
        <v>680</v>
      </c>
      <c r="F85" s="38">
        <v>42226</v>
      </c>
      <c r="G85">
        <v>9.5500000000000007</v>
      </c>
      <c r="H85">
        <v>0</v>
      </c>
      <c r="I85" t="s">
        <v>641</v>
      </c>
      <c r="J85" s="38">
        <v>42223</v>
      </c>
      <c r="K85">
        <v>10.28</v>
      </c>
      <c r="L85">
        <v>-0.95</v>
      </c>
      <c r="M85" t="s">
        <v>544</v>
      </c>
      <c r="N85" t="s">
        <v>534</v>
      </c>
      <c r="V85" s="38"/>
      <c r="AF85" s="38" t="str">
        <f t="shared" si="15"/>
        <v/>
      </c>
      <c r="AG85" t="str">
        <f t="shared" si="16"/>
        <v/>
      </c>
      <c r="AH85" t="str">
        <f t="shared" si="17"/>
        <v/>
      </c>
      <c r="AI85" t="str">
        <f t="shared" si="18"/>
        <v/>
      </c>
      <c r="AJ85" t="str">
        <f t="shared" si="19"/>
        <v/>
      </c>
      <c r="AK85" t="str">
        <f t="shared" si="20"/>
        <v/>
      </c>
      <c r="AL85" t="str">
        <f t="shared" si="21"/>
        <v/>
      </c>
      <c r="AO85" t="str">
        <f t="shared" si="22"/>
        <v/>
      </c>
      <c r="AR85" t="str">
        <f t="shared" si="23"/>
        <v/>
      </c>
    </row>
    <row r="86" spans="1:44">
      <c r="A86" t="s">
        <v>641</v>
      </c>
      <c r="B86" s="38">
        <v>42223</v>
      </c>
      <c r="C86">
        <v>9.0399999999999991</v>
      </c>
      <c r="D86">
        <v>0</v>
      </c>
      <c r="E86" t="s">
        <v>641</v>
      </c>
      <c r="F86" s="38">
        <v>42223</v>
      </c>
      <c r="G86">
        <v>10.050000000000001</v>
      </c>
      <c r="H86">
        <v>0.02</v>
      </c>
      <c r="I86" t="s">
        <v>641</v>
      </c>
      <c r="J86" s="38">
        <v>42223</v>
      </c>
      <c r="K86">
        <v>12.43</v>
      </c>
      <c r="L86">
        <v>0</v>
      </c>
      <c r="M86" t="s">
        <v>545</v>
      </c>
      <c r="N86" t="s">
        <v>546</v>
      </c>
      <c r="V86" s="38"/>
      <c r="AF86" s="38" t="str">
        <f t="shared" si="15"/>
        <v/>
      </c>
      <c r="AG86" t="str">
        <f t="shared" si="16"/>
        <v/>
      </c>
      <c r="AH86" t="str">
        <f t="shared" si="17"/>
        <v/>
      </c>
      <c r="AI86" t="str">
        <f t="shared" si="18"/>
        <v/>
      </c>
      <c r="AJ86" t="str">
        <f t="shared" si="19"/>
        <v/>
      </c>
      <c r="AK86" t="str">
        <f t="shared" si="20"/>
        <v/>
      </c>
      <c r="AL86" t="str">
        <f t="shared" si="21"/>
        <v/>
      </c>
      <c r="AO86" t="str">
        <f t="shared" si="22"/>
        <v/>
      </c>
      <c r="AR86" t="str">
        <f t="shared" si="23"/>
        <v/>
      </c>
    </row>
    <row r="87" spans="1:44">
      <c r="A87" t="s">
        <v>641</v>
      </c>
      <c r="B87" s="38">
        <v>42223</v>
      </c>
      <c r="C87">
        <v>9.1199999999999992</v>
      </c>
      <c r="D87">
        <v>0</v>
      </c>
      <c r="E87" t="s">
        <v>641</v>
      </c>
      <c r="F87" s="38">
        <v>42223</v>
      </c>
      <c r="G87">
        <v>10.47</v>
      </c>
      <c r="H87">
        <v>0</v>
      </c>
      <c r="I87" t="s">
        <v>641</v>
      </c>
      <c r="J87" s="38">
        <v>42222</v>
      </c>
      <c r="K87">
        <v>10.199999999999999</v>
      </c>
      <c r="L87">
        <v>0</v>
      </c>
      <c r="M87" t="s">
        <v>531</v>
      </c>
      <c r="N87" t="s">
        <v>535</v>
      </c>
      <c r="V87" s="38"/>
      <c r="AF87" s="38" t="str">
        <f t="shared" si="15"/>
        <v/>
      </c>
      <c r="AG87" t="str">
        <f t="shared" si="16"/>
        <v/>
      </c>
      <c r="AH87" t="str">
        <f t="shared" si="17"/>
        <v/>
      </c>
      <c r="AI87" t="str">
        <f t="shared" si="18"/>
        <v/>
      </c>
      <c r="AJ87" t="str">
        <f t="shared" si="19"/>
        <v/>
      </c>
      <c r="AK87" t="str">
        <f t="shared" si="20"/>
        <v/>
      </c>
      <c r="AL87" t="str">
        <f t="shared" si="21"/>
        <v/>
      </c>
      <c r="AO87" t="str">
        <f t="shared" si="22"/>
        <v/>
      </c>
      <c r="AR87" t="str">
        <f t="shared" si="23"/>
        <v/>
      </c>
    </row>
    <row r="88" spans="1:44">
      <c r="A88" t="s">
        <v>641</v>
      </c>
      <c r="B88" s="38">
        <v>42223</v>
      </c>
      <c r="C88">
        <v>9.1999999999999993</v>
      </c>
      <c r="D88">
        <v>0</v>
      </c>
      <c r="E88" t="s">
        <v>641</v>
      </c>
      <c r="F88" s="38">
        <v>42223</v>
      </c>
      <c r="G88">
        <v>11.21</v>
      </c>
      <c r="H88">
        <v>0.36</v>
      </c>
      <c r="I88" t="s">
        <v>734</v>
      </c>
      <c r="J88" s="38">
        <v>42215</v>
      </c>
      <c r="K88">
        <v>9.99</v>
      </c>
      <c r="L88">
        <v>0</v>
      </c>
      <c r="M88" t="s">
        <v>447</v>
      </c>
      <c r="N88" t="s">
        <v>547</v>
      </c>
      <c r="V88" s="38"/>
      <c r="AF88" s="38" t="str">
        <f t="shared" si="15"/>
        <v/>
      </c>
      <c r="AG88" t="str">
        <f t="shared" si="16"/>
        <v/>
      </c>
      <c r="AH88" t="str">
        <f t="shared" si="17"/>
        <v/>
      </c>
      <c r="AI88" t="str">
        <f t="shared" si="18"/>
        <v/>
      </c>
      <c r="AJ88" t="str">
        <f t="shared" si="19"/>
        <v/>
      </c>
      <c r="AK88" t="str">
        <f t="shared" si="20"/>
        <v/>
      </c>
      <c r="AL88" t="str">
        <f t="shared" si="21"/>
        <v/>
      </c>
      <c r="AO88" t="str">
        <f t="shared" si="22"/>
        <v/>
      </c>
      <c r="AR88" t="str">
        <f t="shared" si="23"/>
        <v/>
      </c>
    </row>
    <row r="89" spans="1:44">
      <c r="A89" t="s">
        <v>641</v>
      </c>
      <c r="B89" s="38">
        <v>42223</v>
      </c>
      <c r="C89">
        <v>9.06</v>
      </c>
      <c r="D89">
        <v>0</v>
      </c>
      <c r="E89" t="s">
        <v>641</v>
      </c>
      <c r="F89" s="38">
        <v>42223</v>
      </c>
      <c r="G89">
        <v>9.17</v>
      </c>
      <c r="H89">
        <v>0</v>
      </c>
      <c r="I89" t="s">
        <v>720</v>
      </c>
      <c r="J89" s="38">
        <v>42209</v>
      </c>
      <c r="K89">
        <v>12.03</v>
      </c>
      <c r="L89">
        <v>0</v>
      </c>
      <c r="M89" t="s">
        <v>455</v>
      </c>
      <c r="N89" t="s">
        <v>536</v>
      </c>
      <c r="V89" s="38"/>
      <c r="AF89" s="38" t="str">
        <f t="shared" si="15"/>
        <v/>
      </c>
      <c r="AG89" t="str">
        <f t="shared" si="16"/>
        <v/>
      </c>
      <c r="AH89" t="str">
        <f t="shared" si="17"/>
        <v/>
      </c>
      <c r="AI89" t="str">
        <f t="shared" si="18"/>
        <v/>
      </c>
      <c r="AJ89" t="str">
        <f t="shared" si="19"/>
        <v/>
      </c>
      <c r="AK89" t="str">
        <f t="shared" si="20"/>
        <v/>
      </c>
      <c r="AL89" t="str">
        <f t="shared" si="21"/>
        <v/>
      </c>
      <c r="AO89" t="str">
        <f t="shared" si="22"/>
        <v/>
      </c>
      <c r="AR89" t="str">
        <f t="shared" si="23"/>
        <v/>
      </c>
    </row>
    <row r="90" spans="1:44">
      <c r="A90" t="s">
        <v>679</v>
      </c>
      <c r="B90" s="38">
        <v>42222</v>
      </c>
      <c r="C90">
        <v>9.24</v>
      </c>
      <c r="D90">
        <v>0</v>
      </c>
      <c r="E90" t="s">
        <v>679</v>
      </c>
      <c r="F90" s="38">
        <v>42222</v>
      </c>
      <c r="G90">
        <v>9.3000000000000007</v>
      </c>
      <c r="H90">
        <v>0</v>
      </c>
      <c r="I90" t="s">
        <v>716</v>
      </c>
      <c r="J90" s="38">
        <v>42209</v>
      </c>
      <c r="K90">
        <v>11.7</v>
      </c>
      <c r="L90">
        <v>0.4</v>
      </c>
      <c r="M90" t="s">
        <v>532</v>
      </c>
      <c r="N90" t="s">
        <v>537</v>
      </c>
      <c r="V90" s="38"/>
      <c r="AF90" s="38" t="str">
        <f t="shared" si="15"/>
        <v/>
      </c>
      <c r="AG90" t="str">
        <f t="shared" si="16"/>
        <v/>
      </c>
      <c r="AH90" t="str">
        <f t="shared" si="17"/>
        <v/>
      </c>
      <c r="AI90" t="str">
        <f t="shared" si="18"/>
        <v/>
      </c>
      <c r="AJ90" t="str">
        <f t="shared" si="19"/>
        <v/>
      </c>
      <c r="AK90" t="str">
        <f t="shared" si="20"/>
        <v/>
      </c>
      <c r="AL90" t="str">
        <f t="shared" si="21"/>
        <v/>
      </c>
      <c r="AO90" t="str">
        <f t="shared" si="22"/>
        <v/>
      </c>
      <c r="AR90" t="str">
        <f t="shared" si="23"/>
        <v/>
      </c>
    </row>
    <row r="91" spans="1:44">
      <c r="A91" t="s">
        <v>689</v>
      </c>
      <c r="B91" s="38">
        <v>42222</v>
      </c>
      <c r="C91">
        <v>9.01</v>
      </c>
      <c r="D91">
        <v>-0.18</v>
      </c>
      <c r="E91" t="s">
        <v>689</v>
      </c>
      <c r="F91" s="38">
        <v>42222</v>
      </c>
      <c r="G91">
        <v>10.24</v>
      </c>
      <c r="H91">
        <v>0</v>
      </c>
      <c r="I91" t="s">
        <v>641</v>
      </c>
      <c r="J91" s="38">
        <v>42208</v>
      </c>
      <c r="K91">
        <v>10.52</v>
      </c>
      <c r="L91">
        <v>-0.19</v>
      </c>
      <c r="M91" t="s">
        <v>542</v>
      </c>
      <c r="N91" t="s">
        <v>543</v>
      </c>
      <c r="V91" s="38"/>
      <c r="AF91" s="38" t="str">
        <f t="shared" si="15"/>
        <v/>
      </c>
      <c r="AG91" t="str">
        <f t="shared" si="16"/>
        <v/>
      </c>
      <c r="AH91" t="str">
        <f t="shared" si="17"/>
        <v/>
      </c>
      <c r="AI91" t="str">
        <f t="shared" si="18"/>
        <v/>
      </c>
      <c r="AJ91" t="str">
        <f t="shared" si="19"/>
        <v/>
      </c>
      <c r="AK91" t="str">
        <f t="shared" si="20"/>
        <v/>
      </c>
      <c r="AL91" t="str">
        <f t="shared" si="21"/>
        <v/>
      </c>
      <c r="AO91" t="str">
        <f t="shared" si="22"/>
        <v/>
      </c>
      <c r="AR91" t="str">
        <f t="shared" si="23"/>
        <v/>
      </c>
    </row>
    <row r="92" spans="1:44">
      <c r="A92" t="s">
        <v>641</v>
      </c>
      <c r="B92" s="38">
        <v>42222</v>
      </c>
      <c r="C92">
        <v>9.14</v>
      </c>
      <c r="D92">
        <v>0</v>
      </c>
      <c r="E92" t="s">
        <v>641</v>
      </c>
      <c r="F92" s="38">
        <v>42222</v>
      </c>
      <c r="G92">
        <v>9.27</v>
      </c>
      <c r="H92">
        <v>-0.21</v>
      </c>
      <c r="I92" t="s">
        <v>678</v>
      </c>
      <c r="J92" s="38">
        <v>42207</v>
      </c>
      <c r="K92">
        <v>9.48</v>
      </c>
      <c r="L92">
        <v>0</v>
      </c>
      <c r="M92" t="s">
        <v>448</v>
      </c>
      <c r="N92" t="s">
        <v>538</v>
      </c>
      <c r="V92" s="38"/>
      <c r="AF92" s="38" t="str">
        <f t="shared" si="15"/>
        <v/>
      </c>
      <c r="AG92" t="str">
        <f t="shared" si="16"/>
        <v/>
      </c>
      <c r="AH92" t="str">
        <f t="shared" si="17"/>
        <v/>
      </c>
      <c r="AI92" t="str">
        <f t="shared" si="18"/>
        <v/>
      </c>
      <c r="AJ92" t="str">
        <f t="shared" si="19"/>
        <v/>
      </c>
      <c r="AK92" t="str">
        <f t="shared" si="20"/>
        <v/>
      </c>
      <c r="AL92" t="str">
        <f t="shared" si="21"/>
        <v/>
      </c>
      <c r="AO92" t="str">
        <f t="shared" si="22"/>
        <v/>
      </c>
      <c r="AR92" t="str">
        <f t="shared" si="23"/>
        <v/>
      </c>
    </row>
    <row r="93" spans="1:44">
      <c r="A93" t="s">
        <v>722</v>
      </c>
      <c r="B93" s="38">
        <v>42222</v>
      </c>
      <c r="C93">
        <v>9.07</v>
      </c>
      <c r="D93">
        <v>0</v>
      </c>
      <c r="E93" t="s">
        <v>722</v>
      </c>
      <c r="F93" s="38">
        <v>42222</v>
      </c>
      <c r="G93">
        <v>9.2200000000000006</v>
      </c>
      <c r="H93">
        <v>0</v>
      </c>
      <c r="I93" t="s">
        <v>641</v>
      </c>
      <c r="J93" s="38">
        <v>42207</v>
      </c>
      <c r="K93">
        <v>10.86</v>
      </c>
      <c r="L93">
        <v>0.16</v>
      </c>
      <c r="M93" t="s">
        <v>552</v>
      </c>
      <c r="N93" t="s">
        <v>539</v>
      </c>
      <c r="V93" s="38"/>
      <c r="AF93" s="38" t="str">
        <f t="shared" si="15"/>
        <v/>
      </c>
      <c r="AG93" t="str">
        <f t="shared" si="16"/>
        <v/>
      </c>
      <c r="AH93" t="str">
        <f t="shared" si="17"/>
        <v/>
      </c>
      <c r="AI93" t="str">
        <f t="shared" si="18"/>
        <v/>
      </c>
      <c r="AJ93" t="str">
        <f t="shared" si="19"/>
        <v/>
      </c>
      <c r="AK93" t="str">
        <f t="shared" si="20"/>
        <v/>
      </c>
      <c r="AL93" t="str">
        <f t="shared" si="21"/>
        <v/>
      </c>
      <c r="AO93" t="str">
        <f t="shared" si="22"/>
        <v/>
      </c>
      <c r="AR93" t="str">
        <f t="shared" si="23"/>
        <v/>
      </c>
    </row>
    <row r="94" spans="1:44">
      <c r="A94" t="s">
        <v>806</v>
      </c>
      <c r="B94" s="38">
        <v>42222</v>
      </c>
      <c r="C94">
        <v>9.1199999999999992</v>
      </c>
      <c r="D94">
        <v>0.03</v>
      </c>
      <c r="E94" t="s">
        <v>806</v>
      </c>
      <c r="F94" s="38">
        <v>42222</v>
      </c>
      <c r="G94">
        <v>9.58</v>
      </c>
      <c r="H94">
        <v>0</v>
      </c>
      <c r="I94" t="s">
        <v>725</v>
      </c>
      <c r="J94" s="38">
        <v>42207</v>
      </c>
      <c r="K94">
        <v>10.3</v>
      </c>
      <c r="L94">
        <v>7.0000000000000007E-2</v>
      </c>
      <c r="M94" t="s">
        <v>553</v>
      </c>
      <c r="N94" t="s">
        <v>554</v>
      </c>
      <c r="V94" s="38"/>
      <c r="AF94" s="38" t="str">
        <f t="shared" si="15"/>
        <v/>
      </c>
      <c r="AG94" t="str">
        <f t="shared" si="16"/>
        <v/>
      </c>
      <c r="AH94" t="str">
        <f t="shared" si="17"/>
        <v/>
      </c>
      <c r="AI94" t="str">
        <f t="shared" si="18"/>
        <v/>
      </c>
      <c r="AJ94" t="str">
        <f t="shared" si="19"/>
        <v/>
      </c>
      <c r="AK94" t="str">
        <f t="shared" si="20"/>
        <v/>
      </c>
      <c r="AL94" t="str">
        <f t="shared" si="21"/>
        <v/>
      </c>
      <c r="AO94" t="str">
        <f t="shared" si="22"/>
        <v/>
      </c>
      <c r="AR94" t="str">
        <f t="shared" si="23"/>
        <v/>
      </c>
    </row>
    <row r="95" spans="1:44">
      <c r="A95" t="s">
        <v>641</v>
      </c>
      <c r="B95" s="38">
        <v>42220</v>
      </c>
      <c r="C95">
        <v>9.07</v>
      </c>
      <c r="D95">
        <v>0</v>
      </c>
      <c r="E95" t="s">
        <v>641</v>
      </c>
      <c r="F95" s="38">
        <v>42220</v>
      </c>
      <c r="G95">
        <v>9.82</v>
      </c>
      <c r="H95">
        <v>0.12</v>
      </c>
      <c r="I95" t="s">
        <v>735</v>
      </c>
      <c r="J95" s="38">
        <v>42207</v>
      </c>
      <c r="K95">
        <v>11.83</v>
      </c>
      <c r="L95">
        <v>-0.06</v>
      </c>
      <c r="M95" t="s">
        <v>533</v>
      </c>
      <c r="N95" t="s">
        <v>540</v>
      </c>
      <c r="V95" s="38"/>
      <c r="AF95" s="38" t="str">
        <f t="shared" si="15"/>
        <v/>
      </c>
      <c r="AG95" t="str">
        <f t="shared" si="16"/>
        <v/>
      </c>
      <c r="AH95" t="str">
        <f t="shared" si="17"/>
        <v/>
      </c>
      <c r="AI95" t="str">
        <f t="shared" si="18"/>
        <v/>
      </c>
      <c r="AJ95" t="str">
        <f t="shared" si="19"/>
        <v/>
      </c>
      <c r="AK95" t="str">
        <f t="shared" si="20"/>
        <v/>
      </c>
      <c r="AL95" t="str">
        <f t="shared" si="21"/>
        <v/>
      </c>
      <c r="AO95" t="str">
        <f t="shared" si="22"/>
        <v/>
      </c>
      <c r="AR95" t="str">
        <f t="shared" si="23"/>
        <v/>
      </c>
    </row>
    <row r="96" spans="1:44">
      <c r="A96" t="s">
        <v>734</v>
      </c>
      <c r="B96" s="38">
        <v>42215</v>
      </c>
      <c r="C96">
        <v>9.19</v>
      </c>
      <c r="D96">
        <v>0</v>
      </c>
      <c r="E96" t="s">
        <v>734</v>
      </c>
      <c r="F96" s="38">
        <v>42215</v>
      </c>
      <c r="G96">
        <v>9.51</v>
      </c>
      <c r="H96">
        <v>0</v>
      </c>
      <c r="I96" t="s">
        <v>683</v>
      </c>
      <c r="J96" s="38">
        <v>42207</v>
      </c>
      <c r="K96">
        <v>7.86</v>
      </c>
      <c r="L96">
        <v>0.56000000000000005</v>
      </c>
      <c r="M96" t="s">
        <v>452</v>
      </c>
      <c r="N96" t="s">
        <v>541</v>
      </c>
      <c r="V96" s="38"/>
      <c r="AF96" s="38" t="str">
        <f t="shared" si="15"/>
        <v/>
      </c>
      <c r="AG96" t="str">
        <f t="shared" si="16"/>
        <v/>
      </c>
      <c r="AH96" t="str">
        <f t="shared" si="17"/>
        <v/>
      </c>
      <c r="AI96" t="str">
        <f t="shared" si="18"/>
        <v/>
      </c>
      <c r="AJ96" t="str">
        <f t="shared" si="19"/>
        <v/>
      </c>
      <c r="AK96" t="str">
        <f t="shared" si="20"/>
        <v/>
      </c>
      <c r="AL96" t="str">
        <f t="shared" si="21"/>
        <v/>
      </c>
      <c r="AO96" t="str">
        <f t="shared" si="22"/>
        <v/>
      </c>
      <c r="AR96" t="str">
        <f t="shared" si="23"/>
        <v/>
      </c>
    </row>
    <row r="97" spans="1:44">
      <c r="A97" t="s">
        <v>736</v>
      </c>
      <c r="B97" s="38">
        <v>42213</v>
      </c>
      <c r="C97">
        <v>9.1300000000000008</v>
      </c>
      <c r="D97">
        <v>0</v>
      </c>
      <c r="E97" t="s">
        <v>736</v>
      </c>
      <c r="F97" s="38">
        <v>42213</v>
      </c>
      <c r="G97">
        <v>9.69</v>
      </c>
      <c r="H97">
        <v>0</v>
      </c>
      <c r="I97" t="s">
        <v>810</v>
      </c>
      <c r="J97" s="38">
        <v>42207</v>
      </c>
      <c r="K97">
        <v>11</v>
      </c>
      <c r="L97" t="s">
        <v>634</v>
      </c>
      <c r="M97" t="s">
        <v>548</v>
      </c>
      <c r="N97" t="s">
        <v>549</v>
      </c>
      <c r="V97" s="38"/>
      <c r="AF97" s="38" t="str">
        <f t="shared" si="15"/>
        <v/>
      </c>
      <c r="AG97" t="str">
        <f t="shared" si="16"/>
        <v/>
      </c>
      <c r="AH97" t="str">
        <f t="shared" si="17"/>
        <v/>
      </c>
      <c r="AI97" t="str">
        <f t="shared" si="18"/>
        <v/>
      </c>
      <c r="AJ97" t="str">
        <f t="shared" si="19"/>
        <v/>
      </c>
      <c r="AK97" t="str">
        <f t="shared" si="20"/>
        <v/>
      </c>
      <c r="AL97" t="str">
        <f t="shared" si="21"/>
        <v/>
      </c>
      <c r="AO97" t="str">
        <f t="shared" si="22"/>
        <v/>
      </c>
      <c r="AR97" t="str">
        <f t="shared" si="23"/>
        <v/>
      </c>
    </row>
    <row r="98" spans="1:44">
      <c r="A98" t="s">
        <v>720</v>
      </c>
      <c r="B98" s="38">
        <v>42209</v>
      </c>
      <c r="C98">
        <v>9.14</v>
      </c>
      <c r="D98">
        <v>0</v>
      </c>
      <c r="E98" t="s">
        <v>720</v>
      </c>
      <c r="F98" s="38">
        <v>42209</v>
      </c>
      <c r="G98">
        <v>9.11</v>
      </c>
      <c r="H98">
        <v>0</v>
      </c>
      <c r="I98" t="s">
        <v>641</v>
      </c>
      <c r="J98" s="38">
        <v>42207</v>
      </c>
      <c r="K98">
        <v>11.06</v>
      </c>
      <c r="L98">
        <v>0</v>
      </c>
      <c r="M98" t="s">
        <v>407</v>
      </c>
      <c r="N98" t="s">
        <v>550</v>
      </c>
      <c r="V98" s="38"/>
      <c r="AF98" s="38" t="str">
        <f t="shared" si="15"/>
        <v/>
      </c>
      <c r="AG98" t="str">
        <f t="shared" si="16"/>
        <v/>
      </c>
      <c r="AH98" t="str">
        <f t="shared" si="17"/>
        <v/>
      </c>
      <c r="AI98" t="str">
        <f t="shared" si="18"/>
        <v/>
      </c>
      <c r="AJ98" t="str">
        <f t="shared" si="19"/>
        <v/>
      </c>
      <c r="AK98" t="str">
        <f t="shared" si="20"/>
        <v/>
      </c>
      <c r="AL98" t="str">
        <f t="shared" si="21"/>
        <v/>
      </c>
      <c r="AO98" t="str">
        <f t="shared" si="22"/>
        <v/>
      </c>
      <c r="AR98" t="str">
        <f t="shared" si="23"/>
        <v/>
      </c>
    </row>
    <row r="99" spans="1:44">
      <c r="A99" t="s">
        <v>716</v>
      </c>
      <c r="B99" s="38">
        <v>42209</v>
      </c>
      <c r="C99">
        <v>9.15</v>
      </c>
      <c r="D99">
        <v>0</v>
      </c>
      <c r="E99" t="s">
        <v>716</v>
      </c>
      <c r="F99" s="38">
        <v>42209</v>
      </c>
      <c r="G99">
        <v>9.83</v>
      </c>
      <c r="H99">
        <v>0</v>
      </c>
      <c r="I99" t="s">
        <v>728</v>
      </c>
      <c r="J99" s="38">
        <v>42207</v>
      </c>
      <c r="K99">
        <v>11.01</v>
      </c>
      <c r="L99">
        <v>-0.1</v>
      </c>
      <c r="M99" t="s">
        <v>406</v>
      </c>
      <c r="N99" t="s">
        <v>551</v>
      </c>
      <c r="V99" s="38"/>
      <c r="AF99" s="38" t="str">
        <f t="shared" si="15"/>
        <v/>
      </c>
      <c r="AG99" t="str">
        <f t="shared" si="16"/>
        <v/>
      </c>
      <c r="AH99" t="str">
        <f t="shared" si="17"/>
        <v/>
      </c>
      <c r="AI99" t="str">
        <f t="shared" si="18"/>
        <v/>
      </c>
      <c r="AJ99" t="str">
        <f t="shared" si="19"/>
        <v/>
      </c>
      <c r="AK99" t="str">
        <f t="shared" si="20"/>
        <v/>
      </c>
      <c r="AL99" t="str">
        <f t="shared" si="21"/>
        <v/>
      </c>
      <c r="AO99" t="str">
        <f t="shared" si="22"/>
        <v/>
      </c>
      <c r="AR99" t="str">
        <f t="shared" si="23"/>
        <v/>
      </c>
    </row>
    <row r="100" spans="1:44">
      <c r="A100" t="s">
        <v>672</v>
      </c>
      <c r="B100" s="38">
        <v>42209</v>
      </c>
      <c r="C100">
        <v>9.25</v>
      </c>
      <c r="D100">
        <v>0.1</v>
      </c>
      <c r="E100" t="s">
        <v>672</v>
      </c>
      <c r="F100" s="38">
        <v>42209</v>
      </c>
      <c r="G100">
        <v>10.199999999999999</v>
      </c>
      <c r="H100">
        <v>0.2</v>
      </c>
      <c r="I100" t="s">
        <v>641</v>
      </c>
      <c r="J100" s="38">
        <v>42207</v>
      </c>
      <c r="K100">
        <v>11.08</v>
      </c>
      <c r="L100">
        <v>0.06</v>
      </c>
      <c r="M100" t="s">
        <v>555</v>
      </c>
      <c r="N100" t="s">
        <v>556</v>
      </c>
      <c r="V100" s="38"/>
      <c r="AF100" s="38" t="str">
        <f t="shared" si="15"/>
        <v/>
      </c>
      <c r="AG100" t="str">
        <f t="shared" si="16"/>
        <v/>
      </c>
      <c r="AH100" t="str">
        <f t="shared" si="17"/>
        <v/>
      </c>
      <c r="AI100" t="str">
        <f t="shared" si="18"/>
        <v/>
      </c>
      <c r="AJ100" t="str">
        <f t="shared" si="19"/>
        <v/>
      </c>
      <c r="AK100" t="str">
        <f t="shared" si="20"/>
        <v/>
      </c>
      <c r="AL100" t="str">
        <f t="shared" si="21"/>
        <v/>
      </c>
      <c r="AO100" t="str">
        <f t="shared" si="22"/>
        <v/>
      </c>
      <c r="AR100" t="str">
        <f t="shared" si="23"/>
        <v/>
      </c>
    </row>
    <row r="101" spans="1:44">
      <c r="A101" t="s">
        <v>667</v>
      </c>
      <c r="B101" s="38">
        <v>42208</v>
      </c>
      <c r="C101">
        <v>9.15</v>
      </c>
      <c r="D101">
        <v>0</v>
      </c>
      <c r="E101" t="s">
        <v>667</v>
      </c>
      <c r="F101" s="38">
        <v>42208</v>
      </c>
      <c r="G101">
        <v>10.33</v>
      </c>
      <c r="H101">
        <v>0.01</v>
      </c>
      <c r="I101" t="s">
        <v>641</v>
      </c>
      <c r="J101" s="38">
        <v>42207</v>
      </c>
      <c r="K101">
        <v>10.49</v>
      </c>
      <c r="L101" t="s">
        <v>634</v>
      </c>
      <c r="V101" s="38"/>
      <c r="AF101" s="38" t="str">
        <f t="shared" si="15"/>
        <v/>
      </c>
      <c r="AG101" t="str">
        <f t="shared" si="16"/>
        <v/>
      </c>
      <c r="AH101" t="str">
        <f t="shared" si="17"/>
        <v/>
      </c>
      <c r="AI101" t="str">
        <f t="shared" si="18"/>
        <v/>
      </c>
      <c r="AJ101" t="str">
        <f t="shared" si="19"/>
        <v/>
      </c>
      <c r="AK101" t="str">
        <f t="shared" si="20"/>
        <v/>
      </c>
      <c r="AL101" t="str">
        <f t="shared" si="21"/>
        <v/>
      </c>
    </row>
    <row r="102" spans="1:44">
      <c r="A102" t="s">
        <v>641</v>
      </c>
      <c r="B102" s="38">
        <v>42208</v>
      </c>
      <c r="C102">
        <v>9.07</v>
      </c>
      <c r="D102">
        <v>0</v>
      </c>
      <c r="E102" t="s">
        <v>641</v>
      </c>
      <c r="F102" s="38">
        <v>42208</v>
      </c>
      <c r="G102">
        <v>9.67</v>
      </c>
      <c r="H102">
        <v>0</v>
      </c>
      <c r="I102" t="s">
        <v>641</v>
      </c>
      <c r="J102" s="38">
        <v>42207</v>
      </c>
      <c r="K102">
        <v>11.14</v>
      </c>
      <c r="L102">
        <v>-0.57999999999999996</v>
      </c>
      <c r="V102" s="38"/>
      <c r="AF102" s="38" t="str">
        <f t="shared" si="15"/>
        <v/>
      </c>
      <c r="AG102" t="str">
        <f t="shared" si="16"/>
        <v/>
      </c>
      <c r="AH102" t="str">
        <f t="shared" si="17"/>
        <v/>
      </c>
      <c r="AI102" t="str">
        <f t="shared" si="18"/>
        <v/>
      </c>
      <c r="AJ102" t="str">
        <f t="shared" si="19"/>
        <v/>
      </c>
      <c r="AK102" t="str">
        <f t="shared" si="20"/>
        <v/>
      </c>
      <c r="AL102" t="str">
        <f t="shared" si="21"/>
        <v/>
      </c>
    </row>
    <row r="103" spans="1:44">
      <c r="A103" t="s">
        <v>678</v>
      </c>
      <c r="B103" s="38">
        <v>42207</v>
      </c>
      <c r="C103">
        <v>9.4</v>
      </c>
      <c r="D103">
        <v>1</v>
      </c>
      <c r="E103" t="s">
        <v>678</v>
      </c>
      <c r="F103" s="38">
        <v>42207</v>
      </c>
      <c r="G103">
        <v>10</v>
      </c>
      <c r="H103">
        <v>0</v>
      </c>
      <c r="I103" t="s">
        <v>686</v>
      </c>
      <c r="J103" s="38">
        <v>42204</v>
      </c>
      <c r="K103">
        <v>11.19</v>
      </c>
      <c r="L103">
        <v>0.18</v>
      </c>
      <c r="V103" s="38"/>
      <c r="AF103" s="38" t="str">
        <f t="shared" si="15"/>
        <v/>
      </c>
      <c r="AG103" t="str">
        <f t="shared" si="16"/>
        <v/>
      </c>
      <c r="AH103" t="str">
        <f t="shared" si="17"/>
        <v/>
      </c>
      <c r="AI103" t="str">
        <f t="shared" si="18"/>
        <v/>
      </c>
      <c r="AJ103" t="str">
        <f t="shared" si="19"/>
        <v/>
      </c>
      <c r="AK103" t="str">
        <f t="shared" si="20"/>
        <v/>
      </c>
      <c r="AL103" t="str">
        <f t="shared" si="21"/>
        <v/>
      </c>
    </row>
    <row r="104" spans="1:44">
      <c r="A104" t="s">
        <v>641</v>
      </c>
      <c r="B104" s="38">
        <v>42207</v>
      </c>
      <c r="C104">
        <v>9.19</v>
      </c>
      <c r="D104">
        <v>0.15</v>
      </c>
      <c r="E104" t="s">
        <v>641</v>
      </c>
      <c r="F104" s="38">
        <v>42207</v>
      </c>
      <c r="G104">
        <v>10.6</v>
      </c>
      <c r="H104">
        <v>0.4</v>
      </c>
      <c r="I104" t="s">
        <v>740</v>
      </c>
      <c r="J104" s="38">
        <v>42164</v>
      </c>
      <c r="K104">
        <v>10.36</v>
      </c>
      <c r="L104">
        <v>0</v>
      </c>
      <c r="V104" s="38"/>
      <c r="AF104" s="38" t="str">
        <f t="shared" si="15"/>
        <v/>
      </c>
      <c r="AG104" t="str">
        <f t="shared" si="16"/>
        <v/>
      </c>
      <c r="AH104" t="str">
        <f t="shared" si="17"/>
        <v/>
      </c>
      <c r="AI104" t="str">
        <f t="shared" si="18"/>
        <v/>
      </c>
      <c r="AJ104" t="str">
        <f t="shared" si="19"/>
        <v/>
      </c>
      <c r="AK104" t="str">
        <f t="shared" si="20"/>
        <v/>
      </c>
      <c r="AL104" t="str">
        <f t="shared" si="21"/>
        <v/>
      </c>
    </row>
    <row r="105" spans="1:44">
      <c r="A105" t="s">
        <v>805</v>
      </c>
      <c r="B105" s="38">
        <v>42207</v>
      </c>
      <c r="C105">
        <v>9.16</v>
      </c>
      <c r="D105">
        <v>0.13</v>
      </c>
      <c r="E105" t="s">
        <v>805</v>
      </c>
      <c r="F105" s="38">
        <v>42207</v>
      </c>
      <c r="G105">
        <v>9.6999999999999993</v>
      </c>
      <c r="H105">
        <v>0.32</v>
      </c>
      <c r="J105" s="38"/>
      <c r="V105" s="38"/>
      <c r="AF105" s="38" t="str">
        <f t="shared" si="15"/>
        <v/>
      </c>
      <c r="AG105" t="str">
        <f t="shared" si="16"/>
        <v/>
      </c>
      <c r="AH105" t="str">
        <f t="shared" si="17"/>
        <v/>
      </c>
      <c r="AI105" t="str">
        <f t="shared" si="18"/>
        <v/>
      </c>
      <c r="AJ105" t="str">
        <f t="shared" si="19"/>
        <v/>
      </c>
      <c r="AK105" t="str">
        <f t="shared" si="20"/>
        <v/>
      </c>
      <c r="AL105" t="str">
        <f t="shared" si="21"/>
        <v/>
      </c>
    </row>
    <row r="106" spans="1:44">
      <c r="A106" t="s">
        <v>641</v>
      </c>
      <c r="B106" s="38">
        <v>42207</v>
      </c>
      <c r="C106">
        <v>9.1</v>
      </c>
      <c r="D106">
        <v>0</v>
      </c>
      <c r="E106" t="s">
        <v>641</v>
      </c>
      <c r="F106" s="38">
        <v>42207</v>
      </c>
      <c r="G106">
        <v>9.7799999999999994</v>
      </c>
      <c r="H106">
        <v>7.0000000000000007E-2</v>
      </c>
      <c r="J106" s="38"/>
      <c r="V106" s="38"/>
      <c r="AF106" s="38" t="str">
        <f t="shared" si="15"/>
        <v/>
      </c>
      <c r="AG106" t="str">
        <f t="shared" si="16"/>
        <v/>
      </c>
      <c r="AH106" t="str">
        <f t="shared" si="17"/>
        <v/>
      </c>
      <c r="AI106" t="str">
        <f t="shared" si="18"/>
        <v/>
      </c>
      <c r="AJ106" t="str">
        <f t="shared" si="19"/>
        <v/>
      </c>
      <c r="AK106" t="str">
        <f t="shared" si="20"/>
        <v/>
      </c>
      <c r="AL106" t="str">
        <f t="shared" si="21"/>
        <v/>
      </c>
    </row>
    <row r="107" spans="1:44">
      <c r="A107" t="s">
        <v>823</v>
      </c>
      <c r="B107" s="38">
        <v>42207</v>
      </c>
      <c r="C107">
        <v>9.2799999999999994</v>
      </c>
      <c r="D107">
        <v>0.31</v>
      </c>
      <c r="E107" t="s">
        <v>823</v>
      </c>
      <c r="F107" s="38">
        <v>42207</v>
      </c>
      <c r="G107">
        <v>8.5</v>
      </c>
      <c r="H107">
        <v>0</v>
      </c>
      <c r="J107" s="38"/>
      <c r="M107" s="168" t="str">
        <f>ESTBrokersPeriod</f>
        <v>Fiscal Year</v>
      </c>
      <c r="N107" t="str">
        <f>VLOOKUP(M107,M108:N110, 2, FALSE)</f>
        <v>FY</v>
      </c>
      <c r="V107" s="38"/>
      <c r="AF107" s="38" t="str">
        <f t="shared" si="15"/>
        <v/>
      </c>
      <c r="AG107" t="str">
        <f t="shared" si="16"/>
        <v/>
      </c>
      <c r="AH107" t="str">
        <f t="shared" si="17"/>
        <v/>
      </c>
      <c r="AI107" t="str">
        <f t="shared" si="18"/>
        <v/>
      </c>
      <c r="AJ107" t="str">
        <f t="shared" si="19"/>
        <v/>
      </c>
      <c r="AK107" t="str">
        <f t="shared" si="20"/>
        <v/>
      </c>
      <c r="AL107" t="str">
        <f t="shared" si="21"/>
        <v/>
      </c>
    </row>
    <row r="108" spans="1:44">
      <c r="A108" t="s">
        <v>725</v>
      </c>
      <c r="B108" s="38">
        <v>42207</v>
      </c>
      <c r="C108">
        <v>9.1199999999999992</v>
      </c>
      <c r="D108">
        <v>0</v>
      </c>
      <c r="E108" t="s">
        <v>725</v>
      </c>
      <c r="F108" s="38">
        <v>42207</v>
      </c>
      <c r="G108">
        <v>10.06</v>
      </c>
      <c r="H108">
        <v>0.05</v>
      </c>
      <c r="J108" s="38"/>
      <c r="M108" t="s">
        <v>425</v>
      </c>
      <c r="N108" t="s">
        <v>415</v>
      </c>
      <c r="V108" s="38"/>
      <c r="AF108" s="38" t="str">
        <f t="shared" si="15"/>
        <v/>
      </c>
      <c r="AG108" t="str">
        <f t="shared" si="16"/>
        <v/>
      </c>
      <c r="AH108" t="str">
        <f t="shared" si="17"/>
        <v/>
      </c>
      <c r="AI108" t="str">
        <f t="shared" si="18"/>
        <v/>
      </c>
      <c r="AJ108" t="str">
        <f t="shared" si="19"/>
        <v/>
      </c>
      <c r="AK108" t="str">
        <f t="shared" si="20"/>
        <v/>
      </c>
      <c r="AL108" t="str">
        <f t="shared" si="21"/>
        <v/>
      </c>
    </row>
    <row r="109" spans="1:44">
      <c r="A109" t="s">
        <v>735</v>
      </c>
      <c r="B109" s="38">
        <v>42207</v>
      </c>
      <c r="C109">
        <v>9.14</v>
      </c>
      <c r="D109">
        <v>0.03</v>
      </c>
      <c r="E109" t="s">
        <v>735</v>
      </c>
      <c r="F109" s="38">
        <v>42207</v>
      </c>
      <c r="G109">
        <v>9.85</v>
      </c>
      <c r="H109">
        <v>0</v>
      </c>
      <c r="J109" s="38"/>
      <c r="M109" t="s">
        <v>426</v>
      </c>
      <c r="N109" t="s">
        <v>416</v>
      </c>
      <c r="V109" s="38"/>
      <c r="AF109" s="38" t="str">
        <f t="shared" si="15"/>
        <v/>
      </c>
      <c r="AG109" t="str">
        <f t="shared" si="16"/>
        <v/>
      </c>
      <c r="AH109" t="str">
        <f t="shared" si="17"/>
        <v/>
      </c>
      <c r="AI109" t="str">
        <f t="shared" si="18"/>
        <v/>
      </c>
      <c r="AJ109" t="str">
        <f t="shared" si="19"/>
        <v/>
      </c>
      <c r="AK109" t="str">
        <f t="shared" si="20"/>
        <v/>
      </c>
      <c r="AL109" t="str">
        <f t="shared" si="21"/>
        <v/>
      </c>
    </row>
    <row r="110" spans="1:44">
      <c r="A110" t="s">
        <v>683</v>
      </c>
      <c r="B110" s="38">
        <v>42207</v>
      </c>
      <c r="C110">
        <v>9.1300000000000008</v>
      </c>
      <c r="D110">
        <v>0.17</v>
      </c>
      <c r="E110" t="s">
        <v>683</v>
      </c>
      <c r="F110" s="38">
        <v>42207</v>
      </c>
      <c r="G110">
        <v>9.9700000000000006</v>
      </c>
      <c r="H110">
        <v>0.02</v>
      </c>
      <c r="J110" s="38"/>
      <c r="M110" t="s">
        <v>427</v>
      </c>
      <c r="N110" t="s">
        <v>417</v>
      </c>
      <c r="V110" s="38"/>
      <c r="AF110" s="38" t="str">
        <f t="shared" si="15"/>
        <v/>
      </c>
      <c r="AG110" t="str">
        <f t="shared" si="16"/>
        <v/>
      </c>
      <c r="AH110" t="str">
        <f t="shared" si="17"/>
        <v/>
      </c>
      <c r="AI110" t="str">
        <f t="shared" si="18"/>
        <v/>
      </c>
      <c r="AJ110" t="str">
        <f t="shared" si="19"/>
        <v/>
      </c>
      <c r="AK110" t="str">
        <f t="shared" si="20"/>
        <v/>
      </c>
      <c r="AL110" t="str">
        <f t="shared" si="21"/>
        <v/>
      </c>
    </row>
    <row r="111" spans="1:44">
      <c r="A111" t="s">
        <v>740</v>
      </c>
      <c r="B111" s="38">
        <v>42207</v>
      </c>
      <c r="C111">
        <v>9.09</v>
      </c>
      <c r="D111">
        <v>0.02</v>
      </c>
      <c r="E111" t="s">
        <v>740</v>
      </c>
      <c r="F111" s="38">
        <v>42207</v>
      </c>
      <c r="G111">
        <v>9.6999999999999993</v>
      </c>
      <c r="H111">
        <v>0.06</v>
      </c>
      <c r="J111" s="38"/>
      <c r="V111" s="38"/>
      <c r="AF111" s="38" t="str">
        <f t="shared" si="15"/>
        <v/>
      </c>
      <c r="AG111" t="str">
        <f t="shared" si="16"/>
        <v/>
      </c>
      <c r="AH111" t="str">
        <f t="shared" si="17"/>
        <v/>
      </c>
      <c r="AI111" t="str">
        <f t="shared" si="18"/>
        <v/>
      </c>
      <c r="AJ111" t="str">
        <f t="shared" si="19"/>
        <v/>
      </c>
      <c r="AK111" t="str">
        <f t="shared" si="20"/>
        <v/>
      </c>
      <c r="AL111" t="str">
        <f t="shared" si="21"/>
        <v/>
      </c>
    </row>
    <row r="112" spans="1:44">
      <c r="A112" t="s">
        <v>719</v>
      </c>
      <c r="B112" s="38">
        <v>42207</v>
      </c>
      <c r="C112">
        <v>9.0299999999999994</v>
      </c>
      <c r="D112">
        <v>0.13</v>
      </c>
      <c r="E112" t="s">
        <v>719</v>
      </c>
      <c r="F112" s="38">
        <v>42207</v>
      </c>
      <c r="G112">
        <v>10.65</v>
      </c>
      <c r="H112">
        <v>0.01</v>
      </c>
      <c r="J112" s="38"/>
      <c r="V112" s="38"/>
      <c r="AF112" s="38" t="str">
        <f t="shared" si="15"/>
        <v/>
      </c>
      <c r="AG112" t="str">
        <f t="shared" si="16"/>
        <v/>
      </c>
      <c r="AH112" t="str">
        <f t="shared" si="17"/>
        <v/>
      </c>
      <c r="AI112" t="str">
        <f t="shared" si="18"/>
        <v/>
      </c>
      <c r="AJ112" t="str">
        <f t="shared" si="19"/>
        <v/>
      </c>
      <c r="AK112" t="str">
        <f t="shared" si="20"/>
        <v/>
      </c>
      <c r="AL112" t="str">
        <f t="shared" si="21"/>
        <v/>
      </c>
    </row>
    <row r="113" spans="1:38">
      <c r="A113" t="s">
        <v>723</v>
      </c>
      <c r="B113" s="38">
        <v>42207</v>
      </c>
      <c r="C113">
        <v>9.57</v>
      </c>
      <c r="D113">
        <v>0.13</v>
      </c>
      <c r="E113" t="s">
        <v>723</v>
      </c>
      <c r="F113" s="38">
        <v>42207</v>
      </c>
      <c r="G113">
        <v>8.2200000000000006</v>
      </c>
      <c r="H113">
        <v>-0.01</v>
      </c>
      <c r="J113" s="38"/>
      <c r="V113" s="38"/>
      <c r="AF113" s="38" t="str">
        <f t="shared" si="15"/>
        <v/>
      </c>
      <c r="AG113" t="str">
        <f t="shared" si="16"/>
        <v/>
      </c>
      <c r="AH113" t="str">
        <f t="shared" si="17"/>
        <v/>
      </c>
      <c r="AI113" t="str">
        <f t="shared" si="18"/>
        <v/>
      </c>
      <c r="AJ113" t="str">
        <f t="shared" si="19"/>
        <v/>
      </c>
      <c r="AK113" t="str">
        <f t="shared" si="20"/>
        <v/>
      </c>
      <c r="AL113" t="str">
        <f t="shared" si="21"/>
        <v/>
      </c>
    </row>
    <row r="114" spans="1:38">
      <c r="A114" t="s">
        <v>641</v>
      </c>
      <c r="B114" s="38">
        <v>42207</v>
      </c>
      <c r="C114">
        <v>9.1</v>
      </c>
      <c r="D114" t="s">
        <v>634</v>
      </c>
      <c r="E114" t="s">
        <v>641</v>
      </c>
      <c r="F114" s="38">
        <v>42207</v>
      </c>
      <c r="G114">
        <v>10.35</v>
      </c>
      <c r="H114">
        <v>0.21</v>
      </c>
      <c r="J114" s="38"/>
      <c r="V114" s="38"/>
      <c r="AF114" s="38" t="str">
        <f t="shared" si="15"/>
        <v/>
      </c>
      <c r="AG114" t="str">
        <f t="shared" si="16"/>
        <v/>
      </c>
      <c r="AH114" t="str">
        <f t="shared" si="17"/>
        <v/>
      </c>
      <c r="AI114" t="str">
        <f t="shared" si="18"/>
        <v/>
      </c>
      <c r="AJ114" t="str">
        <f t="shared" si="19"/>
        <v/>
      </c>
      <c r="AK114" t="str">
        <f t="shared" si="20"/>
        <v/>
      </c>
      <c r="AL114" t="str">
        <f t="shared" si="21"/>
        <v/>
      </c>
    </row>
    <row r="115" spans="1:38">
      <c r="A115" t="s">
        <v>717</v>
      </c>
      <c r="B115" s="38">
        <v>42207</v>
      </c>
      <c r="C115">
        <v>9.82</v>
      </c>
      <c r="D115">
        <v>0.5</v>
      </c>
      <c r="E115" t="s">
        <v>717</v>
      </c>
      <c r="F115" s="38">
        <v>42207</v>
      </c>
      <c r="G115">
        <v>9.6999999999999993</v>
      </c>
      <c r="H115" t="s">
        <v>634</v>
      </c>
      <c r="J115" s="38"/>
      <c r="V115" s="38"/>
      <c r="AF115" s="38" t="str">
        <f t="shared" si="15"/>
        <v/>
      </c>
      <c r="AG115" t="str">
        <f t="shared" si="16"/>
        <v/>
      </c>
      <c r="AH115" t="str">
        <f t="shared" si="17"/>
        <v/>
      </c>
      <c r="AI115" t="str">
        <f t="shared" si="18"/>
        <v/>
      </c>
      <c r="AJ115" t="str">
        <f t="shared" si="19"/>
        <v/>
      </c>
      <c r="AK115" t="str">
        <f t="shared" si="20"/>
        <v/>
      </c>
      <c r="AL115" t="str">
        <f t="shared" si="21"/>
        <v/>
      </c>
    </row>
    <row r="116" spans="1:38">
      <c r="A116" t="s">
        <v>641</v>
      </c>
      <c r="B116" s="38">
        <v>42207</v>
      </c>
      <c r="C116">
        <v>9.15</v>
      </c>
      <c r="D116">
        <v>0.04</v>
      </c>
      <c r="E116" t="s">
        <v>810</v>
      </c>
      <c r="F116" s="38">
        <v>42207</v>
      </c>
      <c r="G116">
        <v>8.4600000000000009</v>
      </c>
      <c r="H116">
        <v>0.53</v>
      </c>
      <c r="J116" s="38"/>
      <c r="V116" s="38"/>
      <c r="AF116" s="38" t="str">
        <f t="shared" si="15"/>
        <v/>
      </c>
      <c r="AG116" t="str">
        <f t="shared" si="16"/>
        <v/>
      </c>
      <c r="AH116" t="str">
        <f t="shared" si="17"/>
        <v/>
      </c>
      <c r="AI116" t="str">
        <f t="shared" si="18"/>
        <v/>
      </c>
      <c r="AJ116" t="str">
        <f t="shared" si="19"/>
        <v/>
      </c>
      <c r="AK116" t="str">
        <f t="shared" si="20"/>
        <v/>
      </c>
      <c r="AL116" t="str">
        <f t="shared" si="21"/>
        <v/>
      </c>
    </row>
    <row r="117" spans="1:38">
      <c r="A117" t="s">
        <v>728</v>
      </c>
      <c r="B117" s="38">
        <v>42207</v>
      </c>
      <c r="C117">
        <v>9.17</v>
      </c>
      <c r="D117">
        <v>0</v>
      </c>
      <c r="E117" t="s">
        <v>641</v>
      </c>
      <c r="F117" s="38">
        <v>42207</v>
      </c>
      <c r="G117">
        <v>9.94</v>
      </c>
      <c r="H117">
        <v>-0.06</v>
      </c>
      <c r="J117" s="38"/>
      <c r="V117" s="38"/>
      <c r="AF117" s="38" t="str">
        <f t="shared" si="15"/>
        <v/>
      </c>
      <c r="AG117" t="str">
        <f t="shared" si="16"/>
        <v/>
      </c>
      <c r="AH117" t="str">
        <f t="shared" si="17"/>
        <v/>
      </c>
      <c r="AI117" t="str">
        <f t="shared" si="18"/>
        <v/>
      </c>
      <c r="AJ117" t="str">
        <f t="shared" si="19"/>
        <v/>
      </c>
      <c r="AK117" t="str">
        <f t="shared" si="20"/>
        <v/>
      </c>
      <c r="AL117" t="str">
        <f t="shared" si="21"/>
        <v/>
      </c>
    </row>
    <row r="118" spans="1:38">
      <c r="A118" t="s">
        <v>641</v>
      </c>
      <c r="B118" s="38">
        <v>42207</v>
      </c>
      <c r="C118">
        <v>9.11</v>
      </c>
      <c r="D118">
        <v>0.14000000000000001</v>
      </c>
      <c r="E118" t="s">
        <v>728</v>
      </c>
      <c r="F118" s="38">
        <v>42207</v>
      </c>
      <c r="G118">
        <v>10.01</v>
      </c>
      <c r="H118">
        <v>0</v>
      </c>
      <c r="J118" s="38"/>
      <c r="V118" s="38"/>
      <c r="AF118" s="38" t="str">
        <f t="shared" si="15"/>
        <v/>
      </c>
      <c r="AG118" t="str">
        <f t="shared" si="16"/>
        <v/>
      </c>
      <c r="AH118" t="str">
        <f t="shared" si="17"/>
        <v/>
      </c>
      <c r="AI118" t="str">
        <f t="shared" si="18"/>
        <v/>
      </c>
      <c r="AJ118" t="str">
        <f t="shared" si="19"/>
        <v/>
      </c>
      <c r="AK118" t="str">
        <f t="shared" si="20"/>
        <v/>
      </c>
      <c r="AL118" t="str">
        <f t="shared" si="21"/>
        <v/>
      </c>
    </row>
    <row r="119" spans="1:38">
      <c r="A119" t="s">
        <v>721</v>
      </c>
      <c r="B119" s="38">
        <v>42207</v>
      </c>
      <c r="C119">
        <v>9.3800000000000008</v>
      </c>
      <c r="D119">
        <v>-0.04</v>
      </c>
      <c r="E119" t="s">
        <v>641</v>
      </c>
      <c r="F119" s="38">
        <v>42207</v>
      </c>
      <c r="G119">
        <v>9.68</v>
      </c>
      <c r="H119">
        <v>-0.15</v>
      </c>
      <c r="J119" s="38"/>
      <c r="V119" s="38"/>
      <c r="AF119" s="38" t="str">
        <f t="shared" si="15"/>
        <v/>
      </c>
      <c r="AG119" t="str">
        <f t="shared" si="16"/>
        <v/>
      </c>
      <c r="AH119" t="str">
        <f t="shared" si="17"/>
        <v/>
      </c>
      <c r="AI119" t="str">
        <f t="shared" si="18"/>
        <v/>
      </c>
      <c r="AJ119" t="str">
        <f t="shared" si="19"/>
        <v/>
      </c>
      <c r="AK119" t="str">
        <f t="shared" si="20"/>
        <v/>
      </c>
      <c r="AL119" t="str">
        <f t="shared" si="21"/>
        <v/>
      </c>
    </row>
    <row r="120" spans="1:38">
      <c r="A120" t="s">
        <v>641</v>
      </c>
      <c r="B120" s="38">
        <v>42207</v>
      </c>
      <c r="C120">
        <v>9.15</v>
      </c>
      <c r="D120">
        <v>0.05</v>
      </c>
      <c r="E120" t="s">
        <v>721</v>
      </c>
      <c r="F120" s="38">
        <v>42207</v>
      </c>
      <c r="G120">
        <v>10.41</v>
      </c>
      <c r="H120">
        <v>-0.13</v>
      </c>
      <c r="J120" s="38"/>
      <c r="V120" s="38"/>
      <c r="AF120" s="38" t="str">
        <f t="shared" si="15"/>
        <v/>
      </c>
      <c r="AG120" t="str">
        <f t="shared" si="16"/>
        <v/>
      </c>
      <c r="AH120" t="str">
        <f t="shared" si="17"/>
        <v/>
      </c>
      <c r="AI120" t="str">
        <f t="shared" si="18"/>
        <v/>
      </c>
      <c r="AJ120" t="str">
        <f t="shared" si="19"/>
        <v/>
      </c>
      <c r="AK120" t="str">
        <f t="shared" si="20"/>
        <v/>
      </c>
      <c r="AL120" t="str">
        <f t="shared" si="21"/>
        <v/>
      </c>
    </row>
    <row r="121" spans="1:38">
      <c r="A121" t="s">
        <v>641</v>
      </c>
      <c r="B121" s="38">
        <v>42207</v>
      </c>
      <c r="C121">
        <v>9.14</v>
      </c>
      <c r="D121">
        <v>0.12</v>
      </c>
      <c r="E121" t="s">
        <v>641</v>
      </c>
      <c r="F121" s="38">
        <v>42207</v>
      </c>
      <c r="G121">
        <v>9.9700000000000006</v>
      </c>
      <c r="H121">
        <v>-0.23</v>
      </c>
      <c r="J121" s="38"/>
      <c r="V121" s="38"/>
      <c r="AF121" s="38" t="str">
        <f t="shared" si="15"/>
        <v/>
      </c>
      <c r="AG121" t="str">
        <f t="shared" si="16"/>
        <v/>
      </c>
      <c r="AH121" t="str">
        <f t="shared" si="17"/>
        <v/>
      </c>
      <c r="AI121" t="str">
        <f t="shared" si="18"/>
        <v/>
      </c>
      <c r="AJ121" t="str">
        <f t="shared" si="19"/>
        <v/>
      </c>
      <c r="AK121" t="str">
        <f t="shared" si="20"/>
        <v/>
      </c>
      <c r="AL121" t="str">
        <f t="shared" si="21"/>
        <v/>
      </c>
    </row>
    <row r="122" spans="1:38">
      <c r="A122" t="s">
        <v>641</v>
      </c>
      <c r="B122" s="38">
        <v>42207</v>
      </c>
      <c r="C122">
        <v>9.09</v>
      </c>
      <c r="D122">
        <v>-0.2</v>
      </c>
      <c r="E122" t="s">
        <v>641</v>
      </c>
      <c r="F122" s="38">
        <v>42207</v>
      </c>
      <c r="G122">
        <v>10.3</v>
      </c>
      <c r="H122">
        <v>7.0000000000000007E-2</v>
      </c>
      <c r="J122" s="38"/>
      <c r="V122" s="38"/>
      <c r="AF122" s="38" t="str">
        <f t="shared" si="15"/>
        <v/>
      </c>
      <c r="AG122" t="str">
        <f t="shared" si="16"/>
        <v/>
      </c>
      <c r="AH122" t="str">
        <f t="shared" si="17"/>
        <v/>
      </c>
      <c r="AI122" t="str">
        <f t="shared" si="18"/>
        <v/>
      </c>
      <c r="AJ122" t="str">
        <f t="shared" si="19"/>
        <v/>
      </c>
      <c r="AK122" t="str">
        <f t="shared" si="20"/>
        <v/>
      </c>
      <c r="AL122" t="str">
        <f t="shared" si="21"/>
        <v/>
      </c>
    </row>
    <row r="123" spans="1:38">
      <c r="A123" t="s">
        <v>686</v>
      </c>
      <c r="B123" s="38">
        <v>42207</v>
      </c>
      <c r="C123">
        <v>9.0500000000000007</v>
      </c>
      <c r="D123">
        <v>-0.11</v>
      </c>
      <c r="E123" t="s">
        <v>641</v>
      </c>
      <c r="F123" s="38">
        <v>42207</v>
      </c>
      <c r="G123">
        <v>9.6</v>
      </c>
      <c r="H123">
        <v>-0.15</v>
      </c>
      <c r="J123" s="38"/>
      <c r="V123" s="38"/>
      <c r="AF123" s="38" t="str">
        <f t="shared" si="15"/>
        <v/>
      </c>
      <c r="AG123" t="str">
        <f t="shared" si="16"/>
        <v/>
      </c>
      <c r="AH123" t="str">
        <f t="shared" si="17"/>
        <v/>
      </c>
      <c r="AI123" t="str">
        <f t="shared" si="18"/>
        <v/>
      </c>
      <c r="AJ123" t="str">
        <f t="shared" si="19"/>
        <v/>
      </c>
      <c r="AK123" t="str">
        <f t="shared" si="20"/>
        <v/>
      </c>
      <c r="AL123" t="str">
        <f t="shared" si="21"/>
        <v/>
      </c>
    </row>
    <row r="124" spans="1:38">
      <c r="A124" t="s">
        <v>730</v>
      </c>
      <c r="B124" s="38">
        <v>42206</v>
      </c>
      <c r="C124">
        <v>9.14</v>
      </c>
      <c r="D124">
        <v>-0.18</v>
      </c>
      <c r="E124" t="s">
        <v>686</v>
      </c>
      <c r="F124" s="38">
        <v>42207</v>
      </c>
      <c r="G124">
        <v>9.44</v>
      </c>
      <c r="H124">
        <v>-0.04</v>
      </c>
      <c r="J124" s="38"/>
      <c r="V124" s="38"/>
      <c r="AF124" s="38" t="str">
        <f t="shared" si="15"/>
        <v/>
      </c>
      <c r="AG124" t="str">
        <f t="shared" si="16"/>
        <v/>
      </c>
      <c r="AH124" t="str">
        <f t="shared" si="17"/>
        <v/>
      </c>
      <c r="AI124" t="str">
        <f t="shared" si="18"/>
        <v/>
      </c>
      <c r="AJ124" t="str">
        <f t="shared" si="19"/>
        <v/>
      </c>
      <c r="AK124" t="str">
        <f t="shared" si="20"/>
        <v/>
      </c>
      <c r="AL124" t="str">
        <f t="shared" si="21"/>
        <v/>
      </c>
    </row>
    <row r="125" spans="1:38">
      <c r="A125" t="s">
        <v>824</v>
      </c>
      <c r="B125" s="38">
        <v>42206</v>
      </c>
      <c r="C125">
        <v>9.15</v>
      </c>
      <c r="D125">
        <v>0.11</v>
      </c>
      <c r="E125" t="s">
        <v>730</v>
      </c>
      <c r="F125" s="38">
        <v>42206</v>
      </c>
      <c r="G125">
        <v>10.29</v>
      </c>
      <c r="H125">
        <v>-0.37</v>
      </c>
      <c r="J125" s="38"/>
      <c r="V125" s="38"/>
      <c r="AF125" s="38" t="str">
        <f t="shared" si="15"/>
        <v/>
      </c>
      <c r="AG125" t="str">
        <f t="shared" si="16"/>
        <v/>
      </c>
      <c r="AH125" t="str">
        <f t="shared" si="17"/>
        <v/>
      </c>
      <c r="AI125" t="str">
        <f t="shared" si="18"/>
        <v/>
      </c>
      <c r="AJ125" t="str">
        <f t="shared" si="19"/>
        <v/>
      </c>
      <c r="AK125" t="str">
        <f t="shared" si="20"/>
        <v/>
      </c>
      <c r="AL125" t="str">
        <f t="shared" si="21"/>
        <v/>
      </c>
    </row>
    <row r="126" spans="1:38">
      <c r="A126" t="s">
        <v>738</v>
      </c>
      <c r="B126" s="38">
        <v>42206</v>
      </c>
      <c r="C126">
        <v>9.0399999999999991</v>
      </c>
      <c r="D126">
        <v>-0.04</v>
      </c>
      <c r="E126" t="s">
        <v>824</v>
      </c>
      <c r="F126" s="38">
        <v>42206</v>
      </c>
      <c r="G126">
        <v>10.050000000000001</v>
      </c>
      <c r="H126">
        <v>0.23</v>
      </c>
      <c r="J126" s="38"/>
      <c r="V126" s="38"/>
      <c r="AF126" s="38" t="str">
        <f t="shared" si="15"/>
        <v/>
      </c>
      <c r="AG126" t="str">
        <f t="shared" si="16"/>
        <v/>
      </c>
      <c r="AH126" t="str">
        <f t="shared" si="17"/>
        <v/>
      </c>
      <c r="AI126" t="str">
        <f t="shared" si="18"/>
        <v/>
      </c>
      <c r="AJ126" t="str">
        <f t="shared" si="19"/>
        <v/>
      </c>
      <c r="AK126" t="str">
        <f t="shared" si="20"/>
        <v/>
      </c>
      <c r="AL126" t="str">
        <f t="shared" si="21"/>
        <v/>
      </c>
    </row>
    <row r="127" spans="1:38">
      <c r="A127" t="s">
        <v>737</v>
      </c>
      <c r="B127" s="38">
        <v>42206</v>
      </c>
      <c r="C127">
        <v>9.1</v>
      </c>
      <c r="D127">
        <v>0</v>
      </c>
      <c r="E127" t="s">
        <v>738</v>
      </c>
      <c r="F127" s="38">
        <v>42206</v>
      </c>
      <c r="G127">
        <v>10</v>
      </c>
      <c r="H127">
        <v>0</v>
      </c>
      <c r="J127" s="38"/>
      <c r="V127" s="38"/>
      <c r="AF127" s="38" t="str">
        <f t="shared" si="15"/>
        <v/>
      </c>
      <c r="AG127" t="str">
        <f t="shared" si="16"/>
        <v/>
      </c>
      <c r="AH127" t="str">
        <f t="shared" si="17"/>
        <v/>
      </c>
      <c r="AI127" t="str">
        <f t="shared" si="18"/>
        <v/>
      </c>
      <c r="AJ127" t="str">
        <f t="shared" si="19"/>
        <v/>
      </c>
      <c r="AK127" t="str">
        <f t="shared" si="20"/>
        <v/>
      </c>
      <c r="AL127" t="str">
        <f t="shared" si="21"/>
        <v/>
      </c>
    </row>
    <row r="128" spans="1:38">
      <c r="A128" t="s">
        <v>731</v>
      </c>
      <c r="B128" s="38">
        <v>42206</v>
      </c>
      <c r="C128">
        <v>9.08</v>
      </c>
      <c r="D128">
        <v>0.2</v>
      </c>
      <c r="E128" t="s">
        <v>737</v>
      </c>
      <c r="F128" s="38">
        <v>42206</v>
      </c>
      <c r="G128">
        <v>9.6999999999999993</v>
      </c>
      <c r="H128">
        <v>0</v>
      </c>
      <c r="J128" s="38"/>
      <c r="V128" s="38"/>
      <c r="AF128" s="38" t="str">
        <f t="shared" si="15"/>
        <v/>
      </c>
      <c r="AG128" t="str">
        <f t="shared" si="16"/>
        <v/>
      </c>
      <c r="AH128" t="str">
        <f t="shared" si="17"/>
        <v/>
      </c>
      <c r="AI128" t="str">
        <f t="shared" si="18"/>
        <v/>
      </c>
      <c r="AJ128" t="str">
        <f t="shared" si="19"/>
        <v/>
      </c>
      <c r="AK128" t="str">
        <f t="shared" si="20"/>
        <v/>
      </c>
      <c r="AL128" t="str">
        <f t="shared" si="21"/>
        <v/>
      </c>
    </row>
    <row r="129" spans="1:38">
      <c r="A129" t="s">
        <v>641</v>
      </c>
      <c r="B129" s="38">
        <v>42201</v>
      </c>
      <c r="C129">
        <v>9.06</v>
      </c>
      <c r="D129">
        <v>0.31</v>
      </c>
      <c r="E129" t="s">
        <v>731</v>
      </c>
      <c r="F129" s="38">
        <v>42206</v>
      </c>
      <c r="G129">
        <v>9.25</v>
      </c>
      <c r="H129">
        <v>0.09</v>
      </c>
      <c r="J129" s="38"/>
      <c r="V129" s="38"/>
      <c r="AF129" s="38" t="str">
        <f t="shared" si="15"/>
        <v/>
      </c>
      <c r="AG129" t="str">
        <f t="shared" si="16"/>
        <v/>
      </c>
      <c r="AH129" t="str">
        <f t="shared" si="17"/>
        <v/>
      </c>
      <c r="AI129" t="str">
        <f t="shared" si="18"/>
        <v/>
      </c>
      <c r="AJ129" t="str">
        <f t="shared" si="19"/>
        <v/>
      </c>
      <c r="AK129" t="str">
        <f t="shared" si="20"/>
        <v/>
      </c>
      <c r="AL129" t="str">
        <f t="shared" si="21"/>
        <v/>
      </c>
    </row>
    <row r="130" spans="1:38">
      <c r="A130" t="s">
        <v>810</v>
      </c>
      <c r="B130" s="38">
        <v>42192</v>
      </c>
      <c r="C130">
        <v>9.15</v>
      </c>
      <c r="D130">
        <v>0.15</v>
      </c>
      <c r="E130" t="s">
        <v>641</v>
      </c>
      <c r="F130" s="38">
        <v>42201</v>
      </c>
      <c r="G130">
        <v>9.5</v>
      </c>
      <c r="H130">
        <v>0.35</v>
      </c>
      <c r="J130" s="38"/>
      <c r="V130" s="38"/>
      <c r="AF130" s="38" t="str">
        <f t="shared" si="15"/>
        <v/>
      </c>
      <c r="AG130" t="str">
        <f t="shared" si="16"/>
        <v/>
      </c>
      <c r="AH130" t="str">
        <f t="shared" si="17"/>
        <v/>
      </c>
      <c r="AI130" t="str">
        <f t="shared" si="18"/>
        <v/>
      </c>
      <c r="AJ130" t="str">
        <f t="shared" si="19"/>
        <v/>
      </c>
      <c r="AK130" t="str">
        <f t="shared" si="20"/>
        <v/>
      </c>
      <c r="AL130" t="str">
        <f t="shared" si="21"/>
        <v/>
      </c>
    </row>
    <row r="131" spans="1:38">
      <c r="A131" t="s">
        <v>673</v>
      </c>
      <c r="B131" s="38">
        <v>42172</v>
      </c>
      <c r="C131">
        <v>9.1999999999999993</v>
      </c>
      <c r="D131">
        <v>0.22</v>
      </c>
      <c r="E131" t="s">
        <v>673</v>
      </c>
      <c r="F131" s="38">
        <v>42172</v>
      </c>
      <c r="G131">
        <v>10</v>
      </c>
      <c r="H131">
        <v>0</v>
      </c>
      <c r="V131" s="38"/>
      <c r="AF131" s="38" t="str">
        <f t="shared" si="15"/>
        <v/>
      </c>
      <c r="AG131" t="str">
        <f t="shared" si="16"/>
        <v/>
      </c>
      <c r="AH131" t="str">
        <f t="shared" si="17"/>
        <v/>
      </c>
      <c r="AI131" t="str">
        <f t="shared" si="18"/>
        <v/>
      </c>
      <c r="AJ131" t="str">
        <f t="shared" si="19"/>
        <v/>
      </c>
      <c r="AK131" t="str">
        <f t="shared" si="20"/>
        <v/>
      </c>
      <c r="AL131" t="str">
        <f t="shared" si="21"/>
        <v/>
      </c>
    </row>
    <row r="132" spans="1:38">
      <c r="A132" t="s">
        <v>733</v>
      </c>
      <c r="B132" s="38">
        <v>42040</v>
      </c>
      <c r="C132">
        <v>9</v>
      </c>
      <c r="D132">
        <v>0</v>
      </c>
      <c r="E132" t="s">
        <v>733</v>
      </c>
      <c r="F132" s="38">
        <v>42040</v>
      </c>
      <c r="G132">
        <v>9.6999999999999993</v>
      </c>
      <c r="H132">
        <v>0.1</v>
      </c>
      <c r="V132" s="38"/>
      <c r="AF132" s="38" t="str">
        <f t="shared" ref="AF132:AF195" si="24">IF($V132="", "", $V132)</f>
        <v/>
      </c>
      <c r="AG132" t="str">
        <f t="shared" ref="AG132:AG195" si="25">IF($X132&lt;0, "NA", IF(ISERROR($W132/$X132), "", $W132/$X132))</f>
        <v/>
      </c>
      <c r="AH132" t="str">
        <f t="shared" ref="AH132:AH195" si="26">IF($Y132&lt;0, "NA", IF(ISERROR($W132/$Y132), "", $W132/$Y132))</f>
        <v/>
      </c>
      <c r="AI132" t="str">
        <f t="shared" ref="AI132:AI195" si="27">IF($Z132&lt;0, "NA", IF(ISERROR($W132/$Z132), "", $W132/$Z132))</f>
        <v/>
      </c>
      <c r="AJ132" t="str">
        <f t="shared" ref="AJ132:AJ195" si="28">IF($AB132&lt;0, "NA", IF(ISERROR($AA132/$AB132), "", $AA132/$AB132))</f>
        <v/>
      </c>
      <c r="AK132" t="str">
        <f t="shared" ref="AK132:AK195" si="29">IF($AC132&lt;0, "NA", IF(ISERROR($AA132/$AC132), "", $AA132/$AC132))</f>
        <v/>
      </c>
      <c r="AL132" t="str">
        <f t="shared" ref="AL132:AL195" si="30">IF($AD132&lt;0, "NA", IF(ISERROR($AA132/$AD132), "", $AA132/$AD132))</f>
        <v/>
      </c>
    </row>
    <row r="133" spans="1:38">
      <c r="A133" t="s">
        <v>739</v>
      </c>
      <c r="B133" s="38">
        <v>41843</v>
      </c>
      <c r="C133">
        <v>8.56</v>
      </c>
      <c r="D133">
        <v>0.88</v>
      </c>
      <c r="F133" s="38"/>
      <c r="G133">
        <v>9.2799999999999994</v>
      </c>
      <c r="H133">
        <v>0.78</v>
      </c>
      <c r="V133" s="38"/>
      <c r="AF133" s="38" t="str">
        <f t="shared" si="24"/>
        <v/>
      </c>
      <c r="AG133" t="str">
        <f t="shared" si="25"/>
        <v/>
      </c>
      <c r="AH133" t="str">
        <f t="shared" si="26"/>
        <v/>
      </c>
      <c r="AI133" t="str">
        <f t="shared" si="27"/>
        <v/>
      </c>
      <c r="AJ133" t="str">
        <f t="shared" si="28"/>
        <v/>
      </c>
      <c r="AK133" t="str">
        <f t="shared" si="29"/>
        <v/>
      </c>
      <c r="AL133" t="str">
        <f t="shared" si="30"/>
        <v/>
      </c>
    </row>
    <row r="134" spans="1:38">
      <c r="B134" s="38"/>
      <c r="C134">
        <v>7.09</v>
      </c>
      <c r="D134">
        <v>0.02</v>
      </c>
      <c r="F134" s="38"/>
      <c r="V134" s="38"/>
      <c r="AF134" s="38" t="str">
        <f t="shared" si="24"/>
        <v/>
      </c>
      <c r="AG134" t="str">
        <f t="shared" si="25"/>
        <v/>
      </c>
      <c r="AH134" t="str">
        <f t="shared" si="26"/>
        <v/>
      </c>
      <c r="AI134" t="str">
        <f t="shared" si="27"/>
        <v/>
      </c>
      <c r="AJ134" t="str">
        <f t="shared" si="28"/>
        <v/>
      </c>
      <c r="AK134" t="str">
        <f t="shared" si="29"/>
        <v/>
      </c>
      <c r="AL134" t="str">
        <f t="shared" si="30"/>
        <v/>
      </c>
    </row>
    <row r="135" spans="1:38">
      <c r="B135" s="38"/>
      <c r="F135" s="38"/>
      <c r="V135" s="38"/>
      <c r="AF135" s="38" t="str">
        <f t="shared" si="24"/>
        <v/>
      </c>
      <c r="AG135" t="str">
        <f t="shared" si="25"/>
        <v/>
      </c>
      <c r="AH135" t="str">
        <f t="shared" si="26"/>
        <v/>
      </c>
      <c r="AI135" t="str">
        <f t="shared" si="27"/>
        <v/>
      </c>
      <c r="AJ135" t="str">
        <f t="shared" si="28"/>
        <v/>
      </c>
      <c r="AK135" t="str">
        <f t="shared" si="29"/>
        <v/>
      </c>
      <c r="AL135" t="str">
        <f t="shared" si="30"/>
        <v/>
      </c>
    </row>
    <row r="136" spans="1:38">
      <c r="B136" s="38"/>
      <c r="F136" s="38"/>
      <c r="V136" s="38"/>
      <c r="AF136" s="38" t="str">
        <f t="shared" si="24"/>
        <v/>
      </c>
      <c r="AG136" t="str">
        <f t="shared" si="25"/>
        <v/>
      </c>
      <c r="AH136" t="str">
        <f t="shared" si="26"/>
        <v/>
      </c>
      <c r="AI136" t="str">
        <f t="shared" si="27"/>
        <v/>
      </c>
      <c r="AJ136" t="str">
        <f t="shared" si="28"/>
        <v/>
      </c>
      <c r="AK136" t="str">
        <f t="shared" si="29"/>
        <v/>
      </c>
      <c r="AL136" t="str">
        <f t="shared" si="30"/>
        <v/>
      </c>
    </row>
    <row r="137" spans="1:38">
      <c r="B137" s="38"/>
      <c r="F137" s="38"/>
      <c r="V137" s="38"/>
      <c r="AF137" s="38" t="str">
        <f t="shared" si="24"/>
        <v/>
      </c>
      <c r="AG137" t="str">
        <f t="shared" si="25"/>
        <v/>
      </c>
      <c r="AH137" t="str">
        <f t="shared" si="26"/>
        <v/>
      </c>
      <c r="AI137" t="str">
        <f t="shared" si="27"/>
        <v/>
      </c>
      <c r="AJ137" t="str">
        <f t="shared" si="28"/>
        <v/>
      </c>
      <c r="AK137" t="str">
        <f t="shared" si="29"/>
        <v/>
      </c>
      <c r="AL137" t="str">
        <f t="shared" si="30"/>
        <v/>
      </c>
    </row>
    <row r="138" spans="1:38">
      <c r="B138" s="38"/>
      <c r="F138" s="38"/>
      <c r="V138" s="38"/>
      <c r="AF138" s="38" t="str">
        <f t="shared" si="24"/>
        <v/>
      </c>
      <c r="AG138" t="str">
        <f t="shared" si="25"/>
        <v/>
      </c>
      <c r="AH138" t="str">
        <f t="shared" si="26"/>
        <v/>
      </c>
      <c r="AI138" t="str">
        <f t="shared" si="27"/>
        <v/>
      </c>
      <c r="AJ138" t="str">
        <f t="shared" si="28"/>
        <v/>
      </c>
      <c r="AK138" t="str">
        <f t="shared" si="29"/>
        <v/>
      </c>
      <c r="AL138" t="str">
        <f t="shared" si="30"/>
        <v/>
      </c>
    </row>
    <row r="139" spans="1:38">
      <c r="B139" s="38"/>
      <c r="F139" s="38"/>
      <c r="V139" s="38"/>
      <c r="AF139" s="38" t="str">
        <f t="shared" si="24"/>
        <v/>
      </c>
      <c r="AG139" t="str">
        <f t="shared" si="25"/>
        <v/>
      </c>
      <c r="AH139" t="str">
        <f t="shared" si="26"/>
        <v/>
      </c>
      <c r="AI139" t="str">
        <f t="shared" si="27"/>
        <v/>
      </c>
      <c r="AJ139" t="str">
        <f t="shared" si="28"/>
        <v/>
      </c>
      <c r="AK139" t="str">
        <f t="shared" si="29"/>
        <v/>
      </c>
      <c r="AL139" t="str">
        <f t="shared" si="30"/>
        <v/>
      </c>
    </row>
    <row r="140" spans="1:38">
      <c r="B140" s="38"/>
      <c r="F140" s="38"/>
      <c r="V140" s="38"/>
      <c r="AF140" s="38" t="str">
        <f t="shared" si="24"/>
        <v/>
      </c>
      <c r="AG140" t="str">
        <f t="shared" si="25"/>
        <v/>
      </c>
      <c r="AH140" t="str">
        <f t="shared" si="26"/>
        <v/>
      </c>
      <c r="AI140" t="str">
        <f t="shared" si="27"/>
        <v/>
      </c>
      <c r="AJ140" t="str">
        <f t="shared" si="28"/>
        <v/>
      </c>
      <c r="AK140" t="str">
        <f t="shared" si="29"/>
        <v/>
      </c>
      <c r="AL140" t="str">
        <f t="shared" si="30"/>
        <v/>
      </c>
    </row>
    <row r="141" spans="1:38">
      <c r="B141" s="38"/>
      <c r="F141" s="38"/>
      <c r="V141" s="38"/>
      <c r="AF141" s="38" t="str">
        <f t="shared" si="24"/>
        <v/>
      </c>
      <c r="AG141" t="str">
        <f t="shared" si="25"/>
        <v/>
      </c>
      <c r="AH141" t="str">
        <f t="shared" si="26"/>
        <v/>
      </c>
      <c r="AI141" t="str">
        <f t="shared" si="27"/>
        <v/>
      </c>
      <c r="AJ141" t="str">
        <f t="shared" si="28"/>
        <v/>
      </c>
      <c r="AK141" t="str">
        <f t="shared" si="29"/>
        <v/>
      </c>
      <c r="AL141" t="str">
        <f t="shared" si="30"/>
        <v/>
      </c>
    </row>
    <row r="142" spans="1:38">
      <c r="B142" s="38"/>
      <c r="F142" s="38"/>
      <c r="V142" s="38"/>
      <c r="AF142" s="38" t="str">
        <f t="shared" si="24"/>
        <v/>
      </c>
      <c r="AG142" t="str">
        <f t="shared" si="25"/>
        <v/>
      </c>
      <c r="AH142" t="str">
        <f t="shared" si="26"/>
        <v/>
      </c>
      <c r="AI142" t="str">
        <f t="shared" si="27"/>
        <v/>
      </c>
      <c r="AJ142" t="str">
        <f t="shared" si="28"/>
        <v/>
      </c>
      <c r="AK142" t="str">
        <f t="shared" si="29"/>
        <v/>
      </c>
      <c r="AL142" t="str">
        <f t="shared" si="30"/>
        <v/>
      </c>
    </row>
    <row r="143" spans="1:38">
      <c r="B143" s="38"/>
      <c r="F143" s="38"/>
      <c r="V143" s="38"/>
      <c r="AF143" s="38" t="str">
        <f t="shared" si="24"/>
        <v/>
      </c>
      <c r="AG143" t="str">
        <f t="shared" si="25"/>
        <v/>
      </c>
      <c r="AH143" t="str">
        <f t="shared" si="26"/>
        <v/>
      </c>
      <c r="AI143" t="str">
        <f t="shared" si="27"/>
        <v/>
      </c>
      <c r="AJ143" t="str">
        <f t="shared" si="28"/>
        <v/>
      </c>
      <c r="AK143" t="str">
        <f t="shared" si="29"/>
        <v/>
      </c>
      <c r="AL143" t="str">
        <f t="shared" si="30"/>
        <v/>
      </c>
    </row>
    <row r="144" spans="1:38">
      <c r="B144" s="38"/>
      <c r="F144" s="38"/>
      <c r="V144" s="38"/>
      <c r="AF144" s="38" t="str">
        <f t="shared" si="24"/>
        <v/>
      </c>
      <c r="AG144" t="str">
        <f t="shared" si="25"/>
        <v/>
      </c>
      <c r="AH144" t="str">
        <f t="shared" si="26"/>
        <v/>
      </c>
      <c r="AI144" t="str">
        <f t="shared" si="27"/>
        <v/>
      </c>
      <c r="AJ144" t="str">
        <f t="shared" si="28"/>
        <v/>
      </c>
      <c r="AK144" t="str">
        <f t="shared" si="29"/>
        <v/>
      </c>
      <c r="AL144" t="str">
        <f t="shared" si="30"/>
        <v/>
      </c>
    </row>
    <row r="145" spans="2:38">
      <c r="B145" s="38"/>
      <c r="F145" s="38"/>
      <c r="V145" s="38"/>
      <c r="AF145" s="38" t="str">
        <f t="shared" si="24"/>
        <v/>
      </c>
      <c r="AG145" t="str">
        <f t="shared" si="25"/>
        <v/>
      </c>
      <c r="AH145" t="str">
        <f t="shared" si="26"/>
        <v/>
      </c>
      <c r="AI145" t="str">
        <f t="shared" si="27"/>
        <v/>
      </c>
      <c r="AJ145" t="str">
        <f t="shared" si="28"/>
        <v/>
      </c>
      <c r="AK145" t="str">
        <f t="shared" si="29"/>
        <v/>
      </c>
      <c r="AL145" t="str">
        <f t="shared" si="30"/>
        <v/>
      </c>
    </row>
    <row r="146" spans="2:38">
      <c r="B146" s="38"/>
      <c r="F146" s="38"/>
      <c r="V146" s="38"/>
      <c r="AF146" s="38" t="str">
        <f t="shared" si="24"/>
        <v/>
      </c>
      <c r="AG146" t="str">
        <f t="shared" si="25"/>
        <v/>
      </c>
      <c r="AH146" t="str">
        <f t="shared" si="26"/>
        <v/>
      </c>
      <c r="AI146" t="str">
        <f t="shared" si="27"/>
        <v/>
      </c>
      <c r="AJ146" t="str">
        <f t="shared" si="28"/>
        <v/>
      </c>
      <c r="AK146" t="str">
        <f t="shared" si="29"/>
        <v/>
      </c>
      <c r="AL146" t="str">
        <f t="shared" si="30"/>
        <v/>
      </c>
    </row>
    <row r="147" spans="2:38">
      <c r="B147" s="38"/>
      <c r="F147" s="38"/>
      <c r="V147" s="38"/>
      <c r="AF147" s="38" t="str">
        <f t="shared" si="24"/>
        <v/>
      </c>
      <c r="AG147" t="str">
        <f t="shared" si="25"/>
        <v/>
      </c>
      <c r="AH147" t="str">
        <f t="shared" si="26"/>
        <v/>
      </c>
      <c r="AI147" t="str">
        <f t="shared" si="27"/>
        <v/>
      </c>
      <c r="AJ147" t="str">
        <f t="shared" si="28"/>
        <v/>
      </c>
      <c r="AK147" t="str">
        <f t="shared" si="29"/>
        <v/>
      </c>
      <c r="AL147" t="str">
        <f t="shared" si="30"/>
        <v/>
      </c>
    </row>
    <row r="148" spans="2:38">
      <c r="B148" s="38"/>
      <c r="F148" s="38"/>
      <c r="V148" s="38"/>
      <c r="AF148" s="38" t="str">
        <f t="shared" si="24"/>
        <v/>
      </c>
      <c r="AG148" t="str">
        <f t="shared" si="25"/>
        <v/>
      </c>
      <c r="AH148" t="str">
        <f t="shared" si="26"/>
        <v/>
      </c>
      <c r="AI148" t="str">
        <f t="shared" si="27"/>
        <v/>
      </c>
      <c r="AJ148" t="str">
        <f t="shared" si="28"/>
        <v/>
      </c>
      <c r="AK148" t="str">
        <f t="shared" si="29"/>
        <v/>
      </c>
      <c r="AL148" t="str">
        <f t="shared" si="30"/>
        <v/>
      </c>
    </row>
    <row r="149" spans="2:38">
      <c r="B149" s="38"/>
      <c r="F149" s="38"/>
      <c r="V149" s="38"/>
      <c r="AF149" s="38" t="str">
        <f t="shared" si="24"/>
        <v/>
      </c>
      <c r="AG149" t="str">
        <f t="shared" si="25"/>
        <v/>
      </c>
      <c r="AH149" t="str">
        <f t="shared" si="26"/>
        <v/>
      </c>
      <c r="AI149" t="str">
        <f t="shared" si="27"/>
        <v/>
      </c>
      <c r="AJ149" t="str">
        <f t="shared" si="28"/>
        <v/>
      </c>
      <c r="AK149" t="str">
        <f t="shared" si="29"/>
        <v/>
      </c>
      <c r="AL149" t="str">
        <f t="shared" si="30"/>
        <v/>
      </c>
    </row>
    <row r="150" spans="2:38">
      <c r="B150" s="38"/>
      <c r="F150" s="38"/>
      <c r="V150" s="38"/>
      <c r="AF150" s="38" t="str">
        <f t="shared" si="24"/>
        <v/>
      </c>
      <c r="AG150" t="str">
        <f t="shared" si="25"/>
        <v/>
      </c>
      <c r="AH150" t="str">
        <f t="shared" si="26"/>
        <v/>
      </c>
      <c r="AI150" t="str">
        <f t="shared" si="27"/>
        <v/>
      </c>
      <c r="AJ150" t="str">
        <f t="shared" si="28"/>
        <v/>
      </c>
      <c r="AK150" t="str">
        <f t="shared" si="29"/>
        <v/>
      </c>
      <c r="AL150" t="str">
        <f t="shared" si="30"/>
        <v/>
      </c>
    </row>
    <row r="151" spans="2:38">
      <c r="B151" s="38"/>
      <c r="F151" s="38"/>
      <c r="V151" s="38"/>
      <c r="AF151" s="38" t="str">
        <f t="shared" si="24"/>
        <v/>
      </c>
      <c r="AG151" t="str">
        <f t="shared" si="25"/>
        <v/>
      </c>
      <c r="AH151" t="str">
        <f t="shared" si="26"/>
        <v/>
      </c>
      <c r="AI151" t="str">
        <f t="shared" si="27"/>
        <v/>
      </c>
      <c r="AJ151" t="str">
        <f t="shared" si="28"/>
        <v/>
      </c>
      <c r="AK151" t="str">
        <f t="shared" si="29"/>
        <v/>
      </c>
      <c r="AL151" t="str">
        <f t="shared" si="30"/>
        <v/>
      </c>
    </row>
    <row r="152" spans="2:38">
      <c r="B152" s="38"/>
      <c r="F152" s="38"/>
      <c r="V152" s="38"/>
      <c r="AF152" s="38" t="str">
        <f t="shared" si="24"/>
        <v/>
      </c>
      <c r="AG152" t="str">
        <f t="shared" si="25"/>
        <v/>
      </c>
      <c r="AH152" t="str">
        <f t="shared" si="26"/>
        <v/>
      </c>
      <c r="AI152" t="str">
        <f t="shared" si="27"/>
        <v/>
      </c>
      <c r="AJ152" t="str">
        <f t="shared" si="28"/>
        <v/>
      </c>
      <c r="AK152" t="str">
        <f t="shared" si="29"/>
        <v/>
      </c>
      <c r="AL152" t="str">
        <f t="shared" si="30"/>
        <v/>
      </c>
    </row>
    <row r="153" spans="2:38">
      <c r="B153" s="38"/>
      <c r="V153" s="38"/>
      <c r="AF153" s="38" t="str">
        <f t="shared" si="24"/>
        <v/>
      </c>
      <c r="AG153" t="str">
        <f t="shared" si="25"/>
        <v/>
      </c>
      <c r="AH153" t="str">
        <f t="shared" si="26"/>
        <v/>
      </c>
      <c r="AI153" t="str">
        <f t="shared" si="27"/>
        <v/>
      </c>
      <c r="AJ153" t="str">
        <f t="shared" si="28"/>
        <v/>
      </c>
      <c r="AK153" t="str">
        <f t="shared" si="29"/>
        <v/>
      </c>
      <c r="AL153" t="str">
        <f t="shared" si="30"/>
        <v/>
      </c>
    </row>
    <row r="154" spans="2:38">
      <c r="B154" s="38"/>
      <c r="V154" s="38"/>
      <c r="AF154" s="38" t="str">
        <f t="shared" si="24"/>
        <v/>
      </c>
      <c r="AG154" t="str">
        <f t="shared" si="25"/>
        <v/>
      </c>
      <c r="AH154" t="str">
        <f t="shared" si="26"/>
        <v/>
      </c>
      <c r="AI154" t="str">
        <f t="shared" si="27"/>
        <v/>
      </c>
      <c r="AJ154" t="str">
        <f t="shared" si="28"/>
        <v/>
      </c>
      <c r="AK154" t="str">
        <f t="shared" si="29"/>
        <v/>
      </c>
      <c r="AL154" t="str">
        <f t="shared" si="30"/>
        <v/>
      </c>
    </row>
    <row r="155" spans="2:38">
      <c r="B155" s="38"/>
      <c r="V155" s="38"/>
      <c r="AF155" s="38" t="str">
        <f t="shared" si="24"/>
        <v/>
      </c>
      <c r="AG155" t="str">
        <f t="shared" si="25"/>
        <v/>
      </c>
      <c r="AH155" t="str">
        <f t="shared" si="26"/>
        <v/>
      </c>
      <c r="AI155" t="str">
        <f t="shared" si="27"/>
        <v/>
      </c>
      <c r="AJ155" t="str">
        <f t="shared" si="28"/>
        <v/>
      </c>
      <c r="AK155" t="str">
        <f t="shared" si="29"/>
        <v/>
      </c>
      <c r="AL155" t="str">
        <f t="shared" si="30"/>
        <v/>
      </c>
    </row>
    <row r="156" spans="2:38">
      <c r="V156" s="38"/>
      <c r="AF156" s="38" t="str">
        <f t="shared" si="24"/>
        <v/>
      </c>
      <c r="AG156" t="str">
        <f t="shared" si="25"/>
        <v/>
      </c>
      <c r="AH156" t="str">
        <f t="shared" si="26"/>
        <v/>
      </c>
      <c r="AI156" t="str">
        <f t="shared" si="27"/>
        <v/>
      </c>
      <c r="AJ156" t="str">
        <f t="shared" si="28"/>
        <v/>
      </c>
      <c r="AK156" t="str">
        <f t="shared" si="29"/>
        <v/>
      </c>
      <c r="AL156" t="str">
        <f t="shared" si="30"/>
        <v/>
      </c>
    </row>
    <row r="157" spans="2:38">
      <c r="V157" s="38"/>
      <c r="AF157" s="38" t="str">
        <f t="shared" si="24"/>
        <v/>
      </c>
      <c r="AG157" t="str">
        <f t="shared" si="25"/>
        <v/>
      </c>
      <c r="AH157" t="str">
        <f t="shared" si="26"/>
        <v/>
      </c>
      <c r="AI157" t="str">
        <f t="shared" si="27"/>
        <v/>
      </c>
      <c r="AJ157" t="str">
        <f t="shared" si="28"/>
        <v/>
      </c>
      <c r="AK157" t="str">
        <f t="shared" si="29"/>
        <v/>
      </c>
      <c r="AL157" t="str">
        <f t="shared" si="30"/>
        <v/>
      </c>
    </row>
    <row r="158" spans="2:38">
      <c r="V158" s="38"/>
      <c r="AF158" s="38" t="str">
        <f t="shared" si="24"/>
        <v/>
      </c>
      <c r="AG158" t="str">
        <f t="shared" si="25"/>
        <v/>
      </c>
      <c r="AH158" t="str">
        <f t="shared" si="26"/>
        <v/>
      </c>
      <c r="AI158" t="str">
        <f t="shared" si="27"/>
        <v/>
      </c>
      <c r="AJ158" t="str">
        <f t="shared" si="28"/>
        <v/>
      </c>
      <c r="AK158" t="str">
        <f t="shared" si="29"/>
        <v/>
      </c>
      <c r="AL158" t="str">
        <f t="shared" si="30"/>
        <v/>
      </c>
    </row>
    <row r="159" spans="2:38">
      <c r="V159" s="38"/>
      <c r="AF159" s="38" t="str">
        <f t="shared" si="24"/>
        <v/>
      </c>
      <c r="AG159" t="str">
        <f t="shared" si="25"/>
        <v/>
      </c>
      <c r="AH159" t="str">
        <f t="shared" si="26"/>
        <v/>
      </c>
      <c r="AI159" t="str">
        <f t="shared" si="27"/>
        <v/>
      </c>
      <c r="AJ159" t="str">
        <f t="shared" si="28"/>
        <v/>
      </c>
      <c r="AK159" t="str">
        <f t="shared" si="29"/>
        <v/>
      </c>
      <c r="AL159" t="str">
        <f t="shared" si="30"/>
        <v/>
      </c>
    </row>
    <row r="160" spans="2:38">
      <c r="V160" s="38"/>
      <c r="AF160" s="38" t="str">
        <f t="shared" si="24"/>
        <v/>
      </c>
      <c r="AG160" t="str">
        <f t="shared" si="25"/>
        <v/>
      </c>
      <c r="AH160" t="str">
        <f t="shared" si="26"/>
        <v/>
      </c>
      <c r="AI160" t="str">
        <f t="shared" si="27"/>
        <v/>
      </c>
      <c r="AJ160" t="str">
        <f t="shared" si="28"/>
        <v/>
      </c>
      <c r="AK160" t="str">
        <f t="shared" si="29"/>
        <v/>
      </c>
      <c r="AL160" t="str">
        <f t="shared" si="30"/>
        <v/>
      </c>
    </row>
    <row r="161" spans="22:38">
      <c r="V161" s="38"/>
      <c r="AF161" s="38" t="str">
        <f t="shared" si="24"/>
        <v/>
      </c>
      <c r="AG161" t="str">
        <f t="shared" si="25"/>
        <v/>
      </c>
      <c r="AH161" t="str">
        <f t="shared" si="26"/>
        <v/>
      </c>
      <c r="AI161" t="str">
        <f t="shared" si="27"/>
        <v/>
      </c>
      <c r="AJ161" t="str">
        <f t="shared" si="28"/>
        <v/>
      </c>
      <c r="AK161" t="str">
        <f t="shared" si="29"/>
        <v/>
      </c>
      <c r="AL161" t="str">
        <f t="shared" si="30"/>
        <v/>
      </c>
    </row>
    <row r="162" spans="22:38">
      <c r="V162" s="38"/>
      <c r="AF162" s="38" t="str">
        <f t="shared" si="24"/>
        <v/>
      </c>
      <c r="AG162" t="str">
        <f t="shared" si="25"/>
        <v/>
      </c>
      <c r="AH162" t="str">
        <f t="shared" si="26"/>
        <v/>
      </c>
      <c r="AI162" t="str">
        <f t="shared" si="27"/>
        <v/>
      </c>
      <c r="AJ162" t="str">
        <f t="shared" si="28"/>
        <v/>
      </c>
      <c r="AK162" t="str">
        <f t="shared" si="29"/>
        <v/>
      </c>
      <c r="AL162" t="str">
        <f t="shared" si="30"/>
        <v/>
      </c>
    </row>
    <row r="163" spans="22:38">
      <c r="V163" s="38"/>
      <c r="AF163" s="38" t="str">
        <f t="shared" si="24"/>
        <v/>
      </c>
      <c r="AG163" t="str">
        <f t="shared" si="25"/>
        <v/>
      </c>
      <c r="AH163" t="str">
        <f t="shared" si="26"/>
        <v/>
      </c>
      <c r="AI163" t="str">
        <f t="shared" si="27"/>
        <v/>
      </c>
      <c r="AJ163" t="str">
        <f t="shared" si="28"/>
        <v/>
      </c>
      <c r="AK163" t="str">
        <f t="shared" si="29"/>
        <v/>
      </c>
      <c r="AL163" t="str">
        <f t="shared" si="30"/>
        <v/>
      </c>
    </row>
    <row r="164" spans="22:38">
      <c r="V164" s="38"/>
      <c r="AF164" s="38" t="str">
        <f t="shared" si="24"/>
        <v/>
      </c>
      <c r="AG164" t="str">
        <f t="shared" si="25"/>
        <v/>
      </c>
      <c r="AH164" t="str">
        <f t="shared" si="26"/>
        <v/>
      </c>
      <c r="AI164" t="str">
        <f t="shared" si="27"/>
        <v/>
      </c>
      <c r="AJ164" t="str">
        <f t="shared" si="28"/>
        <v/>
      </c>
      <c r="AK164" t="str">
        <f t="shared" si="29"/>
        <v/>
      </c>
      <c r="AL164" t="str">
        <f t="shared" si="30"/>
        <v/>
      </c>
    </row>
    <row r="165" spans="22:38">
      <c r="V165" s="38"/>
      <c r="AF165" s="38" t="str">
        <f t="shared" si="24"/>
        <v/>
      </c>
      <c r="AG165" t="str">
        <f t="shared" si="25"/>
        <v/>
      </c>
      <c r="AH165" t="str">
        <f t="shared" si="26"/>
        <v/>
      </c>
      <c r="AI165" t="str">
        <f t="shared" si="27"/>
        <v/>
      </c>
      <c r="AJ165" t="str">
        <f t="shared" si="28"/>
        <v/>
      </c>
      <c r="AK165" t="str">
        <f t="shared" si="29"/>
        <v/>
      </c>
      <c r="AL165" t="str">
        <f t="shared" si="30"/>
        <v/>
      </c>
    </row>
    <row r="166" spans="22:38">
      <c r="V166" s="38"/>
      <c r="AF166" s="38" t="str">
        <f t="shared" si="24"/>
        <v/>
      </c>
      <c r="AG166" t="str">
        <f t="shared" si="25"/>
        <v/>
      </c>
      <c r="AH166" t="str">
        <f t="shared" si="26"/>
        <v/>
      </c>
      <c r="AI166" t="str">
        <f t="shared" si="27"/>
        <v/>
      </c>
      <c r="AJ166" t="str">
        <f t="shared" si="28"/>
        <v/>
      </c>
      <c r="AK166" t="str">
        <f t="shared" si="29"/>
        <v/>
      </c>
      <c r="AL166" t="str">
        <f t="shared" si="30"/>
        <v/>
      </c>
    </row>
    <row r="167" spans="22:38">
      <c r="V167" s="38"/>
      <c r="AF167" s="38" t="str">
        <f t="shared" si="24"/>
        <v/>
      </c>
      <c r="AG167" t="str">
        <f t="shared" si="25"/>
        <v/>
      </c>
      <c r="AH167" t="str">
        <f t="shared" si="26"/>
        <v/>
      </c>
      <c r="AI167" t="str">
        <f t="shared" si="27"/>
        <v/>
      </c>
      <c r="AJ167" t="str">
        <f t="shared" si="28"/>
        <v/>
      </c>
      <c r="AK167" t="str">
        <f t="shared" si="29"/>
        <v/>
      </c>
      <c r="AL167" t="str">
        <f t="shared" si="30"/>
        <v/>
      </c>
    </row>
    <row r="168" spans="22:38">
      <c r="V168" s="38"/>
      <c r="AF168" s="38" t="str">
        <f t="shared" si="24"/>
        <v/>
      </c>
      <c r="AG168" t="str">
        <f t="shared" si="25"/>
        <v/>
      </c>
      <c r="AH168" t="str">
        <f t="shared" si="26"/>
        <v/>
      </c>
      <c r="AI168" t="str">
        <f t="shared" si="27"/>
        <v/>
      </c>
      <c r="AJ168" t="str">
        <f t="shared" si="28"/>
        <v/>
      </c>
      <c r="AK168" t="str">
        <f t="shared" si="29"/>
        <v/>
      </c>
      <c r="AL168" t="str">
        <f t="shared" si="30"/>
        <v/>
      </c>
    </row>
    <row r="169" spans="22:38">
      <c r="V169" s="38"/>
      <c r="AF169" s="38" t="str">
        <f t="shared" si="24"/>
        <v/>
      </c>
      <c r="AG169" t="str">
        <f t="shared" si="25"/>
        <v/>
      </c>
      <c r="AH169" t="str">
        <f t="shared" si="26"/>
        <v/>
      </c>
      <c r="AI169" t="str">
        <f t="shared" si="27"/>
        <v/>
      </c>
      <c r="AJ169" t="str">
        <f t="shared" si="28"/>
        <v/>
      </c>
      <c r="AK169" t="str">
        <f t="shared" si="29"/>
        <v/>
      </c>
      <c r="AL169" t="str">
        <f t="shared" si="30"/>
        <v/>
      </c>
    </row>
    <row r="170" spans="22:38">
      <c r="V170" s="38"/>
      <c r="AF170" s="38" t="str">
        <f t="shared" si="24"/>
        <v/>
      </c>
      <c r="AG170" t="str">
        <f t="shared" si="25"/>
        <v/>
      </c>
      <c r="AH170" t="str">
        <f t="shared" si="26"/>
        <v/>
      </c>
      <c r="AI170" t="str">
        <f t="shared" si="27"/>
        <v/>
      </c>
      <c r="AJ170" t="str">
        <f t="shared" si="28"/>
        <v/>
      </c>
      <c r="AK170" t="str">
        <f t="shared" si="29"/>
        <v/>
      </c>
      <c r="AL170" t="str">
        <f t="shared" si="30"/>
        <v/>
      </c>
    </row>
    <row r="171" spans="22:38">
      <c r="V171" s="38"/>
      <c r="AF171" s="38" t="str">
        <f t="shared" si="24"/>
        <v/>
      </c>
      <c r="AG171" t="str">
        <f t="shared" si="25"/>
        <v/>
      </c>
      <c r="AH171" t="str">
        <f t="shared" si="26"/>
        <v/>
      </c>
      <c r="AI171" t="str">
        <f t="shared" si="27"/>
        <v/>
      </c>
      <c r="AJ171" t="str">
        <f t="shared" si="28"/>
        <v/>
      </c>
      <c r="AK171" t="str">
        <f t="shared" si="29"/>
        <v/>
      </c>
      <c r="AL171" t="str">
        <f t="shared" si="30"/>
        <v/>
      </c>
    </row>
    <row r="172" spans="22:38">
      <c r="V172" s="38"/>
      <c r="AF172" s="38" t="str">
        <f t="shared" si="24"/>
        <v/>
      </c>
      <c r="AG172" t="str">
        <f t="shared" si="25"/>
        <v/>
      </c>
      <c r="AH172" t="str">
        <f t="shared" si="26"/>
        <v/>
      </c>
      <c r="AI172" t="str">
        <f t="shared" si="27"/>
        <v/>
      </c>
      <c r="AJ172" t="str">
        <f t="shared" si="28"/>
        <v/>
      </c>
      <c r="AK172" t="str">
        <f t="shared" si="29"/>
        <v/>
      </c>
      <c r="AL172" t="str">
        <f t="shared" si="30"/>
        <v/>
      </c>
    </row>
    <row r="173" spans="22:38">
      <c r="V173" s="38"/>
      <c r="AF173" s="38" t="str">
        <f t="shared" si="24"/>
        <v/>
      </c>
      <c r="AG173" t="str">
        <f t="shared" si="25"/>
        <v/>
      </c>
      <c r="AH173" t="str">
        <f t="shared" si="26"/>
        <v/>
      </c>
      <c r="AI173" t="str">
        <f t="shared" si="27"/>
        <v/>
      </c>
      <c r="AJ173" t="str">
        <f t="shared" si="28"/>
        <v/>
      </c>
      <c r="AK173" t="str">
        <f t="shared" si="29"/>
        <v/>
      </c>
      <c r="AL173" t="str">
        <f t="shared" si="30"/>
        <v/>
      </c>
    </row>
    <row r="174" spans="22:38">
      <c r="V174" s="38"/>
      <c r="AF174" s="38" t="str">
        <f t="shared" si="24"/>
        <v/>
      </c>
      <c r="AG174" t="str">
        <f t="shared" si="25"/>
        <v/>
      </c>
      <c r="AH174" t="str">
        <f t="shared" si="26"/>
        <v/>
      </c>
      <c r="AI174" t="str">
        <f t="shared" si="27"/>
        <v/>
      </c>
      <c r="AJ174" t="str">
        <f t="shared" si="28"/>
        <v/>
      </c>
      <c r="AK174" t="str">
        <f t="shared" si="29"/>
        <v/>
      </c>
      <c r="AL174" t="str">
        <f t="shared" si="30"/>
        <v/>
      </c>
    </row>
    <row r="175" spans="22:38">
      <c r="V175" s="38"/>
      <c r="AF175" s="38" t="str">
        <f t="shared" si="24"/>
        <v/>
      </c>
      <c r="AG175" t="str">
        <f t="shared" si="25"/>
        <v/>
      </c>
      <c r="AH175" t="str">
        <f t="shared" si="26"/>
        <v/>
      </c>
      <c r="AI175" t="str">
        <f t="shared" si="27"/>
        <v/>
      </c>
      <c r="AJ175" t="str">
        <f t="shared" si="28"/>
        <v/>
      </c>
      <c r="AK175" t="str">
        <f t="shared" si="29"/>
        <v/>
      </c>
      <c r="AL175" t="str">
        <f t="shared" si="30"/>
        <v/>
      </c>
    </row>
    <row r="176" spans="22:38">
      <c r="V176" s="38"/>
      <c r="AF176" s="38" t="str">
        <f t="shared" si="24"/>
        <v/>
      </c>
      <c r="AG176" t="str">
        <f t="shared" si="25"/>
        <v/>
      </c>
      <c r="AH176" t="str">
        <f t="shared" si="26"/>
        <v/>
      </c>
      <c r="AI176" t="str">
        <f t="shared" si="27"/>
        <v/>
      </c>
      <c r="AJ176" t="str">
        <f t="shared" si="28"/>
        <v/>
      </c>
      <c r="AK176" t="str">
        <f t="shared" si="29"/>
        <v/>
      </c>
      <c r="AL176" t="str">
        <f t="shared" si="30"/>
        <v/>
      </c>
    </row>
    <row r="177" spans="22:38">
      <c r="V177" s="38"/>
      <c r="AF177" s="38" t="str">
        <f t="shared" si="24"/>
        <v/>
      </c>
      <c r="AG177" t="str">
        <f t="shared" si="25"/>
        <v/>
      </c>
      <c r="AH177" t="str">
        <f t="shared" si="26"/>
        <v/>
      </c>
      <c r="AI177" t="str">
        <f t="shared" si="27"/>
        <v/>
      </c>
      <c r="AJ177" t="str">
        <f t="shared" si="28"/>
        <v/>
      </c>
      <c r="AK177" t="str">
        <f t="shared" si="29"/>
        <v/>
      </c>
      <c r="AL177" t="str">
        <f t="shared" si="30"/>
        <v/>
      </c>
    </row>
    <row r="178" spans="22:38">
      <c r="V178" s="38"/>
      <c r="AF178" s="38" t="str">
        <f t="shared" si="24"/>
        <v/>
      </c>
      <c r="AG178" t="str">
        <f t="shared" si="25"/>
        <v/>
      </c>
      <c r="AH178" t="str">
        <f t="shared" si="26"/>
        <v/>
      </c>
      <c r="AI178" t="str">
        <f t="shared" si="27"/>
        <v/>
      </c>
      <c r="AJ178" t="str">
        <f t="shared" si="28"/>
        <v/>
      </c>
      <c r="AK178" t="str">
        <f t="shared" si="29"/>
        <v/>
      </c>
      <c r="AL178" t="str">
        <f t="shared" si="30"/>
        <v/>
      </c>
    </row>
    <row r="179" spans="22:38">
      <c r="V179" s="38"/>
      <c r="AF179" s="38" t="str">
        <f t="shared" si="24"/>
        <v/>
      </c>
      <c r="AG179" t="str">
        <f t="shared" si="25"/>
        <v/>
      </c>
      <c r="AH179" t="str">
        <f t="shared" si="26"/>
        <v/>
      </c>
      <c r="AI179" t="str">
        <f t="shared" si="27"/>
        <v/>
      </c>
      <c r="AJ179" t="str">
        <f t="shared" si="28"/>
        <v/>
      </c>
      <c r="AK179" t="str">
        <f t="shared" si="29"/>
        <v/>
      </c>
      <c r="AL179" t="str">
        <f t="shared" si="30"/>
        <v/>
      </c>
    </row>
    <row r="180" spans="22:38">
      <c r="V180" s="38"/>
      <c r="AF180" s="38" t="str">
        <f t="shared" si="24"/>
        <v/>
      </c>
      <c r="AG180" t="str">
        <f t="shared" si="25"/>
        <v/>
      </c>
      <c r="AH180" t="str">
        <f t="shared" si="26"/>
        <v/>
      </c>
      <c r="AI180" t="str">
        <f t="shared" si="27"/>
        <v/>
      </c>
      <c r="AJ180" t="str">
        <f t="shared" si="28"/>
        <v/>
      </c>
      <c r="AK180" t="str">
        <f t="shared" si="29"/>
        <v/>
      </c>
      <c r="AL180" t="str">
        <f t="shared" si="30"/>
        <v/>
      </c>
    </row>
    <row r="181" spans="22:38">
      <c r="V181" s="38"/>
      <c r="AF181" s="38" t="str">
        <f t="shared" si="24"/>
        <v/>
      </c>
      <c r="AG181" t="str">
        <f t="shared" si="25"/>
        <v/>
      </c>
      <c r="AH181" t="str">
        <f t="shared" si="26"/>
        <v/>
      </c>
      <c r="AI181" t="str">
        <f t="shared" si="27"/>
        <v/>
      </c>
      <c r="AJ181" t="str">
        <f t="shared" si="28"/>
        <v/>
      </c>
      <c r="AK181" t="str">
        <f t="shared" si="29"/>
        <v/>
      </c>
      <c r="AL181" t="str">
        <f t="shared" si="30"/>
        <v/>
      </c>
    </row>
    <row r="182" spans="22:38">
      <c r="V182" s="38"/>
      <c r="AF182" s="38" t="str">
        <f t="shared" si="24"/>
        <v/>
      </c>
      <c r="AG182" t="str">
        <f t="shared" si="25"/>
        <v/>
      </c>
      <c r="AH182" t="str">
        <f t="shared" si="26"/>
        <v/>
      </c>
      <c r="AI182" t="str">
        <f t="shared" si="27"/>
        <v/>
      </c>
      <c r="AJ182" t="str">
        <f t="shared" si="28"/>
        <v/>
      </c>
      <c r="AK182" t="str">
        <f t="shared" si="29"/>
        <v/>
      </c>
      <c r="AL182" t="str">
        <f t="shared" si="30"/>
        <v/>
      </c>
    </row>
    <row r="183" spans="22:38">
      <c r="V183" s="38"/>
      <c r="AF183" s="38" t="str">
        <f t="shared" si="24"/>
        <v/>
      </c>
      <c r="AG183" t="str">
        <f t="shared" si="25"/>
        <v/>
      </c>
      <c r="AH183" t="str">
        <f t="shared" si="26"/>
        <v/>
      </c>
      <c r="AI183" t="str">
        <f t="shared" si="27"/>
        <v/>
      </c>
      <c r="AJ183" t="str">
        <f t="shared" si="28"/>
        <v/>
      </c>
      <c r="AK183" t="str">
        <f t="shared" si="29"/>
        <v/>
      </c>
      <c r="AL183" t="str">
        <f t="shared" si="30"/>
        <v/>
      </c>
    </row>
    <row r="184" spans="22:38">
      <c r="V184" s="38"/>
      <c r="AF184" s="38" t="str">
        <f t="shared" si="24"/>
        <v/>
      </c>
      <c r="AG184" t="str">
        <f t="shared" si="25"/>
        <v/>
      </c>
      <c r="AH184" t="str">
        <f t="shared" si="26"/>
        <v/>
      </c>
      <c r="AI184" t="str">
        <f t="shared" si="27"/>
        <v/>
      </c>
      <c r="AJ184" t="str">
        <f t="shared" si="28"/>
        <v/>
      </c>
      <c r="AK184" t="str">
        <f t="shared" si="29"/>
        <v/>
      </c>
      <c r="AL184" t="str">
        <f t="shared" si="30"/>
        <v/>
      </c>
    </row>
    <row r="185" spans="22:38">
      <c r="V185" s="38"/>
      <c r="AF185" s="38" t="str">
        <f t="shared" si="24"/>
        <v/>
      </c>
      <c r="AG185" t="str">
        <f t="shared" si="25"/>
        <v/>
      </c>
      <c r="AH185" t="str">
        <f t="shared" si="26"/>
        <v/>
      </c>
      <c r="AI185" t="str">
        <f t="shared" si="27"/>
        <v/>
      </c>
      <c r="AJ185" t="str">
        <f t="shared" si="28"/>
        <v/>
      </c>
      <c r="AK185" t="str">
        <f t="shared" si="29"/>
        <v/>
      </c>
      <c r="AL185" t="str">
        <f t="shared" si="30"/>
        <v/>
      </c>
    </row>
    <row r="186" spans="22:38">
      <c r="V186" s="38"/>
      <c r="AF186" s="38" t="str">
        <f t="shared" si="24"/>
        <v/>
      </c>
      <c r="AG186" t="str">
        <f t="shared" si="25"/>
        <v/>
      </c>
      <c r="AH186" t="str">
        <f t="shared" si="26"/>
        <v/>
      </c>
      <c r="AI186" t="str">
        <f t="shared" si="27"/>
        <v/>
      </c>
      <c r="AJ186" t="str">
        <f t="shared" si="28"/>
        <v/>
      </c>
      <c r="AK186" t="str">
        <f t="shared" si="29"/>
        <v/>
      </c>
      <c r="AL186" t="str">
        <f t="shared" si="30"/>
        <v/>
      </c>
    </row>
    <row r="187" spans="22:38">
      <c r="V187" s="38"/>
      <c r="AF187" s="38" t="str">
        <f t="shared" si="24"/>
        <v/>
      </c>
      <c r="AG187" t="str">
        <f t="shared" si="25"/>
        <v/>
      </c>
      <c r="AH187" t="str">
        <f t="shared" si="26"/>
        <v/>
      </c>
      <c r="AI187" t="str">
        <f t="shared" si="27"/>
        <v/>
      </c>
      <c r="AJ187" t="str">
        <f t="shared" si="28"/>
        <v/>
      </c>
      <c r="AK187" t="str">
        <f t="shared" si="29"/>
        <v/>
      </c>
      <c r="AL187" t="str">
        <f t="shared" si="30"/>
        <v/>
      </c>
    </row>
    <row r="188" spans="22:38">
      <c r="V188" s="38"/>
      <c r="AF188" s="38" t="str">
        <f t="shared" si="24"/>
        <v/>
      </c>
      <c r="AG188" t="str">
        <f t="shared" si="25"/>
        <v/>
      </c>
      <c r="AH188" t="str">
        <f t="shared" si="26"/>
        <v/>
      </c>
      <c r="AI188" t="str">
        <f t="shared" si="27"/>
        <v/>
      </c>
      <c r="AJ188" t="str">
        <f t="shared" si="28"/>
        <v/>
      </c>
      <c r="AK188" t="str">
        <f t="shared" si="29"/>
        <v/>
      </c>
      <c r="AL188" t="str">
        <f t="shared" si="30"/>
        <v/>
      </c>
    </row>
    <row r="189" spans="22:38">
      <c r="V189" s="38"/>
      <c r="AF189" s="38" t="str">
        <f t="shared" si="24"/>
        <v/>
      </c>
      <c r="AG189" t="str">
        <f t="shared" si="25"/>
        <v/>
      </c>
      <c r="AH189" t="str">
        <f t="shared" si="26"/>
        <v/>
      </c>
      <c r="AI189" t="str">
        <f t="shared" si="27"/>
        <v/>
      </c>
      <c r="AJ189" t="str">
        <f t="shared" si="28"/>
        <v/>
      </c>
      <c r="AK189" t="str">
        <f t="shared" si="29"/>
        <v/>
      </c>
      <c r="AL189" t="str">
        <f t="shared" si="30"/>
        <v/>
      </c>
    </row>
    <row r="190" spans="22:38">
      <c r="V190" s="38"/>
      <c r="AF190" s="38" t="str">
        <f t="shared" si="24"/>
        <v/>
      </c>
      <c r="AG190" t="str">
        <f t="shared" si="25"/>
        <v/>
      </c>
      <c r="AH190" t="str">
        <f t="shared" si="26"/>
        <v/>
      </c>
      <c r="AI190" t="str">
        <f t="shared" si="27"/>
        <v/>
      </c>
      <c r="AJ190" t="str">
        <f t="shared" si="28"/>
        <v/>
      </c>
      <c r="AK190" t="str">
        <f t="shared" si="29"/>
        <v/>
      </c>
      <c r="AL190" t="str">
        <f t="shared" si="30"/>
        <v/>
      </c>
    </row>
    <row r="191" spans="22:38">
      <c r="V191" s="38"/>
      <c r="AF191" s="38" t="str">
        <f t="shared" si="24"/>
        <v/>
      </c>
      <c r="AG191" t="str">
        <f t="shared" si="25"/>
        <v/>
      </c>
      <c r="AH191" t="str">
        <f t="shared" si="26"/>
        <v/>
      </c>
      <c r="AI191" t="str">
        <f t="shared" si="27"/>
        <v/>
      </c>
      <c r="AJ191" t="str">
        <f t="shared" si="28"/>
        <v/>
      </c>
      <c r="AK191" t="str">
        <f t="shared" si="29"/>
        <v/>
      </c>
      <c r="AL191" t="str">
        <f t="shared" si="30"/>
        <v/>
      </c>
    </row>
    <row r="192" spans="22:38">
      <c r="V192" s="38"/>
      <c r="AF192" s="38" t="str">
        <f t="shared" si="24"/>
        <v/>
      </c>
      <c r="AG192" t="str">
        <f t="shared" si="25"/>
        <v/>
      </c>
      <c r="AH192" t="str">
        <f t="shared" si="26"/>
        <v/>
      </c>
      <c r="AI192" t="str">
        <f t="shared" si="27"/>
        <v/>
      </c>
      <c r="AJ192" t="str">
        <f t="shared" si="28"/>
        <v/>
      </c>
      <c r="AK192" t="str">
        <f t="shared" si="29"/>
        <v/>
      </c>
      <c r="AL192" t="str">
        <f t="shared" si="30"/>
        <v/>
      </c>
    </row>
    <row r="193" spans="22:38">
      <c r="V193" s="38"/>
      <c r="AF193" s="38" t="str">
        <f t="shared" si="24"/>
        <v/>
      </c>
      <c r="AG193" t="str">
        <f t="shared" si="25"/>
        <v/>
      </c>
      <c r="AH193" t="str">
        <f t="shared" si="26"/>
        <v/>
      </c>
      <c r="AI193" t="str">
        <f t="shared" si="27"/>
        <v/>
      </c>
      <c r="AJ193" t="str">
        <f t="shared" si="28"/>
        <v/>
      </c>
      <c r="AK193" t="str">
        <f t="shared" si="29"/>
        <v/>
      </c>
      <c r="AL193" t="str">
        <f t="shared" si="30"/>
        <v/>
      </c>
    </row>
    <row r="194" spans="22:38">
      <c r="V194" s="38"/>
      <c r="AF194" s="38" t="str">
        <f t="shared" si="24"/>
        <v/>
      </c>
      <c r="AG194" t="str">
        <f t="shared" si="25"/>
        <v/>
      </c>
      <c r="AH194" t="str">
        <f t="shared" si="26"/>
        <v/>
      </c>
      <c r="AI194" t="str">
        <f t="shared" si="27"/>
        <v/>
      </c>
      <c r="AJ194" t="str">
        <f t="shared" si="28"/>
        <v/>
      </c>
      <c r="AK194" t="str">
        <f t="shared" si="29"/>
        <v/>
      </c>
      <c r="AL194" t="str">
        <f t="shared" si="30"/>
        <v/>
      </c>
    </row>
    <row r="195" spans="22:38">
      <c r="V195" s="38"/>
      <c r="AF195" s="38" t="str">
        <f t="shared" si="24"/>
        <v/>
      </c>
      <c r="AG195" t="str">
        <f t="shared" si="25"/>
        <v/>
      </c>
      <c r="AH195" t="str">
        <f t="shared" si="26"/>
        <v/>
      </c>
      <c r="AI195" t="str">
        <f t="shared" si="27"/>
        <v/>
      </c>
      <c r="AJ195" t="str">
        <f t="shared" si="28"/>
        <v/>
      </c>
      <c r="AK195" t="str">
        <f t="shared" si="29"/>
        <v/>
      </c>
      <c r="AL195" t="str">
        <f t="shared" si="30"/>
        <v/>
      </c>
    </row>
    <row r="196" spans="22:38">
      <c r="V196" s="38"/>
      <c r="AF196" s="38" t="str">
        <f t="shared" ref="AF196:AF259" si="31">IF($V196="", "", $V196)</f>
        <v/>
      </c>
      <c r="AG196" t="str">
        <f t="shared" ref="AG196:AG259" si="32">IF($X196&lt;0, "NA", IF(ISERROR($W196/$X196), "", $W196/$X196))</f>
        <v/>
      </c>
      <c r="AH196" t="str">
        <f t="shared" ref="AH196:AH259" si="33">IF($Y196&lt;0, "NA", IF(ISERROR($W196/$Y196), "", $W196/$Y196))</f>
        <v/>
      </c>
      <c r="AI196" t="str">
        <f t="shared" ref="AI196:AI259" si="34">IF($Z196&lt;0, "NA", IF(ISERROR($W196/$Z196), "", $W196/$Z196))</f>
        <v/>
      </c>
      <c r="AJ196" t="str">
        <f t="shared" ref="AJ196:AJ259" si="35">IF($AB196&lt;0, "NA", IF(ISERROR($AA196/$AB196), "", $AA196/$AB196))</f>
        <v/>
      </c>
      <c r="AK196" t="str">
        <f t="shared" ref="AK196:AK259" si="36">IF($AC196&lt;0, "NA", IF(ISERROR($AA196/$AC196), "", $AA196/$AC196))</f>
        <v/>
      </c>
      <c r="AL196" t="str">
        <f t="shared" ref="AL196:AL259" si="37">IF($AD196&lt;0, "NA", IF(ISERROR($AA196/$AD196), "", $AA196/$AD196))</f>
        <v/>
      </c>
    </row>
    <row r="197" spans="22:38">
      <c r="V197" s="38"/>
      <c r="AF197" s="38" t="str">
        <f t="shared" si="31"/>
        <v/>
      </c>
      <c r="AG197" t="str">
        <f t="shared" si="32"/>
        <v/>
      </c>
      <c r="AH197" t="str">
        <f t="shared" si="33"/>
        <v/>
      </c>
      <c r="AI197" t="str">
        <f t="shared" si="34"/>
        <v/>
      </c>
      <c r="AJ197" t="str">
        <f t="shared" si="35"/>
        <v/>
      </c>
      <c r="AK197" t="str">
        <f t="shared" si="36"/>
        <v/>
      </c>
      <c r="AL197" t="str">
        <f t="shared" si="37"/>
        <v/>
      </c>
    </row>
    <row r="198" spans="22:38">
      <c r="V198" s="38"/>
      <c r="AF198" s="38" t="str">
        <f t="shared" si="31"/>
        <v/>
      </c>
      <c r="AG198" t="str">
        <f t="shared" si="32"/>
        <v/>
      </c>
      <c r="AH198" t="str">
        <f t="shared" si="33"/>
        <v/>
      </c>
      <c r="AI198" t="str">
        <f t="shared" si="34"/>
        <v/>
      </c>
      <c r="AJ198" t="str">
        <f t="shared" si="35"/>
        <v/>
      </c>
      <c r="AK198" t="str">
        <f t="shared" si="36"/>
        <v/>
      </c>
      <c r="AL198" t="str">
        <f t="shared" si="37"/>
        <v/>
      </c>
    </row>
    <row r="199" spans="22:38">
      <c r="V199" s="38"/>
      <c r="AF199" s="38" t="str">
        <f t="shared" si="31"/>
        <v/>
      </c>
      <c r="AG199" t="str">
        <f t="shared" si="32"/>
        <v/>
      </c>
      <c r="AH199" t="str">
        <f t="shared" si="33"/>
        <v/>
      </c>
      <c r="AI199" t="str">
        <f t="shared" si="34"/>
        <v/>
      </c>
      <c r="AJ199" t="str">
        <f t="shared" si="35"/>
        <v/>
      </c>
      <c r="AK199" t="str">
        <f t="shared" si="36"/>
        <v/>
      </c>
      <c r="AL199" t="str">
        <f t="shared" si="37"/>
        <v/>
      </c>
    </row>
    <row r="200" spans="22:38">
      <c r="V200" s="38"/>
      <c r="AF200" s="38" t="str">
        <f t="shared" si="31"/>
        <v/>
      </c>
      <c r="AG200" t="str">
        <f t="shared" si="32"/>
        <v/>
      </c>
      <c r="AH200" t="str">
        <f t="shared" si="33"/>
        <v/>
      </c>
      <c r="AI200" t="str">
        <f t="shared" si="34"/>
        <v/>
      </c>
      <c r="AJ200" t="str">
        <f t="shared" si="35"/>
        <v/>
      </c>
      <c r="AK200" t="str">
        <f t="shared" si="36"/>
        <v/>
      </c>
      <c r="AL200" t="str">
        <f t="shared" si="37"/>
        <v/>
      </c>
    </row>
    <row r="201" spans="22:38">
      <c r="V201" s="38"/>
      <c r="AF201" s="38" t="str">
        <f t="shared" si="31"/>
        <v/>
      </c>
      <c r="AG201" t="str">
        <f t="shared" si="32"/>
        <v/>
      </c>
      <c r="AH201" t="str">
        <f t="shared" si="33"/>
        <v/>
      </c>
      <c r="AI201" t="str">
        <f t="shared" si="34"/>
        <v/>
      </c>
      <c r="AJ201" t="str">
        <f t="shared" si="35"/>
        <v/>
      </c>
      <c r="AK201" t="str">
        <f t="shared" si="36"/>
        <v/>
      </c>
      <c r="AL201" t="str">
        <f t="shared" si="37"/>
        <v/>
      </c>
    </row>
    <row r="202" spans="22:38">
      <c r="V202" s="38"/>
      <c r="AF202" s="38" t="str">
        <f t="shared" si="31"/>
        <v/>
      </c>
      <c r="AG202" t="str">
        <f t="shared" si="32"/>
        <v/>
      </c>
      <c r="AH202" t="str">
        <f t="shared" si="33"/>
        <v/>
      </c>
      <c r="AI202" t="str">
        <f t="shared" si="34"/>
        <v/>
      </c>
      <c r="AJ202" t="str">
        <f t="shared" si="35"/>
        <v/>
      </c>
      <c r="AK202" t="str">
        <f t="shared" si="36"/>
        <v/>
      </c>
      <c r="AL202" t="str">
        <f t="shared" si="37"/>
        <v/>
      </c>
    </row>
    <row r="203" spans="22:38">
      <c r="V203" s="38"/>
      <c r="AF203" s="38" t="str">
        <f t="shared" si="31"/>
        <v/>
      </c>
      <c r="AG203" t="str">
        <f t="shared" si="32"/>
        <v/>
      </c>
      <c r="AH203" t="str">
        <f t="shared" si="33"/>
        <v/>
      </c>
      <c r="AI203" t="str">
        <f t="shared" si="34"/>
        <v/>
      </c>
      <c r="AJ203" t="str">
        <f t="shared" si="35"/>
        <v/>
      </c>
      <c r="AK203" t="str">
        <f t="shared" si="36"/>
        <v/>
      </c>
      <c r="AL203" t="str">
        <f t="shared" si="37"/>
        <v/>
      </c>
    </row>
    <row r="204" spans="22:38">
      <c r="V204" s="38"/>
      <c r="AF204" s="38" t="str">
        <f t="shared" si="31"/>
        <v/>
      </c>
      <c r="AG204" t="str">
        <f t="shared" si="32"/>
        <v/>
      </c>
      <c r="AH204" t="str">
        <f t="shared" si="33"/>
        <v/>
      </c>
      <c r="AI204" t="str">
        <f t="shared" si="34"/>
        <v/>
      </c>
      <c r="AJ204" t="str">
        <f t="shared" si="35"/>
        <v/>
      </c>
      <c r="AK204" t="str">
        <f t="shared" si="36"/>
        <v/>
      </c>
      <c r="AL204" t="str">
        <f t="shared" si="37"/>
        <v/>
      </c>
    </row>
    <row r="205" spans="22:38">
      <c r="V205" s="38"/>
      <c r="AF205" s="38" t="str">
        <f t="shared" si="31"/>
        <v/>
      </c>
      <c r="AG205" t="str">
        <f t="shared" si="32"/>
        <v/>
      </c>
      <c r="AH205" t="str">
        <f t="shared" si="33"/>
        <v/>
      </c>
      <c r="AI205" t="str">
        <f t="shared" si="34"/>
        <v/>
      </c>
      <c r="AJ205" t="str">
        <f t="shared" si="35"/>
        <v/>
      </c>
      <c r="AK205" t="str">
        <f t="shared" si="36"/>
        <v/>
      </c>
      <c r="AL205" t="str">
        <f t="shared" si="37"/>
        <v/>
      </c>
    </row>
    <row r="206" spans="22:38">
      <c r="V206" s="38"/>
      <c r="AF206" s="38" t="str">
        <f t="shared" si="31"/>
        <v/>
      </c>
      <c r="AG206" t="str">
        <f t="shared" si="32"/>
        <v/>
      </c>
      <c r="AH206" t="str">
        <f t="shared" si="33"/>
        <v/>
      </c>
      <c r="AI206" t="str">
        <f t="shared" si="34"/>
        <v/>
      </c>
      <c r="AJ206" t="str">
        <f t="shared" si="35"/>
        <v/>
      </c>
      <c r="AK206" t="str">
        <f t="shared" si="36"/>
        <v/>
      </c>
      <c r="AL206" t="str">
        <f t="shared" si="37"/>
        <v/>
      </c>
    </row>
    <row r="207" spans="22:38">
      <c r="V207" s="38"/>
      <c r="AF207" s="38" t="str">
        <f t="shared" si="31"/>
        <v/>
      </c>
      <c r="AG207" t="str">
        <f t="shared" si="32"/>
        <v/>
      </c>
      <c r="AH207" t="str">
        <f t="shared" si="33"/>
        <v/>
      </c>
      <c r="AI207" t="str">
        <f t="shared" si="34"/>
        <v/>
      </c>
      <c r="AJ207" t="str">
        <f t="shared" si="35"/>
        <v/>
      </c>
      <c r="AK207" t="str">
        <f t="shared" si="36"/>
        <v/>
      </c>
      <c r="AL207" t="str">
        <f t="shared" si="37"/>
        <v/>
      </c>
    </row>
    <row r="208" spans="22:38">
      <c r="V208" s="38"/>
      <c r="AF208" s="38" t="str">
        <f t="shared" si="31"/>
        <v/>
      </c>
      <c r="AG208" t="str">
        <f t="shared" si="32"/>
        <v/>
      </c>
      <c r="AH208" t="str">
        <f t="shared" si="33"/>
        <v/>
      </c>
      <c r="AI208" t="str">
        <f t="shared" si="34"/>
        <v/>
      </c>
      <c r="AJ208" t="str">
        <f t="shared" si="35"/>
        <v/>
      </c>
      <c r="AK208" t="str">
        <f t="shared" si="36"/>
        <v/>
      </c>
      <c r="AL208" t="str">
        <f t="shared" si="37"/>
        <v/>
      </c>
    </row>
    <row r="209" spans="22:38">
      <c r="V209" s="38"/>
      <c r="AF209" s="38" t="str">
        <f t="shared" si="31"/>
        <v/>
      </c>
      <c r="AG209" t="str">
        <f t="shared" si="32"/>
        <v/>
      </c>
      <c r="AH209" t="str">
        <f t="shared" si="33"/>
        <v/>
      </c>
      <c r="AI209" t="str">
        <f t="shared" si="34"/>
        <v/>
      </c>
      <c r="AJ209" t="str">
        <f t="shared" si="35"/>
        <v/>
      </c>
      <c r="AK209" t="str">
        <f t="shared" si="36"/>
        <v/>
      </c>
      <c r="AL209" t="str">
        <f t="shared" si="37"/>
        <v/>
      </c>
    </row>
    <row r="210" spans="22:38">
      <c r="V210" s="38"/>
      <c r="AF210" s="38" t="str">
        <f t="shared" si="31"/>
        <v/>
      </c>
      <c r="AG210" t="str">
        <f t="shared" si="32"/>
        <v/>
      </c>
      <c r="AH210" t="str">
        <f t="shared" si="33"/>
        <v/>
      </c>
      <c r="AI210" t="str">
        <f t="shared" si="34"/>
        <v/>
      </c>
      <c r="AJ210" t="str">
        <f t="shared" si="35"/>
        <v/>
      </c>
      <c r="AK210" t="str">
        <f t="shared" si="36"/>
        <v/>
      </c>
      <c r="AL210" t="str">
        <f t="shared" si="37"/>
        <v/>
      </c>
    </row>
    <row r="211" spans="22:38">
      <c r="V211" s="38"/>
      <c r="AF211" s="38" t="str">
        <f t="shared" si="31"/>
        <v/>
      </c>
      <c r="AG211" t="str">
        <f t="shared" si="32"/>
        <v/>
      </c>
      <c r="AH211" t="str">
        <f t="shared" si="33"/>
        <v/>
      </c>
      <c r="AI211" t="str">
        <f t="shared" si="34"/>
        <v/>
      </c>
      <c r="AJ211" t="str">
        <f t="shared" si="35"/>
        <v/>
      </c>
      <c r="AK211" t="str">
        <f t="shared" si="36"/>
        <v/>
      </c>
      <c r="AL211" t="str">
        <f t="shared" si="37"/>
        <v/>
      </c>
    </row>
    <row r="212" spans="22:38">
      <c r="V212" s="38"/>
      <c r="AF212" s="38" t="str">
        <f t="shared" si="31"/>
        <v/>
      </c>
      <c r="AG212" t="str">
        <f t="shared" si="32"/>
        <v/>
      </c>
      <c r="AH212" t="str">
        <f t="shared" si="33"/>
        <v/>
      </c>
      <c r="AI212" t="str">
        <f t="shared" si="34"/>
        <v/>
      </c>
      <c r="AJ212" t="str">
        <f t="shared" si="35"/>
        <v/>
      </c>
      <c r="AK212" t="str">
        <f t="shared" si="36"/>
        <v/>
      </c>
      <c r="AL212" t="str">
        <f t="shared" si="37"/>
        <v/>
      </c>
    </row>
    <row r="213" spans="22:38">
      <c r="V213" s="38"/>
      <c r="AF213" s="38" t="str">
        <f t="shared" si="31"/>
        <v/>
      </c>
      <c r="AG213" t="str">
        <f t="shared" si="32"/>
        <v/>
      </c>
      <c r="AH213" t="str">
        <f t="shared" si="33"/>
        <v/>
      </c>
      <c r="AI213" t="str">
        <f t="shared" si="34"/>
        <v/>
      </c>
      <c r="AJ213" t="str">
        <f t="shared" si="35"/>
        <v/>
      </c>
      <c r="AK213" t="str">
        <f t="shared" si="36"/>
        <v/>
      </c>
      <c r="AL213" t="str">
        <f t="shared" si="37"/>
        <v/>
      </c>
    </row>
    <row r="214" spans="22:38">
      <c r="V214" s="38"/>
      <c r="AF214" s="38" t="str">
        <f t="shared" si="31"/>
        <v/>
      </c>
      <c r="AG214" t="str">
        <f t="shared" si="32"/>
        <v/>
      </c>
      <c r="AH214" t="str">
        <f t="shared" si="33"/>
        <v/>
      </c>
      <c r="AI214" t="str">
        <f t="shared" si="34"/>
        <v/>
      </c>
      <c r="AJ214" t="str">
        <f t="shared" si="35"/>
        <v/>
      </c>
      <c r="AK214" t="str">
        <f t="shared" si="36"/>
        <v/>
      </c>
      <c r="AL214" t="str">
        <f t="shared" si="37"/>
        <v/>
      </c>
    </row>
    <row r="215" spans="22:38">
      <c r="V215" s="38"/>
      <c r="AF215" s="38" t="str">
        <f t="shared" si="31"/>
        <v/>
      </c>
      <c r="AG215" t="str">
        <f t="shared" si="32"/>
        <v/>
      </c>
      <c r="AH215" t="str">
        <f t="shared" si="33"/>
        <v/>
      </c>
      <c r="AI215" t="str">
        <f t="shared" si="34"/>
        <v/>
      </c>
      <c r="AJ215" t="str">
        <f t="shared" si="35"/>
        <v/>
      </c>
      <c r="AK215" t="str">
        <f t="shared" si="36"/>
        <v/>
      </c>
      <c r="AL215" t="str">
        <f t="shared" si="37"/>
        <v/>
      </c>
    </row>
    <row r="216" spans="22:38">
      <c r="V216" s="38"/>
      <c r="AF216" s="38" t="str">
        <f t="shared" si="31"/>
        <v/>
      </c>
      <c r="AG216" t="str">
        <f t="shared" si="32"/>
        <v/>
      </c>
      <c r="AH216" t="str">
        <f t="shared" si="33"/>
        <v/>
      </c>
      <c r="AI216" t="str">
        <f t="shared" si="34"/>
        <v/>
      </c>
      <c r="AJ216" t="str">
        <f t="shared" si="35"/>
        <v/>
      </c>
      <c r="AK216" t="str">
        <f t="shared" si="36"/>
        <v/>
      </c>
      <c r="AL216" t="str">
        <f t="shared" si="37"/>
        <v/>
      </c>
    </row>
    <row r="217" spans="22:38">
      <c r="V217" s="38"/>
      <c r="AF217" s="38" t="str">
        <f t="shared" si="31"/>
        <v/>
      </c>
      <c r="AG217" t="str">
        <f t="shared" si="32"/>
        <v/>
      </c>
      <c r="AH217" t="str">
        <f t="shared" si="33"/>
        <v/>
      </c>
      <c r="AI217" t="str">
        <f t="shared" si="34"/>
        <v/>
      </c>
      <c r="AJ217" t="str">
        <f t="shared" si="35"/>
        <v/>
      </c>
      <c r="AK217" t="str">
        <f t="shared" si="36"/>
        <v/>
      </c>
      <c r="AL217" t="str">
        <f t="shared" si="37"/>
        <v/>
      </c>
    </row>
    <row r="218" spans="22:38">
      <c r="V218" s="38"/>
      <c r="AF218" s="38" t="str">
        <f t="shared" si="31"/>
        <v/>
      </c>
      <c r="AG218" t="str">
        <f t="shared" si="32"/>
        <v/>
      </c>
      <c r="AH218" t="str">
        <f t="shared" si="33"/>
        <v/>
      </c>
      <c r="AI218" t="str">
        <f t="shared" si="34"/>
        <v/>
      </c>
      <c r="AJ218" t="str">
        <f t="shared" si="35"/>
        <v/>
      </c>
      <c r="AK218" t="str">
        <f t="shared" si="36"/>
        <v/>
      </c>
      <c r="AL218" t="str">
        <f t="shared" si="37"/>
        <v/>
      </c>
    </row>
    <row r="219" spans="22:38">
      <c r="V219" s="38"/>
      <c r="AF219" s="38" t="str">
        <f t="shared" si="31"/>
        <v/>
      </c>
      <c r="AG219" t="str">
        <f t="shared" si="32"/>
        <v/>
      </c>
      <c r="AH219" t="str">
        <f t="shared" si="33"/>
        <v/>
      </c>
      <c r="AI219" t="str">
        <f t="shared" si="34"/>
        <v/>
      </c>
      <c r="AJ219" t="str">
        <f t="shared" si="35"/>
        <v/>
      </c>
      <c r="AK219" t="str">
        <f t="shared" si="36"/>
        <v/>
      </c>
      <c r="AL219" t="str">
        <f t="shared" si="37"/>
        <v/>
      </c>
    </row>
    <row r="220" spans="22:38">
      <c r="V220" s="38"/>
      <c r="AF220" s="38" t="str">
        <f t="shared" si="31"/>
        <v/>
      </c>
      <c r="AG220" t="str">
        <f t="shared" si="32"/>
        <v/>
      </c>
      <c r="AH220" t="str">
        <f t="shared" si="33"/>
        <v/>
      </c>
      <c r="AI220" t="str">
        <f t="shared" si="34"/>
        <v/>
      </c>
      <c r="AJ220" t="str">
        <f t="shared" si="35"/>
        <v/>
      </c>
      <c r="AK220" t="str">
        <f t="shared" si="36"/>
        <v/>
      </c>
      <c r="AL220" t="str">
        <f t="shared" si="37"/>
        <v/>
      </c>
    </row>
    <row r="221" spans="22:38">
      <c r="V221" s="38"/>
      <c r="AF221" s="38" t="str">
        <f t="shared" si="31"/>
        <v/>
      </c>
      <c r="AG221" t="str">
        <f t="shared" si="32"/>
        <v/>
      </c>
      <c r="AH221" t="str">
        <f t="shared" si="33"/>
        <v/>
      </c>
      <c r="AI221" t="str">
        <f t="shared" si="34"/>
        <v/>
      </c>
      <c r="AJ221" t="str">
        <f t="shared" si="35"/>
        <v/>
      </c>
      <c r="AK221" t="str">
        <f t="shared" si="36"/>
        <v/>
      </c>
      <c r="AL221" t="str">
        <f t="shared" si="37"/>
        <v/>
      </c>
    </row>
    <row r="222" spans="22:38">
      <c r="V222" s="38"/>
      <c r="AF222" s="38" t="str">
        <f t="shared" si="31"/>
        <v/>
      </c>
      <c r="AG222" t="str">
        <f t="shared" si="32"/>
        <v/>
      </c>
      <c r="AH222" t="str">
        <f t="shared" si="33"/>
        <v/>
      </c>
      <c r="AI222" t="str">
        <f t="shared" si="34"/>
        <v/>
      </c>
      <c r="AJ222" t="str">
        <f t="shared" si="35"/>
        <v/>
      </c>
      <c r="AK222" t="str">
        <f t="shared" si="36"/>
        <v/>
      </c>
      <c r="AL222" t="str">
        <f t="shared" si="37"/>
        <v/>
      </c>
    </row>
    <row r="223" spans="22:38">
      <c r="V223" s="38"/>
      <c r="AF223" s="38" t="str">
        <f t="shared" si="31"/>
        <v/>
      </c>
      <c r="AG223" t="str">
        <f t="shared" si="32"/>
        <v/>
      </c>
      <c r="AH223" t="str">
        <f t="shared" si="33"/>
        <v/>
      </c>
      <c r="AI223" t="str">
        <f t="shared" si="34"/>
        <v/>
      </c>
      <c r="AJ223" t="str">
        <f t="shared" si="35"/>
        <v/>
      </c>
      <c r="AK223" t="str">
        <f t="shared" si="36"/>
        <v/>
      </c>
      <c r="AL223" t="str">
        <f t="shared" si="37"/>
        <v/>
      </c>
    </row>
    <row r="224" spans="22:38">
      <c r="V224" s="38"/>
      <c r="AF224" s="38" t="str">
        <f t="shared" si="31"/>
        <v/>
      </c>
      <c r="AG224" t="str">
        <f t="shared" si="32"/>
        <v/>
      </c>
      <c r="AH224" t="str">
        <f t="shared" si="33"/>
        <v/>
      </c>
      <c r="AI224" t="str">
        <f t="shared" si="34"/>
        <v/>
      </c>
      <c r="AJ224" t="str">
        <f t="shared" si="35"/>
        <v/>
      </c>
      <c r="AK224" t="str">
        <f t="shared" si="36"/>
        <v/>
      </c>
      <c r="AL224" t="str">
        <f t="shared" si="37"/>
        <v/>
      </c>
    </row>
    <row r="225" spans="22:38">
      <c r="V225" s="38"/>
      <c r="AF225" s="38" t="str">
        <f t="shared" si="31"/>
        <v/>
      </c>
      <c r="AG225" t="str">
        <f t="shared" si="32"/>
        <v/>
      </c>
      <c r="AH225" t="str">
        <f t="shared" si="33"/>
        <v/>
      </c>
      <c r="AI225" t="str">
        <f t="shared" si="34"/>
        <v/>
      </c>
      <c r="AJ225" t="str">
        <f t="shared" si="35"/>
        <v/>
      </c>
      <c r="AK225" t="str">
        <f t="shared" si="36"/>
        <v/>
      </c>
      <c r="AL225" t="str">
        <f t="shared" si="37"/>
        <v/>
      </c>
    </row>
    <row r="226" spans="22:38">
      <c r="V226" s="38"/>
      <c r="AF226" s="38" t="str">
        <f t="shared" si="31"/>
        <v/>
      </c>
      <c r="AG226" t="str">
        <f t="shared" si="32"/>
        <v/>
      </c>
      <c r="AH226" t="str">
        <f t="shared" si="33"/>
        <v/>
      </c>
      <c r="AI226" t="str">
        <f t="shared" si="34"/>
        <v/>
      </c>
      <c r="AJ226" t="str">
        <f t="shared" si="35"/>
        <v/>
      </c>
      <c r="AK226" t="str">
        <f t="shared" si="36"/>
        <v/>
      </c>
      <c r="AL226" t="str">
        <f t="shared" si="37"/>
        <v/>
      </c>
    </row>
    <row r="227" spans="22:38">
      <c r="V227" s="38"/>
      <c r="AF227" s="38" t="str">
        <f t="shared" si="31"/>
        <v/>
      </c>
      <c r="AG227" t="str">
        <f t="shared" si="32"/>
        <v/>
      </c>
      <c r="AH227" t="str">
        <f t="shared" si="33"/>
        <v/>
      </c>
      <c r="AI227" t="str">
        <f t="shared" si="34"/>
        <v/>
      </c>
      <c r="AJ227" t="str">
        <f t="shared" si="35"/>
        <v/>
      </c>
      <c r="AK227" t="str">
        <f t="shared" si="36"/>
        <v/>
      </c>
      <c r="AL227" t="str">
        <f t="shared" si="37"/>
        <v/>
      </c>
    </row>
    <row r="228" spans="22:38">
      <c r="V228" s="38"/>
      <c r="AF228" s="38" t="str">
        <f t="shared" si="31"/>
        <v/>
      </c>
      <c r="AG228" t="str">
        <f t="shared" si="32"/>
        <v/>
      </c>
      <c r="AH228" t="str">
        <f t="shared" si="33"/>
        <v/>
      </c>
      <c r="AI228" t="str">
        <f t="shared" si="34"/>
        <v/>
      </c>
      <c r="AJ228" t="str">
        <f t="shared" si="35"/>
        <v/>
      </c>
      <c r="AK228" t="str">
        <f t="shared" si="36"/>
        <v/>
      </c>
      <c r="AL228" t="str">
        <f t="shared" si="37"/>
        <v/>
      </c>
    </row>
    <row r="229" spans="22:38">
      <c r="V229" s="38"/>
      <c r="AF229" s="38" t="str">
        <f t="shared" si="31"/>
        <v/>
      </c>
      <c r="AG229" t="str">
        <f t="shared" si="32"/>
        <v/>
      </c>
      <c r="AH229" t="str">
        <f t="shared" si="33"/>
        <v/>
      </c>
      <c r="AI229" t="str">
        <f t="shared" si="34"/>
        <v/>
      </c>
      <c r="AJ229" t="str">
        <f t="shared" si="35"/>
        <v/>
      </c>
      <c r="AK229" t="str">
        <f t="shared" si="36"/>
        <v/>
      </c>
      <c r="AL229" t="str">
        <f t="shared" si="37"/>
        <v/>
      </c>
    </row>
    <row r="230" spans="22:38">
      <c r="V230" s="38"/>
      <c r="AF230" s="38" t="str">
        <f t="shared" si="31"/>
        <v/>
      </c>
      <c r="AG230" t="str">
        <f t="shared" si="32"/>
        <v/>
      </c>
      <c r="AH230" t="str">
        <f t="shared" si="33"/>
        <v/>
      </c>
      <c r="AI230" t="str">
        <f t="shared" si="34"/>
        <v/>
      </c>
      <c r="AJ230" t="str">
        <f t="shared" si="35"/>
        <v/>
      </c>
      <c r="AK230" t="str">
        <f t="shared" si="36"/>
        <v/>
      </c>
      <c r="AL230" t="str">
        <f t="shared" si="37"/>
        <v/>
      </c>
    </row>
    <row r="231" spans="22:38">
      <c r="V231" s="38"/>
      <c r="AF231" s="38" t="str">
        <f t="shared" si="31"/>
        <v/>
      </c>
      <c r="AG231" t="str">
        <f t="shared" si="32"/>
        <v/>
      </c>
      <c r="AH231" t="str">
        <f t="shared" si="33"/>
        <v/>
      </c>
      <c r="AI231" t="str">
        <f t="shared" si="34"/>
        <v/>
      </c>
      <c r="AJ231" t="str">
        <f t="shared" si="35"/>
        <v/>
      </c>
      <c r="AK231" t="str">
        <f t="shared" si="36"/>
        <v/>
      </c>
      <c r="AL231" t="str">
        <f t="shared" si="37"/>
        <v/>
      </c>
    </row>
    <row r="232" spans="22:38">
      <c r="V232" s="38"/>
      <c r="AF232" s="38" t="str">
        <f t="shared" si="31"/>
        <v/>
      </c>
      <c r="AG232" t="str">
        <f t="shared" si="32"/>
        <v/>
      </c>
      <c r="AH232" t="str">
        <f t="shared" si="33"/>
        <v/>
      </c>
      <c r="AI232" t="str">
        <f t="shared" si="34"/>
        <v/>
      </c>
      <c r="AJ232" t="str">
        <f t="shared" si="35"/>
        <v/>
      </c>
      <c r="AK232" t="str">
        <f t="shared" si="36"/>
        <v/>
      </c>
      <c r="AL232" t="str">
        <f t="shared" si="37"/>
        <v/>
      </c>
    </row>
    <row r="233" spans="22:38">
      <c r="V233" s="38"/>
      <c r="AF233" s="38" t="str">
        <f t="shared" si="31"/>
        <v/>
      </c>
      <c r="AG233" t="str">
        <f t="shared" si="32"/>
        <v/>
      </c>
      <c r="AH233" t="str">
        <f t="shared" si="33"/>
        <v/>
      </c>
      <c r="AI233" t="str">
        <f t="shared" si="34"/>
        <v/>
      </c>
      <c r="AJ233" t="str">
        <f t="shared" si="35"/>
        <v/>
      </c>
      <c r="AK233" t="str">
        <f t="shared" si="36"/>
        <v/>
      </c>
      <c r="AL233" t="str">
        <f t="shared" si="37"/>
        <v/>
      </c>
    </row>
    <row r="234" spans="22:38">
      <c r="V234" s="38"/>
      <c r="AF234" s="38" t="str">
        <f t="shared" si="31"/>
        <v/>
      </c>
      <c r="AG234" t="str">
        <f t="shared" si="32"/>
        <v/>
      </c>
      <c r="AH234" t="str">
        <f t="shared" si="33"/>
        <v/>
      </c>
      <c r="AI234" t="str">
        <f t="shared" si="34"/>
        <v/>
      </c>
      <c r="AJ234" t="str">
        <f t="shared" si="35"/>
        <v/>
      </c>
      <c r="AK234" t="str">
        <f t="shared" si="36"/>
        <v/>
      </c>
      <c r="AL234" t="str">
        <f t="shared" si="37"/>
        <v/>
      </c>
    </row>
    <row r="235" spans="22:38">
      <c r="V235" s="38"/>
      <c r="AF235" s="38" t="str">
        <f t="shared" si="31"/>
        <v/>
      </c>
      <c r="AG235" t="str">
        <f t="shared" si="32"/>
        <v/>
      </c>
      <c r="AH235" t="str">
        <f t="shared" si="33"/>
        <v/>
      </c>
      <c r="AI235" t="str">
        <f t="shared" si="34"/>
        <v/>
      </c>
      <c r="AJ235" t="str">
        <f t="shared" si="35"/>
        <v/>
      </c>
      <c r="AK235" t="str">
        <f t="shared" si="36"/>
        <v/>
      </c>
      <c r="AL235" t="str">
        <f t="shared" si="37"/>
        <v/>
      </c>
    </row>
    <row r="236" spans="22:38">
      <c r="V236" s="38"/>
      <c r="AF236" s="38" t="str">
        <f t="shared" si="31"/>
        <v/>
      </c>
      <c r="AG236" t="str">
        <f t="shared" si="32"/>
        <v/>
      </c>
      <c r="AH236" t="str">
        <f t="shared" si="33"/>
        <v/>
      </c>
      <c r="AI236" t="str">
        <f t="shared" si="34"/>
        <v/>
      </c>
      <c r="AJ236" t="str">
        <f t="shared" si="35"/>
        <v/>
      </c>
      <c r="AK236" t="str">
        <f t="shared" si="36"/>
        <v/>
      </c>
      <c r="AL236" t="str">
        <f t="shared" si="37"/>
        <v/>
      </c>
    </row>
    <row r="237" spans="22:38">
      <c r="V237" s="38"/>
      <c r="AF237" s="38" t="str">
        <f t="shared" si="31"/>
        <v/>
      </c>
      <c r="AG237" t="str">
        <f t="shared" si="32"/>
        <v/>
      </c>
      <c r="AH237" t="str">
        <f t="shared" si="33"/>
        <v/>
      </c>
      <c r="AI237" t="str">
        <f t="shared" si="34"/>
        <v/>
      </c>
      <c r="AJ237" t="str">
        <f t="shared" si="35"/>
        <v/>
      </c>
      <c r="AK237" t="str">
        <f t="shared" si="36"/>
        <v/>
      </c>
      <c r="AL237" t="str">
        <f t="shared" si="37"/>
        <v/>
      </c>
    </row>
    <row r="238" spans="22:38">
      <c r="V238" s="38"/>
      <c r="AF238" s="38" t="str">
        <f t="shared" si="31"/>
        <v/>
      </c>
      <c r="AG238" t="str">
        <f t="shared" si="32"/>
        <v/>
      </c>
      <c r="AH238" t="str">
        <f t="shared" si="33"/>
        <v/>
      </c>
      <c r="AI238" t="str">
        <f t="shared" si="34"/>
        <v/>
      </c>
      <c r="AJ238" t="str">
        <f t="shared" si="35"/>
        <v/>
      </c>
      <c r="AK238" t="str">
        <f t="shared" si="36"/>
        <v/>
      </c>
      <c r="AL238" t="str">
        <f t="shared" si="37"/>
        <v/>
      </c>
    </row>
    <row r="239" spans="22:38">
      <c r="V239" s="38"/>
      <c r="AF239" s="38" t="str">
        <f t="shared" si="31"/>
        <v/>
      </c>
      <c r="AG239" t="str">
        <f t="shared" si="32"/>
        <v/>
      </c>
      <c r="AH239" t="str">
        <f t="shared" si="33"/>
        <v/>
      </c>
      <c r="AI239" t="str">
        <f t="shared" si="34"/>
        <v/>
      </c>
      <c r="AJ239" t="str">
        <f t="shared" si="35"/>
        <v/>
      </c>
      <c r="AK239" t="str">
        <f t="shared" si="36"/>
        <v/>
      </c>
      <c r="AL239" t="str">
        <f t="shared" si="37"/>
        <v/>
      </c>
    </row>
    <row r="240" spans="22:38">
      <c r="V240" s="38"/>
      <c r="AF240" s="38" t="str">
        <f t="shared" si="31"/>
        <v/>
      </c>
      <c r="AG240" t="str">
        <f t="shared" si="32"/>
        <v/>
      </c>
      <c r="AH240" t="str">
        <f t="shared" si="33"/>
        <v/>
      </c>
      <c r="AI240" t="str">
        <f t="shared" si="34"/>
        <v/>
      </c>
      <c r="AJ240" t="str">
        <f t="shared" si="35"/>
        <v/>
      </c>
      <c r="AK240" t="str">
        <f t="shared" si="36"/>
        <v/>
      </c>
      <c r="AL240" t="str">
        <f t="shared" si="37"/>
        <v/>
      </c>
    </row>
    <row r="241" spans="22:38">
      <c r="V241" s="38"/>
      <c r="AF241" s="38" t="str">
        <f t="shared" si="31"/>
        <v/>
      </c>
      <c r="AG241" t="str">
        <f t="shared" si="32"/>
        <v/>
      </c>
      <c r="AH241" t="str">
        <f t="shared" si="33"/>
        <v/>
      </c>
      <c r="AI241" t="str">
        <f t="shared" si="34"/>
        <v/>
      </c>
      <c r="AJ241" t="str">
        <f t="shared" si="35"/>
        <v/>
      </c>
      <c r="AK241" t="str">
        <f t="shared" si="36"/>
        <v/>
      </c>
      <c r="AL241" t="str">
        <f t="shared" si="37"/>
        <v/>
      </c>
    </row>
    <row r="242" spans="22:38">
      <c r="V242" s="38"/>
      <c r="AF242" s="38" t="str">
        <f t="shared" si="31"/>
        <v/>
      </c>
      <c r="AG242" t="str">
        <f t="shared" si="32"/>
        <v/>
      </c>
      <c r="AH242" t="str">
        <f t="shared" si="33"/>
        <v/>
      </c>
      <c r="AI242" t="str">
        <f t="shared" si="34"/>
        <v/>
      </c>
      <c r="AJ242" t="str">
        <f t="shared" si="35"/>
        <v/>
      </c>
      <c r="AK242" t="str">
        <f t="shared" si="36"/>
        <v/>
      </c>
      <c r="AL242" t="str">
        <f t="shared" si="37"/>
        <v/>
      </c>
    </row>
    <row r="243" spans="22:38">
      <c r="V243" s="38"/>
      <c r="AF243" s="38" t="str">
        <f t="shared" si="31"/>
        <v/>
      </c>
      <c r="AG243" t="str">
        <f t="shared" si="32"/>
        <v/>
      </c>
      <c r="AH243" t="str">
        <f t="shared" si="33"/>
        <v/>
      </c>
      <c r="AI243" t="str">
        <f t="shared" si="34"/>
        <v/>
      </c>
      <c r="AJ243" t="str">
        <f t="shared" si="35"/>
        <v/>
      </c>
      <c r="AK243" t="str">
        <f t="shared" si="36"/>
        <v/>
      </c>
      <c r="AL243" t="str">
        <f t="shared" si="37"/>
        <v/>
      </c>
    </row>
    <row r="244" spans="22:38">
      <c r="V244" s="38"/>
      <c r="AF244" s="38" t="str">
        <f t="shared" si="31"/>
        <v/>
      </c>
      <c r="AG244" t="str">
        <f t="shared" si="32"/>
        <v/>
      </c>
      <c r="AH244" t="str">
        <f t="shared" si="33"/>
        <v/>
      </c>
      <c r="AI244" t="str">
        <f t="shared" si="34"/>
        <v/>
      </c>
      <c r="AJ244" t="str">
        <f t="shared" si="35"/>
        <v/>
      </c>
      <c r="AK244" t="str">
        <f t="shared" si="36"/>
        <v/>
      </c>
      <c r="AL244" t="str">
        <f t="shared" si="37"/>
        <v/>
      </c>
    </row>
    <row r="245" spans="22:38">
      <c r="V245" s="38"/>
      <c r="AF245" s="38" t="str">
        <f t="shared" si="31"/>
        <v/>
      </c>
      <c r="AG245" t="str">
        <f t="shared" si="32"/>
        <v/>
      </c>
      <c r="AH245" t="str">
        <f t="shared" si="33"/>
        <v/>
      </c>
      <c r="AI245" t="str">
        <f t="shared" si="34"/>
        <v/>
      </c>
      <c r="AJ245" t="str">
        <f t="shared" si="35"/>
        <v/>
      </c>
      <c r="AK245" t="str">
        <f t="shared" si="36"/>
        <v/>
      </c>
      <c r="AL245" t="str">
        <f t="shared" si="37"/>
        <v/>
      </c>
    </row>
    <row r="246" spans="22:38">
      <c r="V246" s="38"/>
      <c r="AF246" s="38" t="str">
        <f t="shared" si="31"/>
        <v/>
      </c>
      <c r="AG246" t="str">
        <f t="shared" si="32"/>
        <v/>
      </c>
      <c r="AH246" t="str">
        <f t="shared" si="33"/>
        <v/>
      </c>
      <c r="AI246" t="str">
        <f t="shared" si="34"/>
        <v/>
      </c>
      <c r="AJ246" t="str">
        <f t="shared" si="35"/>
        <v/>
      </c>
      <c r="AK246" t="str">
        <f t="shared" si="36"/>
        <v/>
      </c>
      <c r="AL246" t="str">
        <f t="shared" si="37"/>
        <v/>
      </c>
    </row>
    <row r="247" spans="22:38">
      <c r="V247" s="38"/>
      <c r="AF247" s="38" t="str">
        <f t="shared" si="31"/>
        <v/>
      </c>
      <c r="AG247" t="str">
        <f t="shared" si="32"/>
        <v/>
      </c>
      <c r="AH247" t="str">
        <f t="shared" si="33"/>
        <v/>
      </c>
      <c r="AI247" t="str">
        <f t="shared" si="34"/>
        <v/>
      </c>
      <c r="AJ247" t="str">
        <f t="shared" si="35"/>
        <v/>
      </c>
      <c r="AK247" t="str">
        <f t="shared" si="36"/>
        <v/>
      </c>
      <c r="AL247" t="str">
        <f t="shared" si="37"/>
        <v/>
      </c>
    </row>
    <row r="248" spans="22:38">
      <c r="V248" s="38"/>
      <c r="AF248" s="38" t="str">
        <f t="shared" si="31"/>
        <v/>
      </c>
      <c r="AG248" t="str">
        <f t="shared" si="32"/>
        <v/>
      </c>
      <c r="AH248" t="str">
        <f t="shared" si="33"/>
        <v/>
      </c>
      <c r="AI248" t="str">
        <f t="shared" si="34"/>
        <v/>
      </c>
      <c r="AJ248" t="str">
        <f t="shared" si="35"/>
        <v/>
      </c>
      <c r="AK248" t="str">
        <f t="shared" si="36"/>
        <v/>
      </c>
      <c r="AL248" t="str">
        <f t="shared" si="37"/>
        <v/>
      </c>
    </row>
    <row r="249" spans="22:38">
      <c r="V249" s="38"/>
      <c r="AF249" s="38" t="str">
        <f t="shared" si="31"/>
        <v/>
      </c>
      <c r="AG249" t="str">
        <f t="shared" si="32"/>
        <v/>
      </c>
      <c r="AH249" t="str">
        <f t="shared" si="33"/>
        <v/>
      </c>
      <c r="AI249" t="str">
        <f t="shared" si="34"/>
        <v/>
      </c>
      <c r="AJ249" t="str">
        <f t="shared" si="35"/>
        <v/>
      </c>
      <c r="AK249" t="str">
        <f t="shared" si="36"/>
        <v/>
      </c>
      <c r="AL249" t="str">
        <f t="shared" si="37"/>
        <v/>
      </c>
    </row>
    <row r="250" spans="22:38">
      <c r="V250" s="38"/>
      <c r="AF250" s="38" t="str">
        <f t="shared" si="31"/>
        <v/>
      </c>
      <c r="AG250" t="str">
        <f t="shared" si="32"/>
        <v/>
      </c>
      <c r="AH250" t="str">
        <f t="shared" si="33"/>
        <v/>
      </c>
      <c r="AI250" t="str">
        <f t="shared" si="34"/>
        <v/>
      </c>
      <c r="AJ250" t="str">
        <f t="shared" si="35"/>
        <v/>
      </c>
      <c r="AK250" t="str">
        <f t="shared" si="36"/>
        <v/>
      </c>
      <c r="AL250" t="str">
        <f t="shared" si="37"/>
        <v/>
      </c>
    </row>
    <row r="251" spans="22:38">
      <c r="V251" s="38"/>
      <c r="AF251" s="38" t="str">
        <f t="shared" si="31"/>
        <v/>
      </c>
      <c r="AG251" t="str">
        <f t="shared" si="32"/>
        <v/>
      </c>
      <c r="AH251" t="str">
        <f t="shared" si="33"/>
        <v/>
      </c>
      <c r="AI251" t="str">
        <f t="shared" si="34"/>
        <v/>
      </c>
      <c r="AJ251" t="str">
        <f t="shared" si="35"/>
        <v/>
      </c>
      <c r="AK251" t="str">
        <f t="shared" si="36"/>
        <v/>
      </c>
      <c r="AL251" t="str">
        <f t="shared" si="37"/>
        <v/>
      </c>
    </row>
    <row r="252" spans="22:38">
      <c r="V252" s="38"/>
      <c r="AF252" s="38" t="str">
        <f t="shared" si="31"/>
        <v/>
      </c>
      <c r="AG252" t="str">
        <f t="shared" si="32"/>
        <v/>
      </c>
      <c r="AH252" t="str">
        <f t="shared" si="33"/>
        <v/>
      </c>
      <c r="AI252" t="str">
        <f t="shared" si="34"/>
        <v/>
      </c>
      <c r="AJ252" t="str">
        <f t="shared" si="35"/>
        <v/>
      </c>
      <c r="AK252" t="str">
        <f t="shared" si="36"/>
        <v/>
      </c>
      <c r="AL252" t="str">
        <f t="shared" si="37"/>
        <v/>
      </c>
    </row>
    <row r="253" spans="22:38">
      <c r="V253" s="38"/>
      <c r="AF253" s="38" t="str">
        <f t="shared" si="31"/>
        <v/>
      </c>
      <c r="AG253" t="str">
        <f t="shared" si="32"/>
        <v/>
      </c>
      <c r="AH253" t="str">
        <f t="shared" si="33"/>
        <v/>
      </c>
      <c r="AI253" t="str">
        <f t="shared" si="34"/>
        <v/>
      </c>
      <c r="AJ253" t="str">
        <f t="shared" si="35"/>
        <v/>
      </c>
      <c r="AK253" t="str">
        <f t="shared" si="36"/>
        <v/>
      </c>
      <c r="AL253" t="str">
        <f t="shared" si="37"/>
        <v/>
      </c>
    </row>
    <row r="254" spans="22:38">
      <c r="V254" s="38"/>
      <c r="AF254" s="38" t="str">
        <f t="shared" si="31"/>
        <v/>
      </c>
      <c r="AG254" t="str">
        <f t="shared" si="32"/>
        <v/>
      </c>
      <c r="AH254" t="str">
        <f t="shared" si="33"/>
        <v/>
      </c>
      <c r="AI254" t="str">
        <f t="shared" si="34"/>
        <v/>
      </c>
      <c r="AJ254" t="str">
        <f t="shared" si="35"/>
        <v/>
      </c>
      <c r="AK254" t="str">
        <f t="shared" si="36"/>
        <v/>
      </c>
      <c r="AL254" t="str">
        <f t="shared" si="37"/>
        <v/>
      </c>
    </row>
    <row r="255" spans="22:38">
      <c r="V255" s="38"/>
      <c r="AF255" s="38" t="str">
        <f t="shared" si="31"/>
        <v/>
      </c>
      <c r="AG255" t="str">
        <f t="shared" si="32"/>
        <v/>
      </c>
      <c r="AH255" t="str">
        <f t="shared" si="33"/>
        <v/>
      </c>
      <c r="AI255" t="str">
        <f t="shared" si="34"/>
        <v/>
      </c>
      <c r="AJ255" t="str">
        <f t="shared" si="35"/>
        <v/>
      </c>
      <c r="AK255" t="str">
        <f t="shared" si="36"/>
        <v/>
      </c>
      <c r="AL255" t="str">
        <f t="shared" si="37"/>
        <v/>
      </c>
    </row>
    <row r="256" spans="22:38">
      <c r="V256" s="38"/>
      <c r="AF256" s="38" t="str">
        <f t="shared" si="31"/>
        <v/>
      </c>
      <c r="AG256" t="str">
        <f t="shared" si="32"/>
        <v/>
      </c>
      <c r="AH256" t="str">
        <f t="shared" si="33"/>
        <v/>
      </c>
      <c r="AI256" t="str">
        <f t="shared" si="34"/>
        <v/>
      </c>
      <c r="AJ256" t="str">
        <f t="shared" si="35"/>
        <v/>
      </c>
      <c r="AK256" t="str">
        <f t="shared" si="36"/>
        <v/>
      </c>
      <c r="AL256" t="str">
        <f t="shared" si="37"/>
        <v/>
      </c>
    </row>
    <row r="257" spans="22:38">
      <c r="V257" s="38"/>
      <c r="AF257" s="38" t="str">
        <f t="shared" si="31"/>
        <v/>
      </c>
      <c r="AG257" t="str">
        <f t="shared" si="32"/>
        <v/>
      </c>
      <c r="AH257" t="str">
        <f t="shared" si="33"/>
        <v/>
      </c>
      <c r="AI257" t="str">
        <f t="shared" si="34"/>
        <v/>
      </c>
      <c r="AJ257" t="str">
        <f t="shared" si="35"/>
        <v/>
      </c>
      <c r="AK257" t="str">
        <f t="shared" si="36"/>
        <v/>
      </c>
      <c r="AL257" t="str">
        <f t="shared" si="37"/>
        <v/>
      </c>
    </row>
    <row r="258" spans="22:38">
      <c r="V258" s="38"/>
      <c r="AF258" s="38" t="str">
        <f t="shared" si="31"/>
        <v/>
      </c>
      <c r="AG258" t="str">
        <f t="shared" si="32"/>
        <v/>
      </c>
      <c r="AH258" t="str">
        <f t="shared" si="33"/>
        <v/>
      </c>
      <c r="AI258" t="str">
        <f t="shared" si="34"/>
        <v/>
      </c>
      <c r="AJ258" t="str">
        <f t="shared" si="35"/>
        <v/>
      </c>
      <c r="AK258" t="str">
        <f t="shared" si="36"/>
        <v/>
      </c>
      <c r="AL258" t="str">
        <f t="shared" si="37"/>
        <v/>
      </c>
    </row>
    <row r="259" spans="22:38">
      <c r="V259" s="38"/>
      <c r="AF259" s="38" t="str">
        <f t="shared" si="31"/>
        <v/>
      </c>
      <c r="AG259" t="str">
        <f t="shared" si="32"/>
        <v/>
      </c>
      <c r="AH259" t="str">
        <f t="shared" si="33"/>
        <v/>
      </c>
      <c r="AI259" t="str">
        <f t="shared" si="34"/>
        <v/>
      </c>
      <c r="AJ259" t="str">
        <f t="shared" si="35"/>
        <v/>
      </c>
      <c r="AK259" t="str">
        <f t="shared" si="36"/>
        <v/>
      </c>
      <c r="AL259" t="str">
        <f t="shared" si="37"/>
        <v/>
      </c>
    </row>
    <row r="260" spans="22:38">
      <c r="V260" s="38"/>
      <c r="AF260" s="38" t="str">
        <f t="shared" ref="AF260:AF323" si="38">IF($V260="", "", $V260)</f>
        <v/>
      </c>
      <c r="AG260" t="str">
        <f t="shared" ref="AG260:AG323" si="39">IF($X260&lt;0, "NA", IF(ISERROR($W260/$X260), "", $W260/$X260))</f>
        <v/>
      </c>
      <c r="AH260" t="str">
        <f t="shared" ref="AH260:AH323" si="40">IF($Y260&lt;0, "NA", IF(ISERROR($W260/$Y260), "", $W260/$Y260))</f>
        <v/>
      </c>
      <c r="AI260" t="str">
        <f t="shared" ref="AI260:AI323" si="41">IF($Z260&lt;0, "NA", IF(ISERROR($W260/$Z260), "", $W260/$Z260))</f>
        <v/>
      </c>
      <c r="AJ260" t="str">
        <f t="shared" ref="AJ260:AJ323" si="42">IF($AB260&lt;0, "NA", IF(ISERROR($AA260/$AB260), "", $AA260/$AB260))</f>
        <v/>
      </c>
      <c r="AK260" t="str">
        <f t="shared" ref="AK260:AK323" si="43">IF($AC260&lt;0, "NA", IF(ISERROR($AA260/$AC260), "", $AA260/$AC260))</f>
        <v/>
      </c>
      <c r="AL260" t="str">
        <f t="shared" ref="AL260:AL323" si="44">IF($AD260&lt;0, "NA", IF(ISERROR($AA260/$AD260), "", $AA260/$AD260))</f>
        <v/>
      </c>
    </row>
    <row r="261" spans="22:38">
      <c r="V261" s="38"/>
      <c r="AF261" s="38" t="str">
        <f t="shared" si="38"/>
        <v/>
      </c>
      <c r="AG261" t="str">
        <f t="shared" si="39"/>
        <v/>
      </c>
      <c r="AH261" t="str">
        <f t="shared" si="40"/>
        <v/>
      </c>
      <c r="AI261" t="str">
        <f t="shared" si="41"/>
        <v/>
      </c>
      <c r="AJ261" t="str">
        <f t="shared" si="42"/>
        <v/>
      </c>
      <c r="AK261" t="str">
        <f t="shared" si="43"/>
        <v/>
      </c>
      <c r="AL261" t="str">
        <f t="shared" si="44"/>
        <v/>
      </c>
    </row>
    <row r="262" spans="22:38">
      <c r="V262" s="38"/>
      <c r="AF262" s="38" t="str">
        <f t="shared" si="38"/>
        <v/>
      </c>
      <c r="AG262" t="str">
        <f t="shared" si="39"/>
        <v/>
      </c>
      <c r="AH262" t="str">
        <f t="shared" si="40"/>
        <v/>
      </c>
      <c r="AI262" t="str">
        <f t="shared" si="41"/>
        <v/>
      </c>
      <c r="AJ262" t="str">
        <f t="shared" si="42"/>
        <v/>
      </c>
      <c r="AK262" t="str">
        <f t="shared" si="43"/>
        <v/>
      </c>
      <c r="AL262" t="str">
        <f t="shared" si="44"/>
        <v/>
      </c>
    </row>
    <row r="263" spans="22:38">
      <c r="V263" s="38"/>
      <c r="AF263" s="38" t="str">
        <f t="shared" si="38"/>
        <v/>
      </c>
      <c r="AG263" t="str">
        <f t="shared" si="39"/>
        <v/>
      </c>
      <c r="AH263" t="str">
        <f t="shared" si="40"/>
        <v/>
      </c>
      <c r="AI263" t="str">
        <f t="shared" si="41"/>
        <v/>
      </c>
      <c r="AJ263" t="str">
        <f t="shared" si="42"/>
        <v/>
      </c>
      <c r="AK263" t="str">
        <f t="shared" si="43"/>
        <v/>
      </c>
      <c r="AL263" t="str">
        <f t="shared" si="44"/>
        <v/>
      </c>
    </row>
    <row r="264" spans="22:38">
      <c r="V264" s="38"/>
      <c r="AF264" s="38" t="str">
        <f t="shared" si="38"/>
        <v/>
      </c>
      <c r="AG264" t="str">
        <f t="shared" si="39"/>
        <v/>
      </c>
      <c r="AH264" t="str">
        <f t="shared" si="40"/>
        <v/>
      </c>
      <c r="AI264" t="str">
        <f t="shared" si="41"/>
        <v/>
      </c>
      <c r="AJ264" t="str">
        <f t="shared" si="42"/>
        <v/>
      </c>
      <c r="AK264" t="str">
        <f t="shared" si="43"/>
        <v/>
      </c>
      <c r="AL264" t="str">
        <f t="shared" si="44"/>
        <v/>
      </c>
    </row>
    <row r="265" spans="22:38">
      <c r="V265" s="38"/>
      <c r="AF265" s="38" t="str">
        <f t="shared" si="38"/>
        <v/>
      </c>
      <c r="AG265" t="str">
        <f t="shared" si="39"/>
        <v/>
      </c>
      <c r="AH265" t="str">
        <f t="shared" si="40"/>
        <v/>
      </c>
      <c r="AI265" t="str">
        <f t="shared" si="41"/>
        <v/>
      </c>
      <c r="AJ265" t="str">
        <f t="shared" si="42"/>
        <v/>
      </c>
      <c r="AK265" t="str">
        <f t="shared" si="43"/>
        <v/>
      </c>
      <c r="AL265" t="str">
        <f t="shared" si="44"/>
        <v/>
      </c>
    </row>
    <row r="266" spans="22:38">
      <c r="V266" s="38"/>
      <c r="AF266" s="38" t="str">
        <f t="shared" si="38"/>
        <v/>
      </c>
      <c r="AG266" t="str">
        <f t="shared" si="39"/>
        <v/>
      </c>
      <c r="AH266" t="str">
        <f t="shared" si="40"/>
        <v/>
      </c>
      <c r="AI266" t="str">
        <f t="shared" si="41"/>
        <v/>
      </c>
      <c r="AJ266" t="str">
        <f t="shared" si="42"/>
        <v/>
      </c>
      <c r="AK266" t="str">
        <f t="shared" si="43"/>
        <v/>
      </c>
      <c r="AL266" t="str">
        <f t="shared" si="44"/>
        <v/>
      </c>
    </row>
    <row r="267" spans="22:38">
      <c r="V267" s="38"/>
      <c r="AF267" s="38" t="str">
        <f t="shared" si="38"/>
        <v/>
      </c>
      <c r="AG267" t="str">
        <f t="shared" si="39"/>
        <v/>
      </c>
      <c r="AH267" t="str">
        <f t="shared" si="40"/>
        <v/>
      </c>
      <c r="AI267" t="str">
        <f t="shared" si="41"/>
        <v/>
      </c>
      <c r="AJ267" t="str">
        <f t="shared" si="42"/>
        <v/>
      </c>
      <c r="AK267" t="str">
        <f t="shared" si="43"/>
        <v/>
      </c>
      <c r="AL267" t="str">
        <f t="shared" si="44"/>
        <v/>
      </c>
    </row>
    <row r="268" spans="22:38">
      <c r="V268" s="38"/>
      <c r="AF268" s="38" t="str">
        <f t="shared" si="38"/>
        <v/>
      </c>
      <c r="AG268" t="str">
        <f t="shared" si="39"/>
        <v/>
      </c>
      <c r="AH268" t="str">
        <f t="shared" si="40"/>
        <v/>
      </c>
      <c r="AI268" t="str">
        <f t="shared" si="41"/>
        <v/>
      </c>
      <c r="AJ268" t="str">
        <f t="shared" si="42"/>
        <v/>
      </c>
      <c r="AK268" t="str">
        <f t="shared" si="43"/>
        <v/>
      </c>
      <c r="AL268" t="str">
        <f t="shared" si="44"/>
        <v/>
      </c>
    </row>
    <row r="269" spans="22:38">
      <c r="V269" s="38"/>
      <c r="AF269" s="38" t="str">
        <f t="shared" si="38"/>
        <v/>
      </c>
      <c r="AG269" t="str">
        <f t="shared" si="39"/>
        <v/>
      </c>
      <c r="AH269" t="str">
        <f t="shared" si="40"/>
        <v/>
      </c>
      <c r="AI269" t="str">
        <f t="shared" si="41"/>
        <v/>
      </c>
      <c r="AJ269" t="str">
        <f t="shared" si="42"/>
        <v/>
      </c>
      <c r="AK269" t="str">
        <f t="shared" si="43"/>
        <v/>
      </c>
      <c r="AL269" t="str">
        <f t="shared" si="44"/>
        <v/>
      </c>
    </row>
    <row r="270" spans="22:38">
      <c r="V270" s="38"/>
      <c r="AF270" s="38" t="str">
        <f t="shared" si="38"/>
        <v/>
      </c>
      <c r="AG270" t="str">
        <f t="shared" si="39"/>
        <v/>
      </c>
      <c r="AH270" t="str">
        <f t="shared" si="40"/>
        <v/>
      </c>
      <c r="AI270" t="str">
        <f t="shared" si="41"/>
        <v/>
      </c>
      <c r="AJ270" t="str">
        <f t="shared" si="42"/>
        <v/>
      </c>
      <c r="AK270" t="str">
        <f t="shared" si="43"/>
        <v/>
      </c>
      <c r="AL270" t="str">
        <f t="shared" si="44"/>
        <v/>
      </c>
    </row>
    <row r="271" spans="22:38">
      <c r="V271" s="38"/>
      <c r="AF271" s="38" t="str">
        <f t="shared" si="38"/>
        <v/>
      </c>
      <c r="AG271" t="str">
        <f t="shared" si="39"/>
        <v/>
      </c>
      <c r="AH271" t="str">
        <f t="shared" si="40"/>
        <v/>
      </c>
      <c r="AI271" t="str">
        <f t="shared" si="41"/>
        <v/>
      </c>
      <c r="AJ271" t="str">
        <f t="shared" si="42"/>
        <v/>
      </c>
      <c r="AK271" t="str">
        <f t="shared" si="43"/>
        <v/>
      </c>
      <c r="AL271" t="str">
        <f t="shared" si="44"/>
        <v/>
      </c>
    </row>
    <row r="272" spans="22:38">
      <c r="V272" s="38"/>
      <c r="AF272" s="38" t="str">
        <f t="shared" si="38"/>
        <v/>
      </c>
      <c r="AG272" t="str">
        <f t="shared" si="39"/>
        <v/>
      </c>
      <c r="AH272" t="str">
        <f t="shared" si="40"/>
        <v/>
      </c>
      <c r="AI272" t="str">
        <f t="shared" si="41"/>
        <v/>
      </c>
      <c r="AJ272" t="str">
        <f t="shared" si="42"/>
        <v/>
      </c>
      <c r="AK272" t="str">
        <f t="shared" si="43"/>
        <v/>
      </c>
      <c r="AL272" t="str">
        <f t="shared" si="44"/>
        <v/>
      </c>
    </row>
    <row r="273" spans="22:38">
      <c r="V273" s="38"/>
      <c r="AF273" s="38" t="str">
        <f t="shared" si="38"/>
        <v/>
      </c>
      <c r="AG273" t="str">
        <f t="shared" si="39"/>
        <v/>
      </c>
      <c r="AH273" t="str">
        <f t="shared" si="40"/>
        <v/>
      </c>
      <c r="AI273" t="str">
        <f t="shared" si="41"/>
        <v/>
      </c>
      <c r="AJ273" t="str">
        <f t="shared" si="42"/>
        <v/>
      </c>
      <c r="AK273" t="str">
        <f t="shared" si="43"/>
        <v/>
      </c>
      <c r="AL273" t="str">
        <f t="shared" si="44"/>
        <v/>
      </c>
    </row>
    <row r="274" spans="22:38">
      <c r="V274" s="38"/>
      <c r="AF274" s="38" t="str">
        <f t="shared" si="38"/>
        <v/>
      </c>
      <c r="AG274" t="str">
        <f t="shared" si="39"/>
        <v/>
      </c>
      <c r="AH274" t="str">
        <f t="shared" si="40"/>
        <v/>
      </c>
      <c r="AI274" t="str">
        <f t="shared" si="41"/>
        <v/>
      </c>
      <c r="AJ274" t="str">
        <f t="shared" si="42"/>
        <v/>
      </c>
      <c r="AK274" t="str">
        <f t="shared" si="43"/>
        <v/>
      </c>
      <c r="AL274" t="str">
        <f t="shared" si="44"/>
        <v/>
      </c>
    </row>
    <row r="275" spans="22:38">
      <c r="V275" s="38"/>
      <c r="AF275" s="38" t="str">
        <f t="shared" si="38"/>
        <v/>
      </c>
      <c r="AG275" t="str">
        <f t="shared" si="39"/>
        <v/>
      </c>
      <c r="AH275" t="str">
        <f t="shared" si="40"/>
        <v/>
      </c>
      <c r="AI275" t="str">
        <f t="shared" si="41"/>
        <v/>
      </c>
      <c r="AJ275" t="str">
        <f t="shared" si="42"/>
        <v/>
      </c>
      <c r="AK275" t="str">
        <f t="shared" si="43"/>
        <v/>
      </c>
      <c r="AL275" t="str">
        <f t="shared" si="44"/>
        <v/>
      </c>
    </row>
    <row r="276" spans="22:38">
      <c r="V276" s="38"/>
      <c r="AF276" s="38" t="str">
        <f t="shared" si="38"/>
        <v/>
      </c>
      <c r="AG276" t="str">
        <f t="shared" si="39"/>
        <v/>
      </c>
      <c r="AH276" t="str">
        <f t="shared" si="40"/>
        <v/>
      </c>
      <c r="AI276" t="str">
        <f t="shared" si="41"/>
        <v/>
      </c>
      <c r="AJ276" t="str">
        <f t="shared" si="42"/>
        <v/>
      </c>
      <c r="AK276" t="str">
        <f t="shared" si="43"/>
        <v/>
      </c>
      <c r="AL276" t="str">
        <f t="shared" si="44"/>
        <v/>
      </c>
    </row>
    <row r="277" spans="22:38">
      <c r="V277" s="38"/>
      <c r="AF277" s="38" t="str">
        <f t="shared" si="38"/>
        <v/>
      </c>
      <c r="AG277" t="str">
        <f t="shared" si="39"/>
        <v/>
      </c>
      <c r="AH277" t="str">
        <f t="shared" si="40"/>
        <v/>
      </c>
      <c r="AI277" t="str">
        <f t="shared" si="41"/>
        <v/>
      </c>
      <c r="AJ277" t="str">
        <f t="shared" si="42"/>
        <v/>
      </c>
      <c r="AK277" t="str">
        <f t="shared" si="43"/>
        <v/>
      </c>
      <c r="AL277" t="str">
        <f t="shared" si="44"/>
        <v/>
      </c>
    </row>
    <row r="278" spans="22:38">
      <c r="V278" s="38"/>
      <c r="AF278" s="38" t="str">
        <f t="shared" si="38"/>
        <v/>
      </c>
      <c r="AG278" t="str">
        <f t="shared" si="39"/>
        <v/>
      </c>
      <c r="AH278" t="str">
        <f t="shared" si="40"/>
        <v/>
      </c>
      <c r="AI278" t="str">
        <f t="shared" si="41"/>
        <v/>
      </c>
      <c r="AJ278" t="str">
        <f t="shared" si="42"/>
        <v/>
      </c>
      <c r="AK278" t="str">
        <f t="shared" si="43"/>
        <v/>
      </c>
      <c r="AL278" t="str">
        <f t="shared" si="44"/>
        <v/>
      </c>
    </row>
    <row r="279" spans="22:38">
      <c r="V279" s="38"/>
      <c r="AF279" s="38" t="str">
        <f t="shared" si="38"/>
        <v/>
      </c>
      <c r="AG279" t="str">
        <f t="shared" si="39"/>
        <v/>
      </c>
      <c r="AH279" t="str">
        <f t="shared" si="40"/>
        <v/>
      </c>
      <c r="AI279" t="str">
        <f t="shared" si="41"/>
        <v/>
      </c>
      <c r="AJ279" t="str">
        <f t="shared" si="42"/>
        <v/>
      </c>
      <c r="AK279" t="str">
        <f t="shared" si="43"/>
        <v/>
      </c>
      <c r="AL279" t="str">
        <f t="shared" si="44"/>
        <v/>
      </c>
    </row>
    <row r="280" spans="22:38">
      <c r="V280" s="38"/>
      <c r="AF280" s="38" t="str">
        <f t="shared" si="38"/>
        <v/>
      </c>
      <c r="AG280" t="str">
        <f t="shared" si="39"/>
        <v/>
      </c>
      <c r="AH280" t="str">
        <f t="shared" si="40"/>
        <v/>
      </c>
      <c r="AI280" t="str">
        <f t="shared" si="41"/>
        <v/>
      </c>
      <c r="AJ280" t="str">
        <f t="shared" si="42"/>
        <v/>
      </c>
      <c r="AK280" t="str">
        <f t="shared" si="43"/>
        <v/>
      </c>
      <c r="AL280" t="str">
        <f t="shared" si="44"/>
        <v/>
      </c>
    </row>
    <row r="281" spans="22:38">
      <c r="V281" s="38"/>
      <c r="AF281" s="38" t="str">
        <f t="shared" si="38"/>
        <v/>
      </c>
      <c r="AG281" t="str">
        <f t="shared" si="39"/>
        <v/>
      </c>
      <c r="AH281" t="str">
        <f t="shared" si="40"/>
        <v/>
      </c>
      <c r="AI281" t="str">
        <f t="shared" si="41"/>
        <v/>
      </c>
      <c r="AJ281" t="str">
        <f t="shared" si="42"/>
        <v/>
      </c>
      <c r="AK281" t="str">
        <f t="shared" si="43"/>
        <v/>
      </c>
      <c r="AL281" t="str">
        <f t="shared" si="44"/>
        <v/>
      </c>
    </row>
    <row r="282" spans="22:38">
      <c r="V282" s="38"/>
      <c r="AF282" s="38" t="str">
        <f t="shared" si="38"/>
        <v/>
      </c>
      <c r="AG282" t="str">
        <f t="shared" si="39"/>
        <v/>
      </c>
      <c r="AH282" t="str">
        <f t="shared" si="40"/>
        <v/>
      </c>
      <c r="AI282" t="str">
        <f t="shared" si="41"/>
        <v/>
      </c>
      <c r="AJ282" t="str">
        <f t="shared" si="42"/>
        <v/>
      </c>
      <c r="AK282" t="str">
        <f t="shared" si="43"/>
        <v/>
      </c>
      <c r="AL282" t="str">
        <f t="shared" si="44"/>
        <v/>
      </c>
    </row>
    <row r="283" spans="22:38">
      <c r="V283" s="38"/>
      <c r="AF283" s="38" t="str">
        <f t="shared" si="38"/>
        <v/>
      </c>
      <c r="AG283" t="str">
        <f t="shared" si="39"/>
        <v/>
      </c>
      <c r="AH283" t="str">
        <f t="shared" si="40"/>
        <v/>
      </c>
      <c r="AI283" t="str">
        <f t="shared" si="41"/>
        <v/>
      </c>
      <c r="AJ283" t="str">
        <f t="shared" si="42"/>
        <v/>
      </c>
      <c r="AK283" t="str">
        <f t="shared" si="43"/>
        <v/>
      </c>
      <c r="AL283" t="str">
        <f t="shared" si="44"/>
        <v/>
      </c>
    </row>
    <row r="284" spans="22:38">
      <c r="V284" s="38"/>
      <c r="AF284" s="38" t="str">
        <f t="shared" si="38"/>
        <v/>
      </c>
      <c r="AG284" t="str">
        <f t="shared" si="39"/>
        <v/>
      </c>
      <c r="AH284" t="str">
        <f t="shared" si="40"/>
        <v/>
      </c>
      <c r="AI284" t="str">
        <f t="shared" si="41"/>
        <v/>
      </c>
      <c r="AJ284" t="str">
        <f t="shared" si="42"/>
        <v/>
      </c>
      <c r="AK284" t="str">
        <f t="shared" si="43"/>
        <v/>
      </c>
      <c r="AL284" t="str">
        <f t="shared" si="44"/>
        <v/>
      </c>
    </row>
    <row r="285" spans="22:38">
      <c r="V285" s="38"/>
      <c r="AF285" s="38" t="str">
        <f t="shared" si="38"/>
        <v/>
      </c>
      <c r="AG285" t="str">
        <f t="shared" si="39"/>
        <v/>
      </c>
      <c r="AH285" t="str">
        <f t="shared" si="40"/>
        <v/>
      </c>
      <c r="AI285" t="str">
        <f t="shared" si="41"/>
        <v/>
      </c>
      <c r="AJ285" t="str">
        <f t="shared" si="42"/>
        <v/>
      </c>
      <c r="AK285" t="str">
        <f t="shared" si="43"/>
        <v/>
      </c>
      <c r="AL285" t="str">
        <f t="shared" si="44"/>
        <v/>
      </c>
    </row>
    <row r="286" spans="22:38">
      <c r="V286" s="38"/>
      <c r="AF286" s="38" t="str">
        <f t="shared" si="38"/>
        <v/>
      </c>
      <c r="AG286" t="str">
        <f t="shared" si="39"/>
        <v/>
      </c>
      <c r="AH286" t="str">
        <f t="shared" si="40"/>
        <v/>
      </c>
      <c r="AI286" t="str">
        <f t="shared" si="41"/>
        <v/>
      </c>
      <c r="AJ286" t="str">
        <f t="shared" si="42"/>
        <v/>
      </c>
      <c r="AK286" t="str">
        <f t="shared" si="43"/>
        <v/>
      </c>
      <c r="AL286" t="str">
        <f t="shared" si="44"/>
        <v/>
      </c>
    </row>
    <row r="287" spans="22:38">
      <c r="V287" s="38"/>
      <c r="AF287" s="38" t="str">
        <f t="shared" si="38"/>
        <v/>
      </c>
      <c r="AG287" t="str">
        <f t="shared" si="39"/>
        <v/>
      </c>
      <c r="AH287" t="str">
        <f t="shared" si="40"/>
        <v/>
      </c>
      <c r="AI287" t="str">
        <f t="shared" si="41"/>
        <v/>
      </c>
      <c r="AJ287" t="str">
        <f t="shared" si="42"/>
        <v/>
      </c>
      <c r="AK287" t="str">
        <f t="shared" si="43"/>
        <v/>
      </c>
      <c r="AL287" t="str">
        <f t="shared" si="44"/>
        <v/>
      </c>
    </row>
    <row r="288" spans="22:38">
      <c r="V288" s="38"/>
      <c r="AF288" s="38" t="str">
        <f t="shared" si="38"/>
        <v/>
      </c>
      <c r="AG288" t="str">
        <f t="shared" si="39"/>
        <v/>
      </c>
      <c r="AH288" t="str">
        <f t="shared" si="40"/>
        <v/>
      </c>
      <c r="AI288" t="str">
        <f t="shared" si="41"/>
        <v/>
      </c>
      <c r="AJ288" t="str">
        <f t="shared" si="42"/>
        <v/>
      </c>
      <c r="AK288" t="str">
        <f t="shared" si="43"/>
        <v/>
      </c>
      <c r="AL288" t="str">
        <f t="shared" si="44"/>
        <v/>
      </c>
    </row>
    <row r="289" spans="22:38">
      <c r="V289" s="38"/>
      <c r="AF289" s="38" t="str">
        <f t="shared" si="38"/>
        <v/>
      </c>
      <c r="AG289" t="str">
        <f t="shared" si="39"/>
        <v/>
      </c>
      <c r="AH289" t="str">
        <f t="shared" si="40"/>
        <v/>
      </c>
      <c r="AI289" t="str">
        <f t="shared" si="41"/>
        <v/>
      </c>
      <c r="AJ289" t="str">
        <f t="shared" si="42"/>
        <v/>
      </c>
      <c r="AK289" t="str">
        <f t="shared" si="43"/>
        <v/>
      </c>
      <c r="AL289" t="str">
        <f t="shared" si="44"/>
        <v/>
      </c>
    </row>
    <row r="290" spans="22:38">
      <c r="V290" s="38"/>
      <c r="AF290" s="38" t="str">
        <f t="shared" si="38"/>
        <v/>
      </c>
      <c r="AG290" t="str">
        <f t="shared" si="39"/>
        <v/>
      </c>
      <c r="AH290" t="str">
        <f t="shared" si="40"/>
        <v/>
      </c>
      <c r="AI290" t="str">
        <f t="shared" si="41"/>
        <v/>
      </c>
      <c r="AJ290" t="str">
        <f t="shared" si="42"/>
        <v/>
      </c>
      <c r="AK290" t="str">
        <f t="shared" si="43"/>
        <v/>
      </c>
      <c r="AL290" t="str">
        <f t="shared" si="44"/>
        <v/>
      </c>
    </row>
    <row r="291" spans="22:38">
      <c r="V291" s="38"/>
      <c r="AF291" s="38" t="str">
        <f t="shared" si="38"/>
        <v/>
      </c>
      <c r="AG291" t="str">
        <f t="shared" si="39"/>
        <v/>
      </c>
      <c r="AH291" t="str">
        <f t="shared" si="40"/>
        <v/>
      </c>
      <c r="AI291" t="str">
        <f t="shared" si="41"/>
        <v/>
      </c>
      <c r="AJ291" t="str">
        <f t="shared" si="42"/>
        <v/>
      </c>
      <c r="AK291" t="str">
        <f t="shared" si="43"/>
        <v/>
      </c>
      <c r="AL291" t="str">
        <f t="shared" si="44"/>
        <v/>
      </c>
    </row>
    <row r="292" spans="22:38">
      <c r="V292" s="38"/>
      <c r="AF292" s="38" t="str">
        <f t="shared" si="38"/>
        <v/>
      </c>
      <c r="AG292" t="str">
        <f t="shared" si="39"/>
        <v/>
      </c>
      <c r="AH292" t="str">
        <f t="shared" si="40"/>
        <v/>
      </c>
      <c r="AI292" t="str">
        <f t="shared" si="41"/>
        <v/>
      </c>
      <c r="AJ292" t="str">
        <f t="shared" si="42"/>
        <v/>
      </c>
      <c r="AK292" t="str">
        <f t="shared" si="43"/>
        <v/>
      </c>
      <c r="AL292" t="str">
        <f t="shared" si="44"/>
        <v/>
      </c>
    </row>
    <row r="293" spans="22:38">
      <c r="V293" s="38"/>
      <c r="AF293" s="38" t="str">
        <f t="shared" si="38"/>
        <v/>
      </c>
      <c r="AG293" t="str">
        <f t="shared" si="39"/>
        <v/>
      </c>
      <c r="AH293" t="str">
        <f t="shared" si="40"/>
        <v/>
      </c>
      <c r="AI293" t="str">
        <f t="shared" si="41"/>
        <v/>
      </c>
      <c r="AJ293" t="str">
        <f t="shared" si="42"/>
        <v/>
      </c>
      <c r="AK293" t="str">
        <f t="shared" si="43"/>
        <v/>
      </c>
      <c r="AL293" t="str">
        <f t="shared" si="44"/>
        <v/>
      </c>
    </row>
    <row r="294" spans="22:38">
      <c r="V294" s="38"/>
      <c r="AF294" s="38" t="str">
        <f t="shared" si="38"/>
        <v/>
      </c>
      <c r="AG294" t="str">
        <f t="shared" si="39"/>
        <v/>
      </c>
      <c r="AH294" t="str">
        <f t="shared" si="40"/>
        <v/>
      </c>
      <c r="AI294" t="str">
        <f t="shared" si="41"/>
        <v/>
      </c>
      <c r="AJ294" t="str">
        <f t="shared" si="42"/>
        <v/>
      </c>
      <c r="AK294" t="str">
        <f t="shared" si="43"/>
        <v/>
      </c>
      <c r="AL294" t="str">
        <f t="shared" si="44"/>
        <v/>
      </c>
    </row>
    <row r="295" spans="22:38">
      <c r="V295" s="38"/>
      <c r="AF295" s="38" t="str">
        <f t="shared" si="38"/>
        <v/>
      </c>
      <c r="AG295" t="str">
        <f t="shared" si="39"/>
        <v/>
      </c>
      <c r="AH295" t="str">
        <f t="shared" si="40"/>
        <v/>
      </c>
      <c r="AI295" t="str">
        <f t="shared" si="41"/>
        <v/>
      </c>
      <c r="AJ295" t="str">
        <f t="shared" si="42"/>
        <v/>
      </c>
      <c r="AK295" t="str">
        <f t="shared" si="43"/>
        <v/>
      </c>
      <c r="AL295" t="str">
        <f t="shared" si="44"/>
        <v/>
      </c>
    </row>
    <row r="296" spans="22:38">
      <c r="V296" s="38"/>
      <c r="AF296" s="38" t="str">
        <f t="shared" si="38"/>
        <v/>
      </c>
      <c r="AG296" t="str">
        <f t="shared" si="39"/>
        <v/>
      </c>
      <c r="AH296" t="str">
        <f t="shared" si="40"/>
        <v/>
      </c>
      <c r="AI296" t="str">
        <f t="shared" si="41"/>
        <v/>
      </c>
      <c r="AJ296" t="str">
        <f t="shared" si="42"/>
        <v/>
      </c>
      <c r="AK296" t="str">
        <f t="shared" si="43"/>
        <v/>
      </c>
      <c r="AL296" t="str">
        <f t="shared" si="44"/>
        <v/>
      </c>
    </row>
    <row r="297" spans="22:38">
      <c r="V297" s="38"/>
      <c r="AF297" s="38" t="str">
        <f t="shared" si="38"/>
        <v/>
      </c>
      <c r="AG297" t="str">
        <f t="shared" si="39"/>
        <v/>
      </c>
      <c r="AH297" t="str">
        <f t="shared" si="40"/>
        <v/>
      </c>
      <c r="AI297" t="str">
        <f t="shared" si="41"/>
        <v/>
      </c>
      <c r="AJ297" t="str">
        <f t="shared" si="42"/>
        <v/>
      </c>
      <c r="AK297" t="str">
        <f t="shared" si="43"/>
        <v/>
      </c>
      <c r="AL297" t="str">
        <f t="shared" si="44"/>
        <v/>
      </c>
    </row>
    <row r="298" spans="22:38">
      <c r="V298" s="38"/>
      <c r="AF298" s="38" t="str">
        <f t="shared" si="38"/>
        <v/>
      </c>
      <c r="AG298" t="str">
        <f t="shared" si="39"/>
        <v/>
      </c>
      <c r="AH298" t="str">
        <f t="shared" si="40"/>
        <v/>
      </c>
      <c r="AI298" t="str">
        <f t="shared" si="41"/>
        <v/>
      </c>
      <c r="AJ298" t="str">
        <f t="shared" si="42"/>
        <v/>
      </c>
      <c r="AK298" t="str">
        <f t="shared" si="43"/>
        <v/>
      </c>
      <c r="AL298" t="str">
        <f t="shared" si="44"/>
        <v/>
      </c>
    </row>
    <row r="299" spans="22:38">
      <c r="V299" s="38"/>
      <c r="AF299" s="38" t="str">
        <f t="shared" si="38"/>
        <v/>
      </c>
      <c r="AG299" t="str">
        <f t="shared" si="39"/>
        <v/>
      </c>
      <c r="AH299" t="str">
        <f t="shared" si="40"/>
        <v/>
      </c>
      <c r="AI299" t="str">
        <f t="shared" si="41"/>
        <v/>
      </c>
      <c r="AJ299" t="str">
        <f t="shared" si="42"/>
        <v/>
      </c>
      <c r="AK299" t="str">
        <f t="shared" si="43"/>
        <v/>
      </c>
      <c r="AL299" t="str">
        <f t="shared" si="44"/>
        <v/>
      </c>
    </row>
    <row r="300" spans="22:38">
      <c r="V300" s="38"/>
      <c r="AF300" s="38" t="str">
        <f t="shared" si="38"/>
        <v/>
      </c>
      <c r="AG300" t="str">
        <f t="shared" si="39"/>
        <v/>
      </c>
      <c r="AH300" t="str">
        <f t="shared" si="40"/>
        <v/>
      </c>
      <c r="AI300" t="str">
        <f t="shared" si="41"/>
        <v/>
      </c>
      <c r="AJ300" t="str">
        <f t="shared" si="42"/>
        <v/>
      </c>
      <c r="AK300" t="str">
        <f t="shared" si="43"/>
        <v/>
      </c>
      <c r="AL300" t="str">
        <f t="shared" si="44"/>
        <v/>
      </c>
    </row>
    <row r="301" spans="22:38">
      <c r="V301" s="38"/>
      <c r="AF301" s="38" t="str">
        <f t="shared" si="38"/>
        <v/>
      </c>
      <c r="AG301" t="str">
        <f t="shared" si="39"/>
        <v/>
      </c>
      <c r="AH301" t="str">
        <f t="shared" si="40"/>
        <v/>
      </c>
      <c r="AI301" t="str">
        <f t="shared" si="41"/>
        <v/>
      </c>
      <c r="AJ301" t="str">
        <f t="shared" si="42"/>
        <v/>
      </c>
      <c r="AK301" t="str">
        <f t="shared" si="43"/>
        <v/>
      </c>
      <c r="AL301" t="str">
        <f t="shared" si="44"/>
        <v/>
      </c>
    </row>
    <row r="302" spans="22:38">
      <c r="V302" s="38"/>
      <c r="AF302" s="38" t="str">
        <f t="shared" si="38"/>
        <v/>
      </c>
      <c r="AG302" t="str">
        <f t="shared" si="39"/>
        <v/>
      </c>
      <c r="AH302" t="str">
        <f t="shared" si="40"/>
        <v/>
      </c>
      <c r="AI302" t="str">
        <f t="shared" si="41"/>
        <v/>
      </c>
      <c r="AJ302" t="str">
        <f t="shared" si="42"/>
        <v/>
      </c>
      <c r="AK302" t="str">
        <f t="shared" si="43"/>
        <v/>
      </c>
      <c r="AL302" t="str">
        <f t="shared" si="44"/>
        <v/>
      </c>
    </row>
    <row r="303" spans="22:38">
      <c r="V303" s="38"/>
      <c r="AF303" s="38" t="str">
        <f t="shared" si="38"/>
        <v/>
      </c>
      <c r="AG303" t="str">
        <f t="shared" si="39"/>
        <v/>
      </c>
      <c r="AH303" t="str">
        <f t="shared" si="40"/>
        <v/>
      </c>
      <c r="AI303" t="str">
        <f t="shared" si="41"/>
        <v/>
      </c>
      <c r="AJ303" t="str">
        <f t="shared" si="42"/>
        <v/>
      </c>
      <c r="AK303" t="str">
        <f t="shared" si="43"/>
        <v/>
      </c>
      <c r="AL303" t="str">
        <f t="shared" si="44"/>
        <v/>
      </c>
    </row>
    <row r="304" spans="22:38">
      <c r="V304" s="38"/>
      <c r="AF304" s="38" t="str">
        <f t="shared" si="38"/>
        <v/>
      </c>
      <c r="AG304" t="str">
        <f t="shared" si="39"/>
        <v/>
      </c>
      <c r="AH304" t="str">
        <f t="shared" si="40"/>
        <v/>
      </c>
      <c r="AI304" t="str">
        <f t="shared" si="41"/>
        <v/>
      </c>
      <c r="AJ304" t="str">
        <f t="shared" si="42"/>
        <v/>
      </c>
      <c r="AK304" t="str">
        <f t="shared" si="43"/>
        <v/>
      </c>
      <c r="AL304" t="str">
        <f t="shared" si="44"/>
        <v/>
      </c>
    </row>
    <row r="305" spans="22:38">
      <c r="V305" s="38"/>
      <c r="AF305" s="38" t="str">
        <f t="shared" si="38"/>
        <v/>
      </c>
      <c r="AG305" t="str">
        <f t="shared" si="39"/>
        <v/>
      </c>
      <c r="AH305" t="str">
        <f t="shared" si="40"/>
        <v/>
      </c>
      <c r="AI305" t="str">
        <f t="shared" si="41"/>
        <v/>
      </c>
      <c r="AJ305" t="str">
        <f t="shared" si="42"/>
        <v/>
      </c>
      <c r="AK305" t="str">
        <f t="shared" si="43"/>
        <v/>
      </c>
      <c r="AL305" t="str">
        <f t="shared" si="44"/>
        <v/>
      </c>
    </row>
    <row r="306" spans="22:38">
      <c r="V306" s="38"/>
      <c r="AF306" s="38" t="str">
        <f t="shared" si="38"/>
        <v/>
      </c>
      <c r="AG306" t="str">
        <f t="shared" si="39"/>
        <v/>
      </c>
      <c r="AH306" t="str">
        <f t="shared" si="40"/>
        <v/>
      </c>
      <c r="AI306" t="str">
        <f t="shared" si="41"/>
        <v/>
      </c>
      <c r="AJ306" t="str">
        <f t="shared" si="42"/>
        <v/>
      </c>
      <c r="AK306" t="str">
        <f t="shared" si="43"/>
        <v/>
      </c>
      <c r="AL306" t="str">
        <f t="shared" si="44"/>
        <v/>
      </c>
    </row>
    <row r="307" spans="22:38">
      <c r="V307" s="38"/>
      <c r="AF307" s="38" t="str">
        <f t="shared" si="38"/>
        <v/>
      </c>
      <c r="AG307" t="str">
        <f t="shared" si="39"/>
        <v/>
      </c>
      <c r="AH307" t="str">
        <f t="shared" si="40"/>
        <v/>
      </c>
      <c r="AI307" t="str">
        <f t="shared" si="41"/>
        <v/>
      </c>
      <c r="AJ307" t="str">
        <f t="shared" si="42"/>
        <v/>
      </c>
      <c r="AK307" t="str">
        <f t="shared" si="43"/>
        <v/>
      </c>
      <c r="AL307" t="str">
        <f t="shared" si="44"/>
        <v/>
      </c>
    </row>
    <row r="308" spans="22:38">
      <c r="V308" s="38"/>
      <c r="AF308" s="38" t="str">
        <f t="shared" si="38"/>
        <v/>
      </c>
      <c r="AG308" t="str">
        <f t="shared" si="39"/>
        <v/>
      </c>
      <c r="AH308" t="str">
        <f t="shared" si="40"/>
        <v/>
      </c>
      <c r="AI308" t="str">
        <f t="shared" si="41"/>
        <v/>
      </c>
      <c r="AJ308" t="str">
        <f t="shared" si="42"/>
        <v/>
      </c>
      <c r="AK308" t="str">
        <f t="shared" si="43"/>
        <v/>
      </c>
      <c r="AL308" t="str">
        <f t="shared" si="44"/>
        <v/>
      </c>
    </row>
    <row r="309" spans="22:38">
      <c r="V309" s="38"/>
      <c r="AF309" s="38" t="str">
        <f t="shared" si="38"/>
        <v/>
      </c>
      <c r="AG309" t="str">
        <f t="shared" si="39"/>
        <v/>
      </c>
      <c r="AH309" t="str">
        <f t="shared" si="40"/>
        <v/>
      </c>
      <c r="AI309" t="str">
        <f t="shared" si="41"/>
        <v/>
      </c>
      <c r="AJ309" t="str">
        <f t="shared" si="42"/>
        <v/>
      </c>
      <c r="AK309" t="str">
        <f t="shared" si="43"/>
        <v/>
      </c>
      <c r="AL309" t="str">
        <f t="shared" si="44"/>
        <v/>
      </c>
    </row>
    <row r="310" spans="22:38">
      <c r="V310" s="38"/>
      <c r="AF310" s="38" t="str">
        <f t="shared" si="38"/>
        <v/>
      </c>
      <c r="AG310" t="str">
        <f t="shared" si="39"/>
        <v/>
      </c>
      <c r="AH310" t="str">
        <f t="shared" si="40"/>
        <v/>
      </c>
      <c r="AI310" t="str">
        <f t="shared" si="41"/>
        <v/>
      </c>
      <c r="AJ310" t="str">
        <f t="shared" si="42"/>
        <v/>
      </c>
      <c r="AK310" t="str">
        <f t="shared" si="43"/>
        <v/>
      </c>
      <c r="AL310" t="str">
        <f t="shared" si="44"/>
        <v/>
      </c>
    </row>
    <row r="311" spans="22:38">
      <c r="V311" s="38"/>
      <c r="AF311" s="38" t="str">
        <f t="shared" si="38"/>
        <v/>
      </c>
      <c r="AG311" t="str">
        <f t="shared" si="39"/>
        <v/>
      </c>
      <c r="AH311" t="str">
        <f t="shared" si="40"/>
        <v/>
      </c>
      <c r="AI311" t="str">
        <f t="shared" si="41"/>
        <v/>
      </c>
      <c r="AJ311" t="str">
        <f t="shared" si="42"/>
        <v/>
      </c>
      <c r="AK311" t="str">
        <f t="shared" si="43"/>
        <v/>
      </c>
      <c r="AL311" t="str">
        <f t="shared" si="44"/>
        <v/>
      </c>
    </row>
    <row r="312" spans="22:38">
      <c r="V312" s="38"/>
      <c r="AF312" s="38" t="str">
        <f t="shared" si="38"/>
        <v/>
      </c>
      <c r="AG312" t="str">
        <f t="shared" si="39"/>
        <v/>
      </c>
      <c r="AH312" t="str">
        <f t="shared" si="40"/>
        <v/>
      </c>
      <c r="AI312" t="str">
        <f t="shared" si="41"/>
        <v/>
      </c>
      <c r="AJ312" t="str">
        <f t="shared" si="42"/>
        <v/>
      </c>
      <c r="AK312" t="str">
        <f t="shared" si="43"/>
        <v/>
      </c>
      <c r="AL312" t="str">
        <f t="shared" si="44"/>
        <v/>
      </c>
    </row>
    <row r="313" spans="22:38">
      <c r="V313" s="38"/>
      <c r="AF313" s="38" t="str">
        <f t="shared" si="38"/>
        <v/>
      </c>
      <c r="AG313" t="str">
        <f t="shared" si="39"/>
        <v/>
      </c>
      <c r="AH313" t="str">
        <f t="shared" si="40"/>
        <v/>
      </c>
      <c r="AI313" t="str">
        <f t="shared" si="41"/>
        <v/>
      </c>
      <c r="AJ313" t="str">
        <f t="shared" si="42"/>
        <v/>
      </c>
      <c r="AK313" t="str">
        <f t="shared" si="43"/>
        <v/>
      </c>
      <c r="AL313" t="str">
        <f t="shared" si="44"/>
        <v/>
      </c>
    </row>
    <row r="314" spans="22:38">
      <c r="V314" s="38"/>
      <c r="AF314" s="38" t="str">
        <f t="shared" si="38"/>
        <v/>
      </c>
      <c r="AG314" t="str">
        <f t="shared" si="39"/>
        <v/>
      </c>
      <c r="AH314" t="str">
        <f t="shared" si="40"/>
        <v/>
      </c>
      <c r="AI314" t="str">
        <f t="shared" si="41"/>
        <v/>
      </c>
      <c r="AJ314" t="str">
        <f t="shared" si="42"/>
        <v/>
      </c>
      <c r="AK314" t="str">
        <f t="shared" si="43"/>
        <v/>
      </c>
      <c r="AL314" t="str">
        <f t="shared" si="44"/>
        <v/>
      </c>
    </row>
    <row r="315" spans="22:38">
      <c r="V315" s="38"/>
      <c r="AF315" s="38" t="str">
        <f t="shared" si="38"/>
        <v/>
      </c>
      <c r="AG315" t="str">
        <f t="shared" si="39"/>
        <v/>
      </c>
      <c r="AH315" t="str">
        <f t="shared" si="40"/>
        <v/>
      </c>
      <c r="AI315" t="str">
        <f t="shared" si="41"/>
        <v/>
      </c>
      <c r="AJ315" t="str">
        <f t="shared" si="42"/>
        <v/>
      </c>
      <c r="AK315" t="str">
        <f t="shared" si="43"/>
        <v/>
      </c>
      <c r="AL315" t="str">
        <f t="shared" si="44"/>
        <v/>
      </c>
    </row>
    <row r="316" spans="22:38">
      <c r="V316" s="38"/>
      <c r="AF316" s="38" t="str">
        <f t="shared" si="38"/>
        <v/>
      </c>
      <c r="AG316" t="str">
        <f t="shared" si="39"/>
        <v/>
      </c>
      <c r="AH316" t="str">
        <f t="shared" si="40"/>
        <v/>
      </c>
      <c r="AI316" t="str">
        <f t="shared" si="41"/>
        <v/>
      </c>
      <c r="AJ316" t="str">
        <f t="shared" si="42"/>
        <v/>
      </c>
      <c r="AK316" t="str">
        <f t="shared" si="43"/>
        <v/>
      </c>
      <c r="AL316" t="str">
        <f t="shared" si="44"/>
        <v/>
      </c>
    </row>
    <row r="317" spans="22:38">
      <c r="V317" s="38"/>
      <c r="AF317" s="38" t="str">
        <f t="shared" si="38"/>
        <v/>
      </c>
      <c r="AG317" t="str">
        <f t="shared" si="39"/>
        <v/>
      </c>
      <c r="AH317" t="str">
        <f t="shared" si="40"/>
        <v/>
      </c>
      <c r="AI317" t="str">
        <f t="shared" si="41"/>
        <v/>
      </c>
      <c r="AJ317" t="str">
        <f t="shared" si="42"/>
        <v/>
      </c>
      <c r="AK317" t="str">
        <f t="shared" si="43"/>
        <v/>
      </c>
      <c r="AL317" t="str">
        <f t="shared" si="44"/>
        <v/>
      </c>
    </row>
    <row r="318" spans="22:38">
      <c r="V318" s="38"/>
      <c r="AF318" s="38" t="str">
        <f t="shared" si="38"/>
        <v/>
      </c>
      <c r="AG318" t="str">
        <f t="shared" si="39"/>
        <v/>
      </c>
      <c r="AH318" t="str">
        <f t="shared" si="40"/>
        <v/>
      </c>
      <c r="AI318" t="str">
        <f t="shared" si="41"/>
        <v/>
      </c>
      <c r="AJ318" t="str">
        <f t="shared" si="42"/>
        <v/>
      </c>
      <c r="AK318" t="str">
        <f t="shared" si="43"/>
        <v/>
      </c>
      <c r="AL318" t="str">
        <f t="shared" si="44"/>
        <v/>
      </c>
    </row>
    <row r="319" spans="22:38">
      <c r="V319" s="38"/>
      <c r="AF319" s="38" t="str">
        <f t="shared" si="38"/>
        <v/>
      </c>
      <c r="AG319" t="str">
        <f t="shared" si="39"/>
        <v/>
      </c>
      <c r="AH319" t="str">
        <f t="shared" si="40"/>
        <v/>
      </c>
      <c r="AI319" t="str">
        <f t="shared" si="41"/>
        <v/>
      </c>
      <c r="AJ319" t="str">
        <f t="shared" si="42"/>
        <v/>
      </c>
      <c r="AK319" t="str">
        <f t="shared" si="43"/>
        <v/>
      </c>
      <c r="AL319" t="str">
        <f t="shared" si="44"/>
        <v/>
      </c>
    </row>
    <row r="320" spans="22:38">
      <c r="V320" s="38"/>
      <c r="AF320" s="38" t="str">
        <f t="shared" si="38"/>
        <v/>
      </c>
      <c r="AG320" t="str">
        <f t="shared" si="39"/>
        <v/>
      </c>
      <c r="AH320" t="str">
        <f t="shared" si="40"/>
        <v/>
      </c>
      <c r="AI320" t="str">
        <f t="shared" si="41"/>
        <v/>
      </c>
      <c r="AJ320" t="str">
        <f t="shared" si="42"/>
        <v/>
      </c>
      <c r="AK320" t="str">
        <f t="shared" si="43"/>
        <v/>
      </c>
      <c r="AL320" t="str">
        <f t="shared" si="44"/>
        <v/>
      </c>
    </row>
    <row r="321" spans="22:38">
      <c r="V321" s="38"/>
      <c r="AF321" s="38" t="str">
        <f t="shared" si="38"/>
        <v/>
      </c>
      <c r="AG321" t="str">
        <f t="shared" si="39"/>
        <v/>
      </c>
      <c r="AH321" t="str">
        <f t="shared" si="40"/>
        <v/>
      </c>
      <c r="AI321" t="str">
        <f t="shared" si="41"/>
        <v/>
      </c>
      <c r="AJ321" t="str">
        <f t="shared" si="42"/>
        <v/>
      </c>
      <c r="AK321" t="str">
        <f t="shared" si="43"/>
        <v/>
      </c>
      <c r="AL321" t="str">
        <f t="shared" si="44"/>
        <v/>
      </c>
    </row>
    <row r="322" spans="22:38">
      <c r="V322" s="38"/>
      <c r="AF322" s="38" t="str">
        <f t="shared" si="38"/>
        <v/>
      </c>
      <c r="AG322" t="str">
        <f t="shared" si="39"/>
        <v/>
      </c>
      <c r="AH322" t="str">
        <f t="shared" si="40"/>
        <v/>
      </c>
      <c r="AI322" t="str">
        <f t="shared" si="41"/>
        <v/>
      </c>
      <c r="AJ322" t="str">
        <f t="shared" si="42"/>
        <v/>
      </c>
      <c r="AK322" t="str">
        <f t="shared" si="43"/>
        <v/>
      </c>
      <c r="AL322" t="str">
        <f t="shared" si="44"/>
        <v/>
      </c>
    </row>
    <row r="323" spans="22:38">
      <c r="V323" s="38"/>
      <c r="AF323" s="38" t="str">
        <f t="shared" si="38"/>
        <v/>
      </c>
      <c r="AG323" t="str">
        <f t="shared" si="39"/>
        <v/>
      </c>
      <c r="AH323" t="str">
        <f t="shared" si="40"/>
        <v/>
      </c>
      <c r="AI323" t="str">
        <f t="shared" si="41"/>
        <v/>
      </c>
      <c r="AJ323" t="str">
        <f t="shared" si="42"/>
        <v/>
      </c>
      <c r="AK323" t="str">
        <f t="shared" si="43"/>
        <v/>
      </c>
      <c r="AL323" t="str">
        <f t="shared" si="44"/>
        <v/>
      </c>
    </row>
    <row r="324" spans="22:38">
      <c r="V324" s="38"/>
      <c r="AF324" s="38" t="str">
        <f t="shared" ref="AF324:AF387" si="45">IF($V324="", "", $V324)</f>
        <v/>
      </c>
      <c r="AG324" t="str">
        <f t="shared" ref="AG324:AG387" si="46">IF($X324&lt;0, "NA", IF(ISERROR($W324/$X324), "", $W324/$X324))</f>
        <v/>
      </c>
      <c r="AH324" t="str">
        <f t="shared" ref="AH324:AH387" si="47">IF($Y324&lt;0, "NA", IF(ISERROR($W324/$Y324), "", $W324/$Y324))</f>
        <v/>
      </c>
      <c r="AI324" t="str">
        <f t="shared" ref="AI324:AI387" si="48">IF($Z324&lt;0, "NA", IF(ISERROR($W324/$Z324), "", $W324/$Z324))</f>
        <v/>
      </c>
      <c r="AJ324" t="str">
        <f t="shared" ref="AJ324:AJ387" si="49">IF($AB324&lt;0, "NA", IF(ISERROR($AA324/$AB324), "", $AA324/$AB324))</f>
        <v/>
      </c>
      <c r="AK324" t="str">
        <f t="shared" ref="AK324:AK387" si="50">IF($AC324&lt;0, "NA", IF(ISERROR($AA324/$AC324), "", $AA324/$AC324))</f>
        <v/>
      </c>
      <c r="AL324" t="str">
        <f t="shared" ref="AL324:AL387" si="51">IF($AD324&lt;0, "NA", IF(ISERROR($AA324/$AD324), "", $AA324/$AD324))</f>
        <v/>
      </c>
    </row>
    <row r="325" spans="22:38">
      <c r="V325" s="38"/>
      <c r="AF325" s="38" t="str">
        <f t="shared" si="45"/>
        <v/>
      </c>
      <c r="AG325" t="str">
        <f t="shared" si="46"/>
        <v/>
      </c>
      <c r="AH325" t="str">
        <f t="shared" si="47"/>
        <v/>
      </c>
      <c r="AI325" t="str">
        <f t="shared" si="48"/>
        <v/>
      </c>
      <c r="AJ325" t="str">
        <f t="shared" si="49"/>
        <v/>
      </c>
      <c r="AK325" t="str">
        <f t="shared" si="50"/>
        <v/>
      </c>
      <c r="AL325" t="str">
        <f t="shared" si="51"/>
        <v/>
      </c>
    </row>
    <row r="326" spans="22:38">
      <c r="V326" s="38"/>
      <c r="AF326" s="38" t="str">
        <f t="shared" si="45"/>
        <v/>
      </c>
      <c r="AG326" t="str">
        <f t="shared" si="46"/>
        <v/>
      </c>
      <c r="AH326" t="str">
        <f t="shared" si="47"/>
        <v/>
      </c>
      <c r="AI326" t="str">
        <f t="shared" si="48"/>
        <v/>
      </c>
      <c r="AJ326" t="str">
        <f t="shared" si="49"/>
        <v/>
      </c>
      <c r="AK326" t="str">
        <f t="shared" si="50"/>
        <v/>
      </c>
      <c r="AL326" t="str">
        <f t="shared" si="51"/>
        <v/>
      </c>
    </row>
    <row r="327" spans="22:38">
      <c r="V327" s="38"/>
      <c r="AF327" s="38" t="str">
        <f t="shared" si="45"/>
        <v/>
      </c>
      <c r="AG327" t="str">
        <f t="shared" si="46"/>
        <v/>
      </c>
      <c r="AH327" t="str">
        <f t="shared" si="47"/>
        <v/>
      </c>
      <c r="AI327" t="str">
        <f t="shared" si="48"/>
        <v/>
      </c>
      <c r="AJ327" t="str">
        <f t="shared" si="49"/>
        <v/>
      </c>
      <c r="AK327" t="str">
        <f t="shared" si="50"/>
        <v/>
      </c>
      <c r="AL327" t="str">
        <f t="shared" si="51"/>
        <v/>
      </c>
    </row>
    <row r="328" spans="22:38">
      <c r="V328" s="38"/>
      <c r="AF328" s="38" t="str">
        <f t="shared" si="45"/>
        <v/>
      </c>
      <c r="AG328" t="str">
        <f t="shared" si="46"/>
        <v/>
      </c>
      <c r="AH328" t="str">
        <f t="shared" si="47"/>
        <v/>
      </c>
      <c r="AI328" t="str">
        <f t="shared" si="48"/>
        <v/>
      </c>
      <c r="AJ328" t="str">
        <f t="shared" si="49"/>
        <v/>
      </c>
      <c r="AK328" t="str">
        <f t="shared" si="50"/>
        <v/>
      </c>
      <c r="AL328" t="str">
        <f t="shared" si="51"/>
        <v/>
      </c>
    </row>
    <row r="329" spans="22:38">
      <c r="V329" s="38"/>
      <c r="AF329" s="38" t="str">
        <f t="shared" si="45"/>
        <v/>
      </c>
      <c r="AG329" t="str">
        <f t="shared" si="46"/>
        <v/>
      </c>
      <c r="AH329" t="str">
        <f t="shared" si="47"/>
        <v/>
      </c>
      <c r="AI329" t="str">
        <f t="shared" si="48"/>
        <v/>
      </c>
      <c r="AJ329" t="str">
        <f t="shared" si="49"/>
        <v/>
      </c>
      <c r="AK329" t="str">
        <f t="shared" si="50"/>
        <v/>
      </c>
      <c r="AL329" t="str">
        <f t="shared" si="51"/>
        <v/>
      </c>
    </row>
    <row r="330" spans="22:38">
      <c r="V330" s="38"/>
      <c r="AF330" s="38" t="str">
        <f t="shared" si="45"/>
        <v/>
      </c>
      <c r="AG330" t="str">
        <f t="shared" si="46"/>
        <v/>
      </c>
      <c r="AH330" t="str">
        <f t="shared" si="47"/>
        <v/>
      </c>
      <c r="AI330" t="str">
        <f t="shared" si="48"/>
        <v/>
      </c>
      <c r="AJ330" t="str">
        <f t="shared" si="49"/>
        <v/>
      </c>
      <c r="AK330" t="str">
        <f t="shared" si="50"/>
        <v/>
      </c>
      <c r="AL330" t="str">
        <f t="shared" si="51"/>
        <v/>
      </c>
    </row>
    <row r="331" spans="22:38">
      <c r="V331" s="38"/>
      <c r="AF331" s="38" t="str">
        <f t="shared" si="45"/>
        <v/>
      </c>
      <c r="AG331" t="str">
        <f t="shared" si="46"/>
        <v/>
      </c>
      <c r="AH331" t="str">
        <f t="shared" si="47"/>
        <v/>
      </c>
      <c r="AI331" t="str">
        <f t="shared" si="48"/>
        <v/>
      </c>
      <c r="AJ331" t="str">
        <f t="shared" si="49"/>
        <v/>
      </c>
      <c r="AK331" t="str">
        <f t="shared" si="50"/>
        <v/>
      </c>
      <c r="AL331" t="str">
        <f t="shared" si="51"/>
        <v/>
      </c>
    </row>
    <row r="332" spans="22:38">
      <c r="V332" s="38"/>
      <c r="AF332" s="38" t="str">
        <f t="shared" si="45"/>
        <v/>
      </c>
      <c r="AG332" t="str">
        <f t="shared" si="46"/>
        <v/>
      </c>
      <c r="AH332" t="str">
        <f t="shared" si="47"/>
        <v/>
      </c>
      <c r="AI332" t="str">
        <f t="shared" si="48"/>
        <v/>
      </c>
      <c r="AJ332" t="str">
        <f t="shared" si="49"/>
        <v/>
      </c>
      <c r="AK332" t="str">
        <f t="shared" si="50"/>
        <v/>
      </c>
      <c r="AL332" t="str">
        <f t="shared" si="51"/>
        <v/>
      </c>
    </row>
    <row r="333" spans="22:38">
      <c r="V333" s="38"/>
      <c r="AF333" s="38" t="str">
        <f t="shared" si="45"/>
        <v/>
      </c>
      <c r="AG333" t="str">
        <f t="shared" si="46"/>
        <v/>
      </c>
      <c r="AH333" t="str">
        <f t="shared" si="47"/>
        <v/>
      </c>
      <c r="AI333" t="str">
        <f t="shared" si="48"/>
        <v/>
      </c>
      <c r="AJ333" t="str">
        <f t="shared" si="49"/>
        <v/>
      </c>
      <c r="AK333" t="str">
        <f t="shared" si="50"/>
        <v/>
      </c>
      <c r="AL333" t="str">
        <f t="shared" si="51"/>
        <v/>
      </c>
    </row>
    <row r="334" spans="22:38">
      <c r="V334" s="38"/>
      <c r="AF334" s="38" t="str">
        <f t="shared" si="45"/>
        <v/>
      </c>
      <c r="AG334" t="str">
        <f t="shared" si="46"/>
        <v/>
      </c>
      <c r="AH334" t="str">
        <f t="shared" si="47"/>
        <v/>
      </c>
      <c r="AI334" t="str">
        <f t="shared" si="48"/>
        <v/>
      </c>
      <c r="AJ334" t="str">
        <f t="shared" si="49"/>
        <v/>
      </c>
      <c r="AK334" t="str">
        <f t="shared" si="50"/>
        <v/>
      </c>
      <c r="AL334" t="str">
        <f t="shared" si="51"/>
        <v/>
      </c>
    </row>
    <row r="335" spans="22:38">
      <c r="V335" s="38"/>
      <c r="AF335" s="38" t="str">
        <f t="shared" si="45"/>
        <v/>
      </c>
      <c r="AG335" t="str">
        <f t="shared" si="46"/>
        <v/>
      </c>
      <c r="AH335" t="str">
        <f t="shared" si="47"/>
        <v/>
      </c>
      <c r="AI335" t="str">
        <f t="shared" si="48"/>
        <v/>
      </c>
      <c r="AJ335" t="str">
        <f t="shared" si="49"/>
        <v/>
      </c>
      <c r="AK335" t="str">
        <f t="shared" si="50"/>
        <v/>
      </c>
      <c r="AL335" t="str">
        <f t="shared" si="51"/>
        <v/>
      </c>
    </row>
    <row r="336" spans="22:38">
      <c r="V336" s="38"/>
      <c r="AF336" s="38" t="str">
        <f t="shared" si="45"/>
        <v/>
      </c>
      <c r="AG336" t="str">
        <f t="shared" si="46"/>
        <v/>
      </c>
      <c r="AH336" t="str">
        <f t="shared" si="47"/>
        <v/>
      </c>
      <c r="AI336" t="str">
        <f t="shared" si="48"/>
        <v/>
      </c>
      <c r="AJ336" t="str">
        <f t="shared" si="49"/>
        <v/>
      </c>
      <c r="AK336" t="str">
        <f t="shared" si="50"/>
        <v/>
      </c>
      <c r="AL336" t="str">
        <f t="shared" si="51"/>
        <v/>
      </c>
    </row>
    <row r="337" spans="22:38">
      <c r="V337" s="38"/>
      <c r="AF337" s="38" t="str">
        <f t="shared" si="45"/>
        <v/>
      </c>
      <c r="AG337" t="str">
        <f t="shared" si="46"/>
        <v/>
      </c>
      <c r="AH337" t="str">
        <f t="shared" si="47"/>
        <v/>
      </c>
      <c r="AI337" t="str">
        <f t="shared" si="48"/>
        <v/>
      </c>
      <c r="AJ337" t="str">
        <f t="shared" si="49"/>
        <v/>
      </c>
      <c r="AK337" t="str">
        <f t="shared" si="50"/>
        <v/>
      </c>
      <c r="AL337" t="str">
        <f t="shared" si="51"/>
        <v/>
      </c>
    </row>
    <row r="338" spans="22:38">
      <c r="V338" s="38"/>
      <c r="AF338" s="38" t="str">
        <f t="shared" si="45"/>
        <v/>
      </c>
      <c r="AG338" t="str">
        <f t="shared" si="46"/>
        <v/>
      </c>
      <c r="AH338" t="str">
        <f t="shared" si="47"/>
        <v/>
      </c>
      <c r="AI338" t="str">
        <f t="shared" si="48"/>
        <v/>
      </c>
      <c r="AJ338" t="str">
        <f t="shared" si="49"/>
        <v/>
      </c>
      <c r="AK338" t="str">
        <f t="shared" si="50"/>
        <v/>
      </c>
      <c r="AL338" t="str">
        <f t="shared" si="51"/>
        <v/>
      </c>
    </row>
    <row r="339" spans="22:38">
      <c r="V339" s="38"/>
      <c r="AF339" s="38" t="str">
        <f t="shared" si="45"/>
        <v/>
      </c>
      <c r="AG339" t="str">
        <f t="shared" si="46"/>
        <v/>
      </c>
      <c r="AH339" t="str">
        <f t="shared" si="47"/>
        <v/>
      </c>
      <c r="AI339" t="str">
        <f t="shared" si="48"/>
        <v/>
      </c>
      <c r="AJ339" t="str">
        <f t="shared" si="49"/>
        <v/>
      </c>
      <c r="AK339" t="str">
        <f t="shared" si="50"/>
        <v/>
      </c>
      <c r="AL339" t="str">
        <f t="shared" si="51"/>
        <v/>
      </c>
    </row>
    <row r="340" spans="22:38">
      <c r="V340" s="38"/>
      <c r="AF340" s="38" t="str">
        <f t="shared" si="45"/>
        <v/>
      </c>
      <c r="AG340" t="str">
        <f t="shared" si="46"/>
        <v/>
      </c>
      <c r="AH340" t="str">
        <f t="shared" si="47"/>
        <v/>
      </c>
      <c r="AI340" t="str">
        <f t="shared" si="48"/>
        <v/>
      </c>
      <c r="AJ340" t="str">
        <f t="shared" si="49"/>
        <v/>
      </c>
      <c r="AK340" t="str">
        <f t="shared" si="50"/>
        <v/>
      </c>
      <c r="AL340" t="str">
        <f t="shared" si="51"/>
        <v/>
      </c>
    </row>
    <row r="341" spans="22:38">
      <c r="V341" s="38"/>
      <c r="AF341" s="38" t="str">
        <f t="shared" si="45"/>
        <v/>
      </c>
      <c r="AG341" t="str">
        <f t="shared" si="46"/>
        <v/>
      </c>
      <c r="AH341" t="str">
        <f t="shared" si="47"/>
        <v/>
      </c>
      <c r="AI341" t="str">
        <f t="shared" si="48"/>
        <v/>
      </c>
      <c r="AJ341" t="str">
        <f t="shared" si="49"/>
        <v/>
      </c>
      <c r="AK341" t="str">
        <f t="shared" si="50"/>
        <v/>
      </c>
      <c r="AL341" t="str">
        <f t="shared" si="51"/>
        <v/>
      </c>
    </row>
    <row r="342" spans="22:38">
      <c r="V342" s="38"/>
      <c r="AF342" s="38" t="str">
        <f t="shared" si="45"/>
        <v/>
      </c>
      <c r="AG342" t="str">
        <f t="shared" si="46"/>
        <v/>
      </c>
      <c r="AH342" t="str">
        <f t="shared" si="47"/>
        <v/>
      </c>
      <c r="AI342" t="str">
        <f t="shared" si="48"/>
        <v/>
      </c>
      <c r="AJ342" t="str">
        <f t="shared" si="49"/>
        <v/>
      </c>
      <c r="AK342" t="str">
        <f t="shared" si="50"/>
        <v/>
      </c>
      <c r="AL342" t="str">
        <f t="shared" si="51"/>
        <v/>
      </c>
    </row>
    <row r="343" spans="22:38">
      <c r="V343" s="38"/>
      <c r="AF343" s="38" t="str">
        <f t="shared" si="45"/>
        <v/>
      </c>
      <c r="AG343" t="str">
        <f t="shared" si="46"/>
        <v/>
      </c>
      <c r="AH343" t="str">
        <f t="shared" si="47"/>
        <v/>
      </c>
      <c r="AI343" t="str">
        <f t="shared" si="48"/>
        <v/>
      </c>
      <c r="AJ343" t="str">
        <f t="shared" si="49"/>
        <v/>
      </c>
      <c r="AK343" t="str">
        <f t="shared" si="50"/>
        <v/>
      </c>
      <c r="AL343" t="str">
        <f t="shared" si="51"/>
        <v/>
      </c>
    </row>
    <row r="344" spans="22:38">
      <c r="V344" s="38"/>
      <c r="AF344" s="38" t="str">
        <f t="shared" si="45"/>
        <v/>
      </c>
      <c r="AG344" t="str">
        <f t="shared" si="46"/>
        <v/>
      </c>
      <c r="AH344" t="str">
        <f t="shared" si="47"/>
        <v/>
      </c>
      <c r="AI344" t="str">
        <f t="shared" si="48"/>
        <v/>
      </c>
      <c r="AJ344" t="str">
        <f t="shared" si="49"/>
        <v/>
      </c>
      <c r="AK344" t="str">
        <f t="shared" si="50"/>
        <v/>
      </c>
      <c r="AL344" t="str">
        <f t="shared" si="51"/>
        <v/>
      </c>
    </row>
    <row r="345" spans="22:38">
      <c r="V345" s="38"/>
      <c r="AF345" s="38" t="str">
        <f t="shared" si="45"/>
        <v/>
      </c>
      <c r="AG345" t="str">
        <f t="shared" si="46"/>
        <v/>
      </c>
      <c r="AH345" t="str">
        <f t="shared" si="47"/>
        <v/>
      </c>
      <c r="AI345" t="str">
        <f t="shared" si="48"/>
        <v/>
      </c>
      <c r="AJ345" t="str">
        <f t="shared" si="49"/>
        <v/>
      </c>
      <c r="AK345" t="str">
        <f t="shared" si="50"/>
        <v/>
      </c>
      <c r="AL345" t="str">
        <f t="shared" si="51"/>
        <v/>
      </c>
    </row>
    <row r="346" spans="22:38">
      <c r="V346" s="38"/>
      <c r="AF346" s="38" t="str">
        <f t="shared" si="45"/>
        <v/>
      </c>
      <c r="AG346" t="str">
        <f t="shared" si="46"/>
        <v/>
      </c>
      <c r="AH346" t="str">
        <f t="shared" si="47"/>
        <v/>
      </c>
      <c r="AI346" t="str">
        <f t="shared" si="48"/>
        <v/>
      </c>
      <c r="AJ346" t="str">
        <f t="shared" si="49"/>
        <v/>
      </c>
      <c r="AK346" t="str">
        <f t="shared" si="50"/>
        <v/>
      </c>
      <c r="AL346" t="str">
        <f t="shared" si="51"/>
        <v/>
      </c>
    </row>
    <row r="347" spans="22:38">
      <c r="V347" s="38"/>
      <c r="AF347" s="38" t="str">
        <f t="shared" si="45"/>
        <v/>
      </c>
      <c r="AG347" t="str">
        <f t="shared" si="46"/>
        <v/>
      </c>
      <c r="AH347" t="str">
        <f t="shared" si="47"/>
        <v/>
      </c>
      <c r="AI347" t="str">
        <f t="shared" si="48"/>
        <v/>
      </c>
      <c r="AJ347" t="str">
        <f t="shared" si="49"/>
        <v/>
      </c>
      <c r="AK347" t="str">
        <f t="shared" si="50"/>
        <v/>
      </c>
      <c r="AL347" t="str">
        <f t="shared" si="51"/>
        <v/>
      </c>
    </row>
    <row r="348" spans="22:38">
      <c r="V348" s="38"/>
      <c r="AF348" s="38" t="str">
        <f t="shared" si="45"/>
        <v/>
      </c>
      <c r="AG348" t="str">
        <f t="shared" si="46"/>
        <v/>
      </c>
      <c r="AH348" t="str">
        <f t="shared" si="47"/>
        <v/>
      </c>
      <c r="AI348" t="str">
        <f t="shared" si="48"/>
        <v/>
      </c>
      <c r="AJ348" t="str">
        <f t="shared" si="49"/>
        <v/>
      </c>
      <c r="AK348" t="str">
        <f t="shared" si="50"/>
        <v/>
      </c>
      <c r="AL348" t="str">
        <f t="shared" si="51"/>
        <v/>
      </c>
    </row>
    <row r="349" spans="22:38">
      <c r="V349" s="38"/>
      <c r="AF349" s="38" t="str">
        <f t="shared" si="45"/>
        <v/>
      </c>
      <c r="AG349" t="str">
        <f t="shared" si="46"/>
        <v/>
      </c>
      <c r="AH349" t="str">
        <f t="shared" si="47"/>
        <v/>
      </c>
      <c r="AI349" t="str">
        <f t="shared" si="48"/>
        <v/>
      </c>
      <c r="AJ349" t="str">
        <f t="shared" si="49"/>
        <v/>
      </c>
      <c r="AK349" t="str">
        <f t="shared" si="50"/>
        <v/>
      </c>
      <c r="AL349" t="str">
        <f t="shared" si="51"/>
        <v/>
      </c>
    </row>
    <row r="350" spans="22:38">
      <c r="V350" s="38"/>
      <c r="AF350" s="38" t="str">
        <f t="shared" si="45"/>
        <v/>
      </c>
      <c r="AG350" t="str">
        <f t="shared" si="46"/>
        <v/>
      </c>
      <c r="AH350" t="str">
        <f t="shared" si="47"/>
        <v/>
      </c>
      <c r="AI350" t="str">
        <f t="shared" si="48"/>
        <v/>
      </c>
      <c r="AJ350" t="str">
        <f t="shared" si="49"/>
        <v/>
      </c>
      <c r="AK350" t="str">
        <f t="shared" si="50"/>
        <v/>
      </c>
      <c r="AL350" t="str">
        <f t="shared" si="51"/>
        <v/>
      </c>
    </row>
    <row r="351" spans="22:38">
      <c r="V351" s="38"/>
      <c r="AF351" s="38" t="str">
        <f t="shared" si="45"/>
        <v/>
      </c>
      <c r="AG351" t="str">
        <f t="shared" si="46"/>
        <v/>
      </c>
      <c r="AH351" t="str">
        <f t="shared" si="47"/>
        <v/>
      </c>
      <c r="AI351" t="str">
        <f t="shared" si="48"/>
        <v/>
      </c>
      <c r="AJ351" t="str">
        <f t="shared" si="49"/>
        <v/>
      </c>
      <c r="AK351" t="str">
        <f t="shared" si="50"/>
        <v/>
      </c>
      <c r="AL351" t="str">
        <f t="shared" si="51"/>
        <v/>
      </c>
    </row>
    <row r="352" spans="22:38">
      <c r="V352" s="38"/>
      <c r="AF352" s="38" t="str">
        <f t="shared" si="45"/>
        <v/>
      </c>
      <c r="AG352" t="str">
        <f t="shared" si="46"/>
        <v/>
      </c>
      <c r="AH352" t="str">
        <f t="shared" si="47"/>
        <v/>
      </c>
      <c r="AI352" t="str">
        <f t="shared" si="48"/>
        <v/>
      </c>
      <c r="AJ352" t="str">
        <f t="shared" si="49"/>
        <v/>
      </c>
      <c r="AK352" t="str">
        <f t="shared" si="50"/>
        <v/>
      </c>
      <c r="AL352" t="str">
        <f t="shared" si="51"/>
        <v/>
      </c>
    </row>
    <row r="353" spans="22:38">
      <c r="V353" s="38"/>
      <c r="AF353" s="38" t="str">
        <f t="shared" si="45"/>
        <v/>
      </c>
      <c r="AG353" t="str">
        <f t="shared" si="46"/>
        <v/>
      </c>
      <c r="AH353" t="str">
        <f t="shared" si="47"/>
        <v/>
      </c>
      <c r="AI353" t="str">
        <f t="shared" si="48"/>
        <v/>
      </c>
      <c r="AJ353" t="str">
        <f t="shared" si="49"/>
        <v/>
      </c>
      <c r="AK353" t="str">
        <f t="shared" si="50"/>
        <v/>
      </c>
      <c r="AL353" t="str">
        <f t="shared" si="51"/>
        <v/>
      </c>
    </row>
    <row r="354" spans="22:38">
      <c r="V354" s="38"/>
      <c r="AF354" s="38" t="str">
        <f t="shared" si="45"/>
        <v/>
      </c>
      <c r="AG354" t="str">
        <f t="shared" si="46"/>
        <v/>
      </c>
      <c r="AH354" t="str">
        <f t="shared" si="47"/>
        <v/>
      </c>
      <c r="AI354" t="str">
        <f t="shared" si="48"/>
        <v/>
      </c>
      <c r="AJ354" t="str">
        <f t="shared" si="49"/>
        <v/>
      </c>
      <c r="AK354" t="str">
        <f t="shared" si="50"/>
        <v/>
      </c>
      <c r="AL354" t="str">
        <f t="shared" si="51"/>
        <v/>
      </c>
    </row>
    <row r="355" spans="22:38">
      <c r="V355" s="38"/>
      <c r="AF355" s="38" t="str">
        <f t="shared" si="45"/>
        <v/>
      </c>
      <c r="AG355" t="str">
        <f t="shared" si="46"/>
        <v/>
      </c>
      <c r="AH355" t="str">
        <f t="shared" si="47"/>
        <v/>
      </c>
      <c r="AI355" t="str">
        <f t="shared" si="48"/>
        <v/>
      </c>
      <c r="AJ355" t="str">
        <f t="shared" si="49"/>
        <v/>
      </c>
      <c r="AK355" t="str">
        <f t="shared" si="50"/>
        <v/>
      </c>
      <c r="AL355" t="str">
        <f t="shared" si="51"/>
        <v/>
      </c>
    </row>
    <row r="356" spans="22:38">
      <c r="V356" s="38"/>
      <c r="AF356" s="38" t="str">
        <f t="shared" si="45"/>
        <v/>
      </c>
      <c r="AG356" t="str">
        <f t="shared" si="46"/>
        <v/>
      </c>
      <c r="AH356" t="str">
        <f t="shared" si="47"/>
        <v/>
      </c>
      <c r="AI356" t="str">
        <f t="shared" si="48"/>
        <v/>
      </c>
      <c r="AJ356" t="str">
        <f t="shared" si="49"/>
        <v/>
      </c>
      <c r="AK356" t="str">
        <f t="shared" si="50"/>
        <v/>
      </c>
      <c r="AL356" t="str">
        <f t="shared" si="51"/>
        <v/>
      </c>
    </row>
    <row r="357" spans="22:38">
      <c r="V357" s="38"/>
      <c r="AF357" s="38" t="str">
        <f t="shared" si="45"/>
        <v/>
      </c>
      <c r="AG357" t="str">
        <f t="shared" si="46"/>
        <v/>
      </c>
      <c r="AH357" t="str">
        <f t="shared" si="47"/>
        <v/>
      </c>
      <c r="AI357" t="str">
        <f t="shared" si="48"/>
        <v/>
      </c>
      <c r="AJ357" t="str">
        <f t="shared" si="49"/>
        <v/>
      </c>
      <c r="AK357" t="str">
        <f t="shared" si="50"/>
        <v/>
      </c>
      <c r="AL357" t="str">
        <f t="shared" si="51"/>
        <v/>
      </c>
    </row>
    <row r="358" spans="22:38">
      <c r="V358" s="38"/>
      <c r="AF358" s="38" t="str">
        <f t="shared" si="45"/>
        <v/>
      </c>
      <c r="AG358" t="str">
        <f t="shared" si="46"/>
        <v/>
      </c>
      <c r="AH358" t="str">
        <f t="shared" si="47"/>
        <v/>
      </c>
      <c r="AI358" t="str">
        <f t="shared" si="48"/>
        <v/>
      </c>
      <c r="AJ358" t="str">
        <f t="shared" si="49"/>
        <v/>
      </c>
      <c r="AK358" t="str">
        <f t="shared" si="50"/>
        <v/>
      </c>
      <c r="AL358" t="str">
        <f t="shared" si="51"/>
        <v/>
      </c>
    </row>
    <row r="359" spans="22:38">
      <c r="V359" s="38"/>
      <c r="AF359" s="38" t="str">
        <f t="shared" si="45"/>
        <v/>
      </c>
      <c r="AG359" t="str">
        <f t="shared" si="46"/>
        <v/>
      </c>
      <c r="AH359" t="str">
        <f t="shared" si="47"/>
        <v/>
      </c>
      <c r="AI359" t="str">
        <f t="shared" si="48"/>
        <v/>
      </c>
      <c r="AJ359" t="str">
        <f t="shared" si="49"/>
        <v/>
      </c>
      <c r="AK359" t="str">
        <f t="shared" si="50"/>
        <v/>
      </c>
      <c r="AL359" t="str">
        <f t="shared" si="51"/>
        <v/>
      </c>
    </row>
    <row r="360" spans="22:38">
      <c r="V360" s="38"/>
      <c r="AF360" s="38" t="str">
        <f t="shared" si="45"/>
        <v/>
      </c>
      <c r="AG360" t="str">
        <f t="shared" si="46"/>
        <v/>
      </c>
      <c r="AH360" t="str">
        <f t="shared" si="47"/>
        <v/>
      </c>
      <c r="AI360" t="str">
        <f t="shared" si="48"/>
        <v/>
      </c>
      <c r="AJ360" t="str">
        <f t="shared" si="49"/>
        <v/>
      </c>
      <c r="AK360" t="str">
        <f t="shared" si="50"/>
        <v/>
      </c>
      <c r="AL360" t="str">
        <f t="shared" si="51"/>
        <v/>
      </c>
    </row>
    <row r="361" spans="22:38">
      <c r="V361" s="38"/>
      <c r="AF361" s="38" t="str">
        <f t="shared" si="45"/>
        <v/>
      </c>
      <c r="AG361" t="str">
        <f t="shared" si="46"/>
        <v/>
      </c>
      <c r="AH361" t="str">
        <f t="shared" si="47"/>
        <v/>
      </c>
      <c r="AI361" t="str">
        <f t="shared" si="48"/>
        <v/>
      </c>
      <c r="AJ361" t="str">
        <f t="shared" si="49"/>
        <v/>
      </c>
      <c r="AK361" t="str">
        <f t="shared" si="50"/>
        <v/>
      </c>
      <c r="AL361" t="str">
        <f t="shared" si="51"/>
        <v/>
      </c>
    </row>
    <row r="362" spans="22:38">
      <c r="V362" s="38"/>
      <c r="AF362" s="38" t="str">
        <f t="shared" si="45"/>
        <v/>
      </c>
      <c r="AG362" t="str">
        <f t="shared" si="46"/>
        <v/>
      </c>
      <c r="AH362" t="str">
        <f t="shared" si="47"/>
        <v/>
      </c>
      <c r="AI362" t="str">
        <f t="shared" si="48"/>
        <v/>
      </c>
      <c r="AJ362" t="str">
        <f t="shared" si="49"/>
        <v/>
      </c>
      <c r="AK362" t="str">
        <f t="shared" si="50"/>
        <v/>
      </c>
      <c r="AL362" t="str">
        <f t="shared" si="51"/>
        <v/>
      </c>
    </row>
    <row r="363" spans="22:38">
      <c r="V363" s="38"/>
      <c r="AF363" s="38" t="str">
        <f t="shared" si="45"/>
        <v/>
      </c>
      <c r="AG363" t="str">
        <f t="shared" si="46"/>
        <v/>
      </c>
      <c r="AH363" t="str">
        <f t="shared" si="47"/>
        <v/>
      </c>
      <c r="AI363" t="str">
        <f t="shared" si="48"/>
        <v/>
      </c>
      <c r="AJ363" t="str">
        <f t="shared" si="49"/>
        <v/>
      </c>
      <c r="AK363" t="str">
        <f t="shared" si="50"/>
        <v/>
      </c>
      <c r="AL363" t="str">
        <f t="shared" si="51"/>
        <v/>
      </c>
    </row>
    <row r="364" spans="22:38">
      <c r="V364" s="38"/>
      <c r="AF364" s="38" t="str">
        <f t="shared" si="45"/>
        <v/>
      </c>
      <c r="AG364" t="str">
        <f t="shared" si="46"/>
        <v/>
      </c>
      <c r="AH364" t="str">
        <f t="shared" si="47"/>
        <v/>
      </c>
      <c r="AI364" t="str">
        <f t="shared" si="48"/>
        <v/>
      </c>
      <c r="AJ364" t="str">
        <f t="shared" si="49"/>
        <v/>
      </c>
      <c r="AK364" t="str">
        <f t="shared" si="50"/>
        <v/>
      </c>
      <c r="AL364" t="str">
        <f t="shared" si="51"/>
        <v/>
      </c>
    </row>
    <row r="365" spans="22:38">
      <c r="V365" s="38"/>
      <c r="AF365" s="38" t="str">
        <f t="shared" si="45"/>
        <v/>
      </c>
      <c r="AG365" t="str">
        <f t="shared" si="46"/>
        <v/>
      </c>
      <c r="AH365" t="str">
        <f t="shared" si="47"/>
        <v/>
      </c>
      <c r="AI365" t="str">
        <f t="shared" si="48"/>
        <v/>
      </c>
      <c r="AJ365" t="str">
        <f t="shared" si="49"/>
        <v/>
      </c>
      <c r="AK365" t="str">
        <f t="shared" si="50"/>
        <v/>
      </c>
      <c r="AL365" t="str">
        <f t="shared" si="51"/>
        <v/>
      </c>
    </row>
    <row r="366" spans="22:38">
      <c r="V366" s="38"/>
      <c r="AF366" s="38" t="str">
        <f t="shared" si="45"/>
        <v/>
      </c>
      <c r="AG366" t="str">
        <f t="shared" si="46"/>
        <v/>
      </c>
      <c r="AH366" t="str">
        <f t="shared" si="47"/>
        <v/>
      </c>
      <c r="AI366" t="str">
        <f t="shared" si="48"/>
        <v/>
      </c>
      <c r="AJ366" t="str">
        <f t="shared" si="49"/>
        <v/>
      </c>
      <c r="AK366" t="str">
        <f t="shared" si="50"/>
        <v/>
      </c>
      <c r="AL366" t="str">
        <f t="shared" si="51"/>
        <v/>
      </c>
    </row>
    <row r="367" spans="22:38">
      <c r="V367" s="38"/>
      <c r="AF367" s="38" t="str">
        <f t="shared" si="45"/>
        <v/>
      </c>
      <c r="AG367" t="str">
        <f t="shared" si="46"/>
        <v/>
      </c>
      <c r="AH367" t="str">
        <f t="shared" si="47"/>
        <v/>
      </c>
      <c r="AI367" t="str">
        <f t="shared" si="48"/>
        <v/>
      </c>
      <c r="AJ367" t="str">
        <f t="shared" si="49"/>
        <v/>
      </c>
      <c r="AK367" t="str">
        <f t="shared" si="50"/>
        <v/>
      </c>
      <c r="AL367" t="str">
        <f t="shared" si="51"/>
        <v/>
      </c>
    </row>
    <row r="368" spans="22:38">
      <c r="V368" s="38"/>
      <c r="AF368" s="38" t="str">
        <f t="shared" si="45"/>
        <v/>
      </c>
      <c r="AG368" t="str">
        <f t="shared" si="46"/>
        <v/>
      </c>
      <c r="AH368" t="str">
        <f t="shared" si="47"/>
        <v/>
      </c>
      <c r="AI368" t="str">
        <f t="shared" si="48"/>
        <v/>
      </c>
      <c r="AJ368" t="str">
        <f t="shared" si="49"/>
        <v/>
      </c>
      <c r="AK368" t="str">
        <f t="shared" si="50"/>
        <v/>
      </c>
      <c r="AL368" t="str">
        <f t="shared" si="51"/>
        <v/>
      </c>
    </row>
    <row r="369" spans="22:38">
      <c r="V369" s="38"/>
      <c r="AF369" s="38" t="str">
        <f t="shared" si="45"/>
        <v/>
      </c>
      <c r="AG369" t="str">
        <f t="shared" si="46"/>
        <v/>
      </c>
      <c r="AH369" t="str">
        <f t="shared" si="47"/>
        <v/>
      </c>
      <c r="AI369" t="str">
        <f t="shared" si="48"/>
        <v/>
      </c>
      <c r="AJ369" t="str">
        <f t="shared" si="49"/>
        <v/>
      </c>
      <c r="AK369" t="str">
        <f t="shared" si="50"/>
        <v/>
      </c>
      <c r="AL369" t="str">
        <f t="shared" si="51"/>
        <v/>
      </c>
    </row>
    <row r="370" spans="22:38">
      <c r="V370" s="38"/>
      <c r="AF370" s="38" t="str">
        <f t="shared" si="45"/>
        <v/>
      </c>
      <c r="AG370" t="str">
        <f t="shared" si="46"/>
        <v/>
      </c>
      <c r="AH370" t="str">
        <f t="shared" si="47"/>
        <v/>
      </c>
      <c r="AI370" t="str">
        <f t="shared" si="48"/>
        <v/>
      </c>
      <c r="AJ370" t="str">
        <f t="shared" si="49"/>
        <v/>
      </c>
      <c r="AK370" t="str">
        <f t="shared" si="50"/>
        <v/>
      </c>
      <c r="AL370" t="str">
        <f t="shared" si="51"/>
        <v/>
      </c>
    </row>
    <row r="371" spans="22:38">
      <c r="V371" s="38"/>
      <c r="AF371" s="38" t="str">
        <f t="shared" si="45"/>
        <v/>
      </c>
      <c r="AG371" t="str">
        <f t="shared" si="46"/>
        <v/>
      </c>
      <c r="AH371" t="str">
        <f t="shared" si="47"/>
        <v/>
      </c>
      <c r="AI371" t="str">
        <f t="shared" si="48"/>
        <v/>
      </c>
      <c r="AJ371" t="str">
        <f t="shared" si="49"/>
        <v/>
      </c>
      <c r="AK371" t="str">
        <f t="shared" si="50"/>
        <v/>
      </c>
      <c r="AL371" t="str">
        <f t="shared" si="51"/>
        <v/>
      </c>
    </row>
    <row r="372" spans="22:38">
      <c r="V372" s="38"/>
      <c r="AF372" s="38" t="str">
        <f t="shared" si="45"/>
        <v/>
      </c>
      <c r="AG372" t="str">
        <f t="shared" si="46"/>
        <v/>
      </c>
      <c r="AH372" t="str">
        <f t="shared" si="47"/>
        <v/>
      </c>
      <c r="AI372" t="str">
        <f t="shared" si="48"/>
        <v/>
      </c>
      <c r="AJ372" t="str">
        <f t="shared" si="49"/>
        <v/>
      </c>
      <c r="AK372" t="str">
        <f t="shared" si="50"/>
        <v/>
      </c>
      <c r="AL372" t="str">
        <f t="shared" si="51"/>
        <v/>
      </c>
    </row>
    <row r="373" spans="22:38">
      <c r="V373" s="38"/>
      <c r="AF373" s="38" t="str">
        <f t="shared" si="45"/>
        <v/>
      </c>
      <c r="AG373" t="str">
        <f t="shared" si="46"/>
        <v/>
      </c>
      <c r="AH373" t="str">
        <f t="shared" si="47"/>
        <v/>
      </c>
      <c r="AI373" t="str">
        <f t="shared" si="48"/>
        <v/>
      </c>
      <c r="AJ373" t="str">
        <f t="shared" si="49"/>
        <v/>
      </c>
      <c r="AK373" t="str">
        <f t="shared" si="50"/>
        <v/>
      </c>
      <c r="AL373" t="str">
        <f t="shared" si="51"/>
        <v/>
      </c>
    </row>
    <row r="374" spans="22:38">
      <c r="V374" s="38"/>
      <c r="AF374" s="38" t="str">
        <f t="shared" si="45"/>
        <v/>
      </c>
      <c r="AG374" t="str">
        <f t="shared" si="46"/>
        <v/>
      </c>
      <c r="AH374" t="str">
        <f t="shared" si="47"/>
        <v/>
      </c>
      <c r="AI374" t="str">
        <f t="shared" si="48"/>
        <v/>
      </c>
      <c r="AJ374" t="str">
        <f t="shared" si="49"/>
        <v/>
      </c>
      <c r="AK374" t="str">
        <f t="shared" si="50"/>
        <v/>
      </c>
      <c r="AL374" t="str">
        <f t="shared" si="51"/>
        <v/>
      </c>
    </row>
    <row r="375" spans="22:38">
      <c r="V375" s="38"/>
      <c r="AF375" s="38" t="str">
        <f t="shared" si="45"/>
        <v/>
      </c>
      <c r="AG375" t="str">
        <f t="shared" si="46"/>
        <v/>
      </c>
      <c r="AH375" t="str">
        <f t="shared" si="47"/>
        <v/>
      </c>
      <c r="AI375" t="str">
        <f t="shared" si="48"/>
        <v/>
      </c>
      <c r="AJ375" t="str">
        <f t="shared" si="49"/>
        <v/>
      </c>
      <c r="AK375" t="str">
        <f t="shared" si="50"/>
        <v/>
      </c>
      <c r="AL375" t="str">
        <f t="shared" si="51"/>
        <v/>
      </c>
    </row>
    <row r="376" spans="22:38">
      <c r="V376" s="38"/>
      <c r="AF376" s="38" t="str">
        <f t="shared" si="45"/>
        <v/>
      </c>
      <c r="AG376" t="str">
        <f t="shared" si="46"/>
        <v/>
      </c>
      <c r="AH376" t="str">
        <f t="shared" si="47"/>
        <v/>
      </c>
      <c r="AI376" t="str">
        <f t="shared" si="48"/>
        <v/>
      </c>
      <c r="AJ376" t="str">
        <f t="shared" si="49"/>
        <v/>
      </c>
      <c r="AK376" t="str">
        <f t="shared" si="50"/>
        <v/>
      </c>
      <c r="AL376" t="str">
        <f t="shared" si="51"/>
        <v/>
      </c>
    </row>
    <row r="377" spans="22:38">
      <c r="V377" s="38"/>
      <c r="AF377" s="38" t="str">
        <f t="shared" si="45"/>
        <v/>
      </c>
      <c r="AG377" t="str">
        <f t="shared" si="46"/>
        <v/>
      </c>
      <c r="AH377" t="str">
        <f t="shared" si="47"/>
        <v/>
      </c>
      <c r="AI377" t="str">
        <f t="shared" si="48"/>
        <v/>
      </c>
      <c r="AJ377" t="str">
        <f t="shared" si="49"/>
        <v/>
      </c>
      <c r="AK377" t="str">
        <f t="shared" si="50"/>
        <v/>
      </c>
      <c r="AL377" t="str">
        <f t="shared" si="51"/>
        <v/>
      </c>
    </row>
    <row r="378" spans="22:38">
      <c r="V378" s="38"/>
      <c r="AF378" s="38" t="str">
        <f t="shared" si="45"/>
        <v/>
      </c>
      <c r="AG378" t="str">
        <f t="shared" si="46"/>
        <v/>
      </c>
      <c r="AH378" t="str">
        <f t="shared" si="47"/>
        <v/>
      </c>
      <c r="AI378" t="str">
        <f t="shared" si="48"/>
        <v/>
      </c>
      <c r="AJ378" t="str">
        <f t="shared" si="49"/>
        <v/>
      </c>
      <c r="AK378" t="str">
        <f t="shared" si="50"/>
        <v/>
      </c>
      <c r="AL378" t="str">
        <f t="shared" si="51"/>
        <v/>
      </c>
    </row>
    <row r="379" spans="22:38">
      <c r="V379" s="38"/>
      <c r="AF379" s="38" t="str">
        <f t="shared" si="45"/>
        <v/>
      </c>
      <c r="AG379" t="str">
        <f t="shared" si="46"/>
        <v/>
      </c>
      <c r="AH379" t="str">
        <f t="shared" si="47"/>
        <v/>
      </c>
      <c r="AI379" t="str">
        <f t="shared" si="48"/>
        <v/>
      </c>
      <c r="AJ379" t="str">
        <f t="shared" si="49"/>
        <v/>
      </c>
      <c r="AK379" t="str">
        <f t="shared" si="50"/>
        <v/>
      </c>
      <c r="AL379" t="str">
        <f t="shared" si="51"/>
        <v/>
      </c>
    </row>
    <row r="380" spans="22:38">
      <c r="V380" s="38"/>
      <c r="AF380" s="38" t="str">
        <f t="shared" si="45"/>
        <v/>
      </c>
      <c r="AG380" t="str">
        <f t="shared" si="46"/>
        <v/>
      </c>
      <c r="AH380" t="str">
        <f t="shared" si="47"/>
        <v/>
      </c>
      <c r="AI380" t="str">
        <f t="shared" si="48"/>
        <v/>
      </c>
      <c r="AJ380" t="str">
        <f t="shared" si="49"/>
        <v/>
      </c>
      <c r="AK380" t="str">
        <f t="shared" si="50"/>
        <v/>
      </c>
      <c r="AL380" t="str">
        <f t="shared" si="51"/>
        <v/>
      </c>
    </row>
    <row r="381" spans="22:38">
      <c r="V381" s="38"/>
      <c r="AF381" s="38" t="str">
        <f t="shared" si="45"/>
        <v/>
      </c>
      <c r="AG381" t="str">
        <f t="shared" si="46"/>
        <v/>
      </c>
      <c r="AH381" t="str">
        <f t="shared" si="47"/>
        <v/>
      </c>
      <c r="AI381" t="str">
        <f t="shared" si="48"/>
        <v/>
      </c>
      <c r="AJ381" t="str">
        <f t="shared" si="49"/>
        <v/>
      </c>
      <c r="AK381" t="str">
        <f t="shared" si="50"/>
        <v/>
      </c>
      <c r="AL381" t="str">
        <f t="shared" si="51"/>
        <v/>
      </c>
    </row>
    <row r="382" spans="22:38">
      <c r="V382" s="38"/>
      <c r="AF382" s="38" t="str">
        <f t="shared" si="45"/>
        <v/>
      </c>
      <c r="AG382" t="str">
        <f t="shared" si="46"/>
        <v/>
      </c>
      <c r="AH382" t="str">
        <f t="shared" si="47"/>
        <v/>
      </c>
      <c r="AI382" t="str">
        <f t="shared" si="48"/>
        <v/>
      </c>
      <c r="AJ382" t="str">
        <f t="shared" si="49"/>
        <v/>
      </c>
      <c r="AK382" t="str">
        <f t="shared" si="50"/>
        <v/>
      </c>
      <c r="AL382" t="str">
        <f t="shared" si="51"/>
        <v/>
      </c>
    </row>
    <row r="383" spans="22:38">
      <c r="V383" s="38"/>
      <c r="AF383" s="38" t="str">
        <f t="shared" si="45"/>
        <v/>
      </c>
      <c r="AG383" t="str">
        <f t="shared" si="46"/>
        <v/>
      </c>
      <c r="AH383" t="str">
        <f t="shared" si="47"/>
        <v/>
      </c>
      <c r="AI383" t="str">
        <f t="shared" si="48"/>
        <v/>
      </c>
      <c r="AJ383" t="str">
        <f t="shared" si="49"/>
        <v/>
      </c>
      <c r="AK383" t="str">
        <f t="shared" si="50"/>
        <v/>
      </c>
      <c r="AL383" t="str">
        <f t="shared" si="51"/>
        <v/>
      </c>
    </row>
    <row r="384" spans="22:38">
      <c r="V384" s="38"/>
      <c r="AF384" s="38" t="str">
        <f t="shared" si="45"/>
        <v/>
      </c>
      <c r="AG384" t="str">
        <f t="shared" si="46"/>
        <v/>
      </c>
      <c r="AH384" t="str">
        <f t="shared" si="47"/>
        <v/>
      </c>
      <c r="AI384" t="str">
        <f t="shared" si="48"/>
        <v/>
      </c>
      <c r="AJ384" t="str">
        <f t="shared" si="49"/>
        <v/>
      </c>
      <c r="AK384" t="str">
        <f t="shared" si="50"/>
        <v/>
      </c>
      <c r="AL384" t="str">
        <f t="shared" si="51"/>
        <v/>
      </c>
    </row>
    <row r="385" spans="22:38">
      <c r="V385" s="38"/>
      <c r="AF385" s="38" t="str">
        <f t="shared" si="45"/>
        <v/>
      </c>
      <c r="AG385" t="str">
        <f t="shared" si="46"/>
        <v/>
      </c>
      <c r="AH385" t="str">
        <f t="shared" si="47"/>
        <v/>
      </c>
      <c r="AI385" t="str">
        <f t="shared" si="48"/>
        <v/>
      </c>
      <c r="AJ385" t="str">
        <f t="shared" si="49"/>
        <v/>
      </c>
      <c r="AK385" t="str">
        <f t="shared" si="50"/>
        <v/>
      </c>
      <c r="AL385" t="str">
        <f t="shared" si="51"/>
        <v/>
      </c>
    </row>
    <row r="386" spans="22:38">
      <c r="V386" s="38"/>
      <c r="AF386" s="38" t="str">
        <f t="shared" si="45"/>
        <v/>
      </c>
      <c r="AG386" t="str">
        <f t="shared" si="46"/>
        <v/>
      </c>
      <c r="AH386" t="str">
        <f t="shared" si="47"/>
        <v/>
      </c>
      <c r="AI386" t="str">
        <f t="shared" si="48"/>
        <v/>
      </c>
      <c r="AJ386" t="str">
        <f t="shared" si="49"/>
        <v/>
      </c>
      <c r="AK386" t="str">
        <f t="shared" si="50"/>
        <v/>
      </c>
      <c r="AL386" t="str">
        <f t="shared" si="51"/>
        <v/>
      </c>
    </row>
    <row r="387" spans="22:38">
      <c r="V387" s="38"/>
      <c r="AF387" s="38" t="str">
        <f t="shared" si="45"/>
        <v/>
      </c>
      <c r="AG387" t="str">
        <f t="shared" si="46"/>
        <v/>
      </c>
      <c r="AH387" t="str">
        <f t="shared" si="47"/>
        <v/>
      </c>
      <c r="AI387" t="str">
        <f t="shared" si="48"/>
        <v/>
      </c>
      <c r="AJ387" t="str">
        <f t="shared" si="49"/>
        <v/>
      </c>
      <c r="AK387" t="str">
        <f t="shared" si="50"/>
        <v/>
      </c>
      <c r="AL387" t="str">
        <f t="shared" si="51"/>
        <v/>
      </c>
    </row>
    <row r="388" spans="22:38">
      <c r="V388" s="38"/>
      <c r="AF388" s="38" t="str">
        <f t="shared" ref="AF388:AF451" si="52">IF($V388="", "", $V388)</f>
        <v/>
      </c>
      <c r="AG388" t="str">
        <f t="shared" ref="AG388:AG451" si="53">IF($X388&lt;0, "NA", IF(ISERROR($W388/$X388), "", $W388/$X388))</f>
        <v/>
      </c>
      <c r="AH388" t="str">
        <f t="shared" ref="AH388:AH451" si="54">IF($Y388&lt;0, "NA", IF(ISERROR($W388/$Y388), "", $W388/$Y388))</f>
        <v/>
      </c>
      <c r="AI388" t="str">
        <f t="shared" ref="AI388:AI451" si="55">IF($Z388&lt;0, "NA", IF(ISERROR($W388/$Z388), "", $W388/$Z388))</f>
        <v/>
      </c>
      <c r="AJ388" t="str">
        <f t="shared" ref="AJ388:AJ451" si="56">IF($AB388&lt;0, "NA", IF(ISERROR($AA388/$AB388), "", $AA388/$AB388))</f>
        <v/>
      </c>
      <c r="AK388" t="str">
        <f t="shared" ref="AK388:AK451" si="57">IF($AC388&lt;0, "NA", IF(ISERROR($AA388/$AC388), "", $AA388/$AC388))</f>
        <v/>
      </c>
      <c r="AL388" t="str">
        <f t="shared" ref="AL388:AL451" si="58">IF($AD388&lt;0, "NA", IF(ISERROR($AA388/$AD388), "", $AA388/$AD388))</f>
        <v/>
      </c>
    </row>
    <row r="389" spans="22:38">
      <c r="V389" s="38"/>
      <c r="AF389" s="38" t="str">
        <f t="shared" si="52"/>
        <v/>
      </c>
      <c r="AG389" t="str">
        <f t="shared" si="53"/>
        <v/>
      </c>
      <c r="AH389" t="str">
        <f t="shared" si="54"/>
        <v/>
      </c>
      <c r="AI389" t="str">
        <f t="shared" si="55"/>
        <v/>
      </c>
      <c r="AJ389" t="str">
        <f t="shared" si="56"/>
        <v/>
      </c>
      <c r="AK389" t="str">
        <f t="shared" si="57"/>
        <v/>
      </c>
      <c r="AL389" t="str">
        <f t="shared" si="58"/>
        <v/>
      </c>
    </row>
    <row r="390" spans="22:38">
      <c r="V390" s="38"/>
      <c r="AF390" s="38" t="str">
        <f t="shared" si="52"/>
        <v/>
      </c>
      <c r="AG390" t="str">
        <f t="shared" si="53"/>
        <v/>
      </c>
      <c r="AH390" t="str">
        <f t="shared" si="54"/>
        <v/>
      </c>
      <c r="AI390" t="str">
        <f t="shared" si="55"/>
        <v/>
      </c>
      <c r="AJ390" t="str">
        <f t="shared" si="56"/>
        <v/>
      </c>
      <c r="AK390" t="str">
        <f t="shared" si="57"/>
        <v/>
      </c>
      <c r="AL390" t="str">
        <f t="shared" si="58"/>
        <v/>
      </c>
    </row>
    <row r="391" spans="22:38">
      <c r="V391" s="38"/>
      <c r="AF391" s="38" t="str">
        <f t="shared" si="52"/>
        <v/>
      </c>
      <c r="AG391" t="str">
        <f t="shared" si="53"/>
        <v/>
      </c>
      <c r="AH391" t="str">
        <f t="shared" si="54"/>
        <v/>
      </c>
      <c r="AI391" t="str">
        <f t="shared" si="55"/>
        <v/>
      </c>
      <c r="AJ391" t="str">
        <f t="shared" si="56"/>
        <v/>
      </c>
      <c r="AK391" t="str">
        <f t="shared" si="57"/>
        <v/>
      </c>
      <c r="AL391" t="str">
        <f t="shared" si="58"/>
        <v/>
      </c>
    </row>
    <row r="392" spans="22:38">
      <c r="V392" s="38"/>
      <c r="AF392" s="38" t="str">
        <f t="shared" si="52"/>
        <v/>
      </c>
      <c r="AG392" t="str">
        <f t="shared" si="53"/>
        <v/>
      </c>
      <c r="AH392" t="str">
        <f t="shared" si="54"/>
        <v/>
      </c>
      <c r="AI392" t="str">
        <f t="shared" si="55"/>
        <v/>
      </c>
      <c r="AJ392" t="str">
        <f t="shared" si="56"/>
        <v/>
      </c>
      <c r="AK392" t="str">
        <f t="shared" si="57"/>
        <v/>
      </c>
      <c r="AL392" t="str">
        <f t="shared" si="58"/>
        <v/>
      </c>
    </row>
    <row r="393" spans="22:38">
      <c r="V393" s="38"/>
      <c r="AF393" s="38" t="str">
        <f t="shared" si="52"/>
        <v/>
      </c>
      <c r="AG393" t="str">
        <f t="shared" si="53"/>
        <v/>
      </c>
      <c r="AH393" t="str">
        <f t="shared" si="54"/>
        <v/>
      </c>
      <c r="AI393" t="str">
        <f t="shared" si="55"/>
        <v/>
      </c>
      <c r="AJ393" t="str">
        <f t="shared" si="56"/>
        <v/>
      </c>
      <c r="AK393" t="str">
        <f t="shared" si="57"/>
        <v/>
      </c>
      <c r="AL393" t="str">
        <f t="shared" si="58"/>
        <v/>
      </c>
    </row>
    <row r="394" spans="22:38">
      <c r="V394" s="38"/>
      <c r="AF394" s="38" t="str">
        <f t="shared" si="52"/>
        <v/>
      </c>
      <c r="AG394" t="str">
        <f t="shared" si="53"/>
        <v/>
      </c>
      <c r="AH394" t="str">
        <f t="shared" si="54"/>
        <v/>
      </c>
      <c r="AI394" t="str">
        <f t="shared" si="55"/>
        <v/>
      </c>
      <c r="AJ394" t="str">
        <f t="shared" si="56"/>
        <v/>
      </c>
      <c r="AK394" t="str">
        <f t="shared" si="57"/>
        <v/>
      </c>
      <c r="AL394" t="str">
        <f t="shared" si="58"/>
        <v/>
      </c>
    </row>
    <row r="395" spans="22:38">
      <c r="V395" s="38"/>
      <c r="AF395" s="38" t="str">
        <f t="shared" si="52"/>
        <v/>
      </c>
      <c r="AG395" t="str">
        <f t="shared" si="53"/>
        <v/>
      </c>
      <c r="AH395" t="str">
        <f t="shared" si="54"/>
        <v/>
      </c>
      <c r="AI395" t="str">
        <f t="shared" si="55"/>
        <v/>
      </c>
      <c r="AJ395" t="str">
        <f t="shared" si="56"/>
        <v/>
      </c>
      <c r="AK395" t="str">
        <f t="shared" si="57"/>
        <v/>
      </c>
      <c r="AL395" t="str">
        <f t="shared" si="58"/>
        <v/>
      </c>
    </row>
    <row r="396" spans="22:38">
      <c r="V396" s="38"/>
      <c r="AF396" s="38" t="str">
        <f t="shared" si="52"/>
        <v/>
      </c>
      <c r="AG396" t="str">
        <f t="shared" si="53"/>
        <v/>
      </c>
      <c r="AH396" t="str">
        <f t="shared" si="54"/>
        <v/>
      </c>
      <c r="AI396" t="str">
        <f t="shared" si="55"/>
        <v/>
      </c>
      <c r="AJ396" t="str">
        <f t="shared" si="56"/>
        <v/>
      </c>
      <c r="AK396" t="str">
        <f t="shared" si="57"/>
        <v/>
      </c>
      <c r="AL396" t="str">
        <f t="shared" si="58"/>
        <v/>
      </c>
    </row>
    <row r="397" spans="22:38">
      <c r="V397" s="38"/>
      <c r="AF397" s="38" t="str">
        <f t="shared" si="52"/>
        <v/>
      </c>
      <c r="AG397" t="str">
        <f t="shared" si="53"/>
        <v/>
      </c>
      <c r="AH397" t="str">
        <f t="shared" si="54"/>
        <v/>
      </c>
      <c r="AI397" t="str">
        <f t="shared" si="55"/>
        <v/>
      </c>
      <c r="AJ397" t="str">
        <f t="shared" si="56"/>
        <v/>
      </c>
      <c r="AK397" t="str">
        <f t="shared" si="57"/>
        <v/>
      </c>
      <c r="AL397" t="str">
        <f t="shared" si="58"/>
        <v/>
      </c>
    </row>
    <row r="398" spans="22:38">
      <c r="V398" s="38"/>
      <c r="AF398" s="38" t="str">
        <f t="shared" si="52"/>
        <v/>
      </c>
      <c r="AG398" t="str">
        <f t="shared" si="53"/>
        <v/>
      </c>
      <c r="AH398" t="str">
        <f t="shared" si="54"/>
        <v/>
      </c>
      <c r="AI398" t="str">
        <f t="shared" si="55"/>
        <v/>
      </c>
      <c r="AJ398" t="str">
        <f t="shared" si="56"/>
        <v/>
      </c>
      <c r="AK398" t="str">
        <f t="shared" si="57"/>
        <v/>
      </c>
      <c r="AL398" t="str">
        <f t="shared" si="58"/>
        <v/>
      </c>
    </row>
    <row r="399" spans="22:38">
      <c r="V399" s="38"/>
      <c r="AF399" s="38" t="str">
        <f t="shared" si="52"/>
        <v/>
      </c>
      <c r="AG399" t="str">
        <f t="shared" si="53"/>
        <v/>
      </c>
      <c r="AH399" t="str">
        <f t="shared" si="54"/>
        <v/>
      </c>
      <c r="AI399" t="str">
        <f t="shared" si="55"/>
        <v/>
      </c>
      <c r="AJ399" t="str">
        <f t="shared" si="56"/>
        <v/>
      </c>
      <c r="AK399" t="str">
        <f t="shared" si="57"/>
        <v/>
      </c>
      <c r="AL399" t="str">
        <f t="shared" si="58"/>
        <v/>
      </c>
    </row>
    <row r="400" spans="22:38">
      <c r="V400" s="38"/>
      <c r="AF400" s="38" t="str">
        <f t="shared" si="52"/>
        <v/>
      </c>
      <c r="AG400" t="str">
        <f t="shared" si="53"/>
        <v/>
      </c>
      <c r="AH400" t="str">
        <f t="shared" si="54"/>
        <v/>
      </c>
      <c r="AI400" t="str">
        <f t="shared" si="55"/>
        <v/>
      </c>
      <c r="AJ400" t="str">
        <f t="shared" si="56"/>
        <v/>
      </c>
      <c r="AK400" t="str">
        <f t="shared" si="57"/>
        <v/>
      </c>
      <c r="AL400" t="str">
        <f t="shared" si="58"/>
        <v/>
      </c>
    </row>
    <row r="401" spans="22:38">
      <c r="V401" s="38"/>
      <c r="AF401" s="38" t="str">
        <f t="shared" si="52"/>
        <v/>
      </c>
      <c r="AG401" t="str">
        <f t="shared" si="53"/>
        <v/>
      </c>
      <c r="AH401" t="str">
        <f t="shared" si="54"/>
        <v/>
      </c>
      <c r="AI401" t="str">
        <f t="shared" si="55"/>
        <v/>
      </c>
      <c r="AJ401" t="str">
        <f t="shared" si="56"/>
        <v/>
      </c>
      <c r="AK401" t="str">
        <f t="shared" si="57"/>
        <v/>
      </c>
      <c r="AL401" t="str">
        <f t="shared" si="58"/>
        <v/>
      </c>
    </row>
    <row r="402" spans="22:38">
      <c r="V402" s="38"/>
      <c r="AF402" s="38" t="str">
        <f t="shared" si="52"/>
        <v/>
      </c>
      <c r="AG402" t="str">
        <f t="shared" si="53"/>
        <v/>
      </c>
      <c r="AH402" t="str">
        <f t="shared" si="54"/>
        <v/>
      </c>
      <c r="AI402" t="str">
        <f t="shared" si="55"/>
        <v/>
      </c>
      <c r="AJ402" t="str">
        <f t="shared" si="56"/>
        <v/>
      </c>
      <c r="AK402" t="str">
        <f t="shared" si="57"/>
        <v/>
      </c>
      <c r="AL402" t="str">
        <f t="shared" si="58"/>
        <v/>
      </c>
    </row>
    <row r="403" spans="22:38">
      <c r="V403" s="38"/>
      <c r="AF403" s="38" t="str">
        <f t="shared" si="52"/>
        <v/>
      </c>
      <c r="AG403" t="str">
        <f t="shared" si="53"/>
        <v/>
      </c>
      <c r="AH403" t="str">
        <f t="shared" si="54"/>
        <v/>
      </c>
      <c r="AI403" t="str">
        <f t="shared" si="55"/>
        <v/>
      </c>
      <c r="AJ403" t="str">
        <f t="shared" si="56"/>
        <v/>
      </c>
      <c r="AK403" t="str">
        <f t="shared" si="57"/>
        <v/>
      </c>
      <c r="AL403" t="str">
        <f t="shared" si="58"/>
        <v/>
      </c>
    </row>
    <row r="404" spans="22:38">
      <c r="V404" s="38"/>
      <c r="AF404" s="38" t="str">
        <f t="shared" si="52"/>
        <v/>
      </c>
      <c r="AG404" t="str">
        <f t="shared" si="53"/>
        <v/>
      </c>
      <c r="AH404" t="str">
        <f t="shared" si="54"/>
        <v/>
      </c>
      <c r="AI404" t="str">
        <f t="shared" si="55"/>
        <v/>
      </c>
      <c r="AJ404" t="str">
        <f t="shared" si="56"/>
        <v/>
      </c>
      <c r="AK404" t="str">
        <f t="shared" si="57"/>
        <v/>
      </c>
      <c r="AL404" t="str">
        <f t="shared" si="58"/>
        <v/>
      </c>
    </row>
    <row r="405" spans="22:38">
      <c r="V405" s="38"/>
      <c r="AF405" s="38" t="str">
        <f t="shared" si="52"/>
        <v/>
      </c>
      <c r="AG405" t="str">
        <f t="shared" si="53"/>
        <v/>
      </c>
      <c r="AH405" t="str">
        <f t="shared" si="54"/>
        <v/>
      </c>
      <c r="AI405" t="str">
        <f t="shared" si="55"/>
        <v/>
      </c>
      <c r="AJ405" t="str">
        <f t="shared" si="56"/>
        <v/>
      </c>
      <c r="AK405" t="str">
        <f t="shared" si="57"/>
        <v/>
      </c>
      <c r="AL405" t="str">
        <f t="shared" si="58"/>
        <v/>
      </c>
    </row>
    <row r="406" spans="22:38">
      <c r="V406" s="38"/>
      <c r="AF406" s="38" t="str">
        <f t="shared" si="52"/>
        <v/>
      </c>
      <c r="AG406" t="str">
        <f t="shared" si="53"/>
        <v/>
      </c>
      <c r="AH406" t="str">
        <f t="shared" si="54"/>
        <v/>
      </c>
      <c r="AI406" t="str">
        <f t="shared" si="55"/>
        <v/>
      </c>
      <c r="AJ406" t="str">
        <f t="shared" si="56"/>
        <v/>
      </c>
      <c r="AK406" t="str">
        <f t="shared" si="57"/>
        <v/>
      </c>
      <c r="AL406" t="str">
        <f t="shared" si="58"/>
        <v/>
      </c>
    </row>
    <row r="407" spans="22:38">
      <c r="V407" s="38"/>
      <c r="AF407" s="38" t="str">
        <f t="shared" si="52"/>
        <v/>
      </c>
      <c r="AG407" t="str">
        <f t="shared" si="53"/>
        <v/>
      </c>
      <c r="AH407" t="str">
        <f t="shared" si="54"/>
        <v/>
      </c>
      <c r="AI407" t="str">
        <f t="shared" si="55"/>
        <v/>
      </c>
      <c r="AJ407" t="str">
        <f t="shared" si="56"/>
        <v/>
      </c>
      <c r="AK407" t="str">
        <f t="shared" si="57"/>
        <v/>
      </c>
      <c r="AL407" t="str">
        <f t="shared" si="58"/>
        <v/>
      </c>
    </row>
    <row r="408" spans="22:38">
      <c r="V408" s="38"/>
      <c r="AF408" s="38" t="str">
        <f t="shared" si="52"/>
        <v/>
      </c>
      <c r="AG408" t="str">
        <f t="shared" si="53"/>
        <v/>
      </c>
      <c r="AH408" t="str">
        <f t="shared" si="54"/>
        <v/>
      </c>
      <c r="AI408" t="str">
        <f t="shared" si="55"/>
        <v/>
      </c>
      <c r="AJ408" t="str">
        <f t="shared" si="56"/>
        <v/>
      </c>
      <c r="AK408" t="str">
        <f t="shared" si="57"/>
        <v/>
      </c>
      <c r="AL408" t="str">
        <f t="shared" si="58"/>
        <v/>
      </c>
    </row>
    <row r="409" spans="22:38">
      <c r="V409" s="38"/>
      <c r="AF409" s="38" t="str">
        <f t="shared" si="52"/>
        <v/>
      </c>
      <c r="AG409" t="str">
        <f t="shared" si="53"/>
        <v/>
      </c>
      <c r="AH409" t="str">
        <f t="shared" si="54"/>
        <v/>
      </c>
      <c r="AI409" t="str">
        <f t="shared" si="55"/>
        <v/>
      </c>
      <c r="AJ409" t="str">
        <f t="shared" si="56"/>
        <v/>
      </c>
      <c r="AK409" t="str">
        <f t="shared" si="57"/>
        <v/>
      </c>
      <c r="AL409" t="str">
        <f t="shared" si="58"/>
        <v/>
      </c>
    </row>
    <row r="410" spans="22:38">
      <c r="V410" s="38"/>
      <c r="AF410" s="38" t="str">
        <f t="shared" si="52"/>
        <v/>
      </c>
      <c r="AG410" t="str">
        <f t="shared" si="53"/>
        <v/>
      </c>
      <c r="AH410" t="str">
        <f t="shared" si="54"/>
        <v/>
      </c>
      <c r="AI410" t="str">
        <f t="shared" si="55"/>
        <v/>
      </c>
      <c r="AJ410" t="str">
        <f t="shared" si="56"/>
        <v/>
      </c>
      <c r="AK410" t="str">
        <f t="shared" si="57"/>
        <v/>
      </c>
      <c r="AL410" t="str">
        <f t="shared" si="58"/>
        <v/>
      </c>
    </row>
    <row r="411" spans="22:38">
      <c r="V411" s="38"/>
      <c r="AF411" s="38" t="str">
        <f t="shared" si="52"/>
        <v/>
      </c>
      <c r="AG411" t="str">
        <f t="shared" si="53"/>
        <v/>
      </c>
      <c r="AH411" t="str">
        <f t="shared" si="54"/>
        <v/>
      </c>
      <c r="AI411" t="str">
        <f t="shared" si="55"/>
        <v/>
      </c>
      <c r="AJ411" t="str">
        <f t="shared" si="56"/>
        <v/>
      </c>
      <c r="AK411" t="str">
        <f t="shared" si="57"/>
        <v/>
      </c>
      <c r="AL411" t="str">
        <f t="shared" si="58"/>
        <v/>
      </c>
    </row>
    <row r="412" spans="22:38">
      <c r="V412" s="38"/>
      <c r="AF412" s="38" t="str">
        <f t="shared" si="52"/>
        <v/>
      </c>
      <c r="AG412" t="str">
        <f t="shared" si="53"/>
        <v/>
      </c>
      <c r="AH412" t="str">
        <f t="shared" si="54"/>
        <v/>
      </c>
      <c r="AI412" t="str">
        <f t="shared" si="55"/>
        <v/>
      </c>
      <c r="AJ412" t="str">
        <f t="shared" si="56"/>
        <v/>
      </c>
      <c r="AK412" t="str">
        <f t="shared" si="57"/>
        <v/>
      </c>
      <c r="AL412" t="str">
        <f t="shared" si="58"/>
        <v/>
      </c>
    </row>
    <row r="413" spans="22:38">
      <c r="V413" s="38"/>
      <c r="AF413" s="38" t="str">
        <f t="shared" si="52"/>
        <v/>
      </c>
      <c r="AG413" t="str">
        <f t="shared" si="53"/>
        <v/>
      </c>
      <c r="AH413" t="str">
        <f t="shared" si="54"/>
        <v/>
      </c>
      <c r="AI413" t="str">
        <f t="shared" si="55"/>
        <v/>
      </c>
      <c r="AJ413" t="str">
        <f t="shared" si="56"/>
        <v/>
      </c>
      <c r="AK413" t="str">
        <f t="shared" si="57"/>
        <v/>
      </c>
      <c r="AL413" t="str">
        <f t="shared" si="58"/>
        <v/>
      </c>
    </row>
    <row r="414" spans="22:38">
      <c r="V414" s="38"/>
      <c r="AF414" s="38" t="str">
        <f t="shared" si="52"/>
        <v/>
      </c>
      <c r="AG414" t="str">
        <f t="shared" si="53"/>
        <v/>
      </c>
      <c r="AH414" t="str">
        <f t="shared" si="54"/>
        <v/>
      </c>
      <c r="AI414" t="str">
        <f t="shared" si="55"/>
        <v/>
      </c>
      <c r="AJ414" t="str">
        <f t="shared" si="56"/>
        <v/>
      </c>
      <c r="AK414" t="str">
        <f t="shared" si="57"/>
        <v/>
      </c>
      <c r="AL414" t="str">
        <f t="shared" si="58"/>
        <v/>
      </c>
    </row>
    <row r="415" spans="22:38">
      <c r="V415" s="38"/>
      <c r="AF415" s="38" t="str">
        <f t="shared" si="52"/>
        <v/>
      </c>
      <c r="AG415" t="str">
        <f t="shared" si="53"/>
        <v/>
      </c>
      <c r="AH415" t="str">
        <f t="shared" si="54"/>
        <v/>
      </c>
      <c r="AI415" t="str">
        <f t="shared" si="55"/>
        <v/>
      </c>
      <c r="AJ415" t="str">
        <f t="shared" si="56"/>
        <v/>
      </c>
      <c r="AK415" t="str">
        <f t="shared" si="57"/>
        <v/>
      </c>
      <c r="AL415" t="str">
        <f t="shared" si="58"/>
        <v/>
      </c>
    </row>
    <row r="416" spans="22:38">
      <c r="V416" s="38"/>
      <c r="AF416" s="38" t="str">
        <f t="shared" si="52"/>
        <v/>
      </c>
      <c r="AG416" t="str">
        <f t="shared" si="53"/>
        <v/>
      </c>
      <c r="AH416" t="str">
        <f t="shared" si="54"/>
        <v/>
      </c>
      <c r="AI416" t="str">
        <f t="shared" si="55"/>
        <v/>
      </c>
      <c r="AJ416" t="str">
        <f t="shared" si="56"/>
        <v/>
      </c>
      <c r="AK416" t="str">
        <f t="shared" si="57"/>
        <v/>
      </c>
      <c r="AL416" t="str">
        <f t="shared" si="58"/>
        <v/>
      </c>
    </row>
    <row r="417" spans="22:38">
      <c r="V417" s="38"/>
      <c r="AF417" s="38" t="str">
        <f t="shared" si="52"/>
        <v/>
      </c>
      <c r="AG417" t="str">
        <f t="shared" si="53"/>
        <v/>
      </c>
      <c r="AH417" t="str">
        <f t="shared" si="54"/>
        <v/>
      </c>
      <c r="AI417" t="str">
        <f t="shared" si="55"/>
        <v/>
      </c>
      <c r="AJ417" t="str">
        <f t="shared" si="56"/>
        <v/>
      </c>
      <c r="AK417" t="str">
        <f t="shared" si="57"/>
        <v/>
      </c>
      <c r="AL417" t="str">
        <f t="shared" si="58"/>
        <v/>
      </c>
    </row>
    <row r="418" spans="22:38">
      <c r="V418" s="38"/>
      <c r="AF418" s="38" t="str">
        <f t="shared" si="52"/>
        <v/>
      </c>
      <c r="AG418" t="str">
        <f t="shared" si="53"/>
        <v/>
      </c>
      <c r="AH418" t="str">
        <f t="shared" si="54"/>
        <v/>
      </c>
      <c r="AI418" t="str">
        <f t="shared" si="55"/>
        <v/>
      </c>
      <c r="AJ418" t="str">
        <f t="shared" si="56"/>
        <v/>
      </c>
      <c r="AK418" t="str">
        <f t="shared" si="57"/>
        <v/>
      </c>
      <c r="AL418" t="str">
        <f t="shared" si="58"/>
        <v/>
      </c>
    </row>
    <row r="419" spans="22:38">
      <c r="V419" s="38"/>
      <c r="AF419" s="38" t="str">
        <f t="shared" si="52"/>
        <v/>
      </c>
      <c r="AG419" t="str">
        <f t="shared" si="53"/>
        <v/>
      </c>
      <c r="AH419" t="str">
        <f t="shared" si="54"/>
        <v/>
      </c>
      <c r="AI419" t="str">
        <f t="shared" si="55"/>
        <v/>
      </c>
      <c r="AJ419" t="str">
        <f t="shared" si="56"/>
        <v/>
      </c>
      <c r="AK419" t="str">
        <f t="shared" si="57"/>
        <v/>
      </c>
      <c r="AL419" t="str">
        <f t="shared" si="58"/>
        <v/>
      </c>
    </row>
    <row r="420" spans="22:38">
      <c r="V420" s="38"/>
      <c r="AF420" s="38" t="str">
        <f t="shared" si="52"/>
        <v/>
      </c>
      <c r="AG420" t="str">
        <f t="shared" si="53"/>
        <v/>
      </c>
      <c r="AH420" t="str">
        <f t="shared" si="54"/>
        <v/>
      </c>
      <c r="AI420" t="str">
        <f t="shared" si="55"/>
        <v/>
      </c>
      <c r="AJ420" t="str">
        <f t="shared" si="56"/>
        <v/>
      </c>
      <c r="AK420" t="str">
        <f t="shared" si="57"/>
        <v/>
      </c>
      <c r="AL420" t="str">
        <f t="shared" si="58"/>
        <v/>
      </c>
    </row>
    <row r="421" spans="22:38">
      <c r="V421" s="38"/>
      <c r="AF421" s="38" t="str">
        <f t="shared" si="52"/>
        <v/>
      </c>
      <c r="AG421" t="str">
        <f t="shared" si="53"/>
        <v/>
      </c>
      <c r="AH421" t="str">
        <f t="shared" si="54"/>
        <v/>
      </c>
      <c r="AI421" t="str">
        <f t="shared" si="55"/>
        <v/>
      </c>
      <c r="AJ421" t="str">
        <f t="shared" si="56"/>
        <v/>
      </c>
      <c r="AK421" t="str">
        <f t="shared" si="57"/>
        <v/>
      </c>
      <c r="AL421" t="str">
        <f t="shared" si="58"/>
        <v/>
      </c>
    </row>
    <row r="422" spans="22:38">
      <c r="V422" s="38"/>
      <c r="AF422" s="38" t="str">
        <f t="shared" si="52"/>
        <v/>
      </c>
      <c r="AG422" t="str">
        <f t="shared" si="53"/>
        <v/>
      </c>
      <c r="AH422" t="str">
        <f t="shared" si="54"/>
        <v/>
      </c>
      <c r="AI422" t="str">
        <f t="shared" si="55"/>
        <v/>
      </c>
      <c r="AJ422" t="str">
        <f t="shared" si="56"/>
        <v/>
      </c>
      <c r="AK422" t="str">
        <f t="shared" si="57"/>
        <v/>
      </c>
      <c r="AL422" t="str">
        <f t="shared" si="58"/>
        <v/>
      </c>
    </row>
    <row r="423" spans="22:38">
      <c r="V423" s="38"/>
      <c r="AF423" s="38" t="str">
        <f t="shared" si="52"/>
        <v/>
      </c>
      <c r="AG423" t="str">
        <f t="shared" si="53"/>
        <v/>
      </c>
      <c r="AH423" t="str">
        <f t="shared" si="54"/>
        <v/>
      </c>
      <c r="AI423" t="str">
        <f t="shared" si="55"/>
        <v/>
      </c>
      <c r="AJ423" t="str">
        <f t="shared" si="56"/>
        <v/>
      </c>
      <c r="AK423" t="str">
        <f t="shared" si="57"/>
        <v/>
      </c>
      <c r="AL423" t="str">
        <f t="shared" si="58"/>
        <v/>
      </c>
    </row>
    <row r="424" spans="22:38">
      <c r="V424" s="38"/>
      <c r="AF424" s="38" t="str">
        <f t="shared" si="52"/>
        <v/>
      </c>
      <c r="AG424" t="str">
        <f t="shared" si="53"/>
        <v/>
      </c>
      <c r="AH424" t="str">
        <f t="shared" si="54"/>
        <v/>
      </c>
      <c r="AI424" t="str">
        <f t="shared" si="55"/>
        <v/>
      </c>
      <c r="AJ424" t="str">
        <f t="shared" si="56"/>
        <v/>
      </c>
      <c r="AK424" t="str">
        <f t="shared" si="57"/>
        <v/>
      </c>
      <c r="AL424" t="str">
        <f t="shared" si="58"/>
        <v/>
      </c>
    </row>
    <row r="425" spans="22:38">
      <c r="V425" s="38"/>
      <c r="AF425" s="38" t="str">
        <f t="shared" si="52"/>
        <v/>
      </c>
      <c r="AG425" t="str">
        <f t="shared" si="53"/>
        <v/>
      </c>
      <c r="AH425" t="str">
        <f t="shared" si="54"/>
        <v/>
      </c>
      <c r="AI425" t="str">
        <f t="shared" si="55"/>
        <v/>
      </c>
      <c r="AJ425" t="str">
        <f t="shared" si="56"/>
        <v/>
      </c>
      <c r="AK425" t="str">
        <f t="shared" si="57"/>
        <v/>
      </c>
      <c r="AL425" t="str">
        <f t="shared" si="58"/>
        <v/>
      </c>
    </row>
    <row r="426" spans="22:38">
      <c r="V426" s="38"/>
      <c r="AF426" s="38" t="str">
        <f t="shared" si="52"/>
        <v/>
      </c>
      <c r="AG426" t="str">
        <f t="shared" si="53"/>
        <v/>
      </c>
      <c r="AH426" t="str">
        <f t="shared" si="54"/>
        <v/>
      </c>
      <c r="AI426" t="str">
        <f t="shared" si="55"/>
        <v/>
      </c>
      <c r="AJ426" t="str">
        <f t="shared" si="56"/>
        <v/>
      </c>
      <c r="AK426" t="str">
        <f t="shared" si="57"/>
        <v/>
      </c>
      <c r="AL426" t="str">
        <f t="shared" si="58"/>
        <v/>
      </c>
    </row>
    <row r="427" spans="22:38">
      <c r="V427" s="38"/>
      <c r="AF427" s="38" t="str">
        <f t="shared" si="52"/>
        <v/>
      </c>
      <c r="AG427" t="str">
        <f t="shared" si="53"/>
        <v/>
      </c>
      <c r="AH427" t="str">
        <f t="shared" si="54"/>
        <v/>
      </c>
      <c r="AI427" t="str">
        <f t="shared" si="55"/>
        <v/>
      </c>
      <c r="AJ427" t="str">
        <f t="shared" si="56"/>
        <v/>
      </c>
      <c r="AK427" t="str">
        <f t="shared" si="57"/>
        <v/>
      </c>
      <c r="AL427" t="str">
        <f t="shared" si="58"/>
        <v/>
      </c>
    </row>
    <row r="428" spans="22:38">
      <c r="V428" s="38"/>
      <c r="AF428" s="38" t="str">
        <f t="shared" si="52"/>
        <v/>
      </c>
      <c r="AG428" t="str">
        <f t="shared" si="53"/>
        <v/>
      </c>
      <c r="AH428" t="str">
        <f t="shared" si="54"/>
        <v/>
      </c>
      <c r="AI428" t="str">
        <f t="shared" si="55"/>
        <v/>
      </c>
      <c r="AJ428" t="str">
        <f t="shared" si="56"/>
        <v/>
      </c>
      <c r="AK428" t="str">
        <f t="shared" si="57"/>
        <v/>
      </c>
      <c r="AL428" t="str">
        <f t="shared" si="58"/>
        <v/>
      </c>
    </row>
    <row r="429" spans="22:38">
      <c r="V429" s="38"/>
      <c r="AF429" s="38" t="str">
        <f t="shared" si="52"/>
        <v/>
      </c>
      <c r="AG429" t="str">
        <f t="shared" si="53"/>
        <v/>
      </c>
      <c r="AH429" t="str">
        <f t="shared" si="54"/>
        <v/>
      </c>
      <c r="AI429" t="str">
        <f t="shared" si="55"/>
        <v/>
      </c>
      <c r="AJ429" t="str">
        <f t="shared" si="56"/>
        <v/>
      </c>
      <c r="AK429" t="str">
        <f t="shared" si="57"/>
        <v/>
      </c>
      <c r="AL429" t="str">
        <f t="shared" si="58"/>
        <v/>
      </c>
    </row>
    <row r="430" spans="22:38">
      <c r="V430" s="38"/>
      <c r="AF430" s="38" t="str">
        <f t="shared" si="52"/>
        <v/>
      </c>
      <c r="AG430" t="str">
        <f t="shared" si="53"/>
        <v/>
      </c>
      <c r="AH430" t="str">
        <f t="shared" si="54"/>
        <v/>
      </c>
      <c r="AI430" t="str">
        <f t="shared" si="55"/>
        <v/>
      </c>
      <c r="AJ430" t="str">
        <f t="shared" si="56"/>
        <v/>
      </c>
      <c r="AK430" t="str">
        <f t="shared" si="57"/>
        <v/>
      </c>
      <c r="AL430" t="str">
        <f t="shared" si="58"/>
        <v/>
      </c>
    </row>
    <row r="431" spans="22:38">
      <c r="V431" s="38"/>
      <c r="AF431" s="38" t="str">
        <f t="shared" si="52"/>
        <v/>
      </c>
      <c r="AG431" t="str">
        <f t="shared" si="53"/>
        <v/>
      </c>
      <c r="AH431" t="str">
        <f t="shared" si="54"/>
        <v/>
      </c>
      <c r="AI431" t="str">
        <f t="shared" si="55"/>
        <v/>
      </c>
      <c r="AJ431" t="str">
        <f t="shared" si="56"/>
        <v/>
      </c>
      <c r="AK431" t="str">
        <f t="shared" si="57"/>
        <v/>
      </c>
      <c r="AL431" t="str">
        <f t="shared" si="58"/>
        <v/>
      </c>
    </row>
    <row r="432" spans="22:38">
      <c r="V432" s="38"/>
      <c r="AF432" s="38" t="str">
        <f t="shared" si="52"/>
        <v/>
      </c>
      <c r="AG432" t="str">
        <f t="shared" si="53"/>
        <v/>
      </c>
      <c r="AH432" t="str">
        <f t="shared" si="54"/>
        <v/>
      </c>
      <c r="AI432" t="str">
        <f t="shared" si="55"/>
        <v/>
      </c>
      <c r="AJ432" t="str">
        <f t="shared" si="56"/>
        <v/>
      </c>
      <c r="AK432" t="str">
        <f t="shared" si="57"/>
        <v/>
      </c>
      <c r="AL432" t="str">
        <f t="shared" si="58"/>
        <v/>
      </c>
    </row>
    <row r="433" spans="22:38">
      <c r="V433" s="38"/>
      <c r="AF433" s="38" t="str">
        <f t="shared" si="52"/>
        <v/>
      </c>
      <c r="AG433" t="str">
        <f t="shared" si="53"/>
        <v/>
      </c>
      <c r="AH433" t="str">
        <f t="shared" si="54"/>
        <v/>
      </c>
      <c r="AI433" t="str">
        <f t="shared" si="55"/>
        <v/>
      </c>
      <c r="AJ433" t="str">
        <f t="shared" si="56"/>
        <v/>
      </c>
      <c r="AK433" t="str">
        <f t="shared" si="57"/>
        <v/>
      </c>
      <c r="AL433" t="str">
        <f t="shared" si="58"/>
        <v/>
      </c>
    </row>
    <row r="434" spans="22:38">
      <c r="V434" s="38"/>
      <c r="AF434" s="38" t="str">
        <f t="shared" si="52"/>
        <v/>
      </c>
      <c r="AG434" t="str">
        <f t="shared" si="53"/>
        <v/>
      </c>
      <c r="AH434" t="str">
        <f t="shared" si="54"/>
        <v/>
      </c>
      <c r="AI434" t="str">
        <f t="shared" si="55"/>
        <v/>
      </c>
      <c r="AJ434" t="str">
        <f t="shared" si="56"/>
        <v/>
      </c>
      <c r="AK434" t="str">
        <f t="shared" si="57"/>
        <v/>
      </c>
      <c r="AL434" t="str">
        <f t="shared" si="58"/>
        <v/>
      </c>
    </row>
    <row r="435" spans="22:38">
      <c r="V435" s="38"/>
      <c r="AF435" s="38" t="str">
        <f t="shared" si="52"/>
        <v/>
      </c>
      <c r="AG435" t="str">
        <f t="shared" si="53"/>
        <v/>
      </c>
      <c r="AH435" t="str">
        <f t="shared" si="54"/>
        <v/>
      </c>
      <c r="AI435" t="str">
        <f t="shared" si="55"/>
        <v/>
      </c>
      <c r="AJ435" t="str">
        <f t="shared" si="56"/>
        <v/>
      </c>
      <c r="AK435" t="str">
        <f t="shared" si="57"/>
        <v/>
      </c>
      <c r="AL435" t="str">
        <f t="shared" si="58"/>
        <v/>
      </c>
    </row>
    <row r="436" spans="22:38">
      <c r="V436" s="38"/>
      <c r="AF436" s="38" t="str">
        <f t="shared" si="52"/>
        <v/>
      </c>
      <c r="AG436" t="str">
        <f t="shared" si="53"/>
        <v/>
      </c>
      <c r="AH436" t="str">
        <f t="shared" si="54"/>
        <v/>
      </c>
      <c r="AI436" t="str">
        <f t="shared" si="55"/>
        <v/>
      </c>
      <c r="AJ436" t="str">
        <f t="shared" si="56"/>
        <v/>
      </c>
      <c r="AK436" t="str">
        <f t="shared" si="57"/>
        <v/>
      </c>
      <c r="AL436" t="str">
        <f t="shared" si="58"/>
        <v/>
      </c>
    </row>
    <row r="437" spans="22:38">
      <c r="V437" s="38"/>
      <c r="AF437" s="38" t="str">
        <f t="shared" si="52"/>
        <v/>
      </c>
      <c r="AG437" t="str">
        <f t="shared" si="53"/>
        <v/>
      </c>
      <c r="AH437" t="str">
        <f t="shared" si="54"/>
        <v/>
      </c>
      <c r="AI437" t="str">
        <f t="shared" si="55"/>
        <v/>
      </c>
      <c r="AJ437" t="str">
        <f t="shared" si="56"/>
        <v/>
      </c>
      <c r="AK437" t="str">
        <f t="shared" si="57"/>
        <v/>
      </c>
      <c r="AL437" t="str">
        <f t="shared" si="58"/>
        <v/>
      </c>
    </row>
    <row r="438" spans="22:38">
      <c r="V438" s="38"/>
      <c r="AF438" s="38" t="str">
        <f t="shared" si="52"/>
        <v/>
      </c>
      <c r="AG438" t="str">
        <f t="shared" si="53"/>
        <v/>
      </c>
      <c r="AH438" t="str">
        <f t="shared" si="54"/>
        <v/>
      </c>
      <c r="AI438" t="str">
        <f t="shared" si="55"/>
        <v/>
      </c>
      <c r="AJ438" t="str">
        <f t="shared" si="56"/>
        <v/>
      </c>
      <c r="AK438" t="str">
        <f t="shared" si="57"/>
        <v/>
      </c>
      <c r="AL438" t="str">
        <f t="shared" si="58"/>
        <v/>
      </c>
    </row>
    <row r="439" spans="22:38">
      <c r="V439" s="38"/>
      <c r="AF439" s="38" t="str">
        <f t="shared" si="52"/>
        <v/>
      </c>
      <c r="AG439" t="str">
        <f t="shared" si="53"/>
        <v/>
      </c>
      <c r="AH439" t="str">
        <f t="shared" si="54"/>
        <v/>
      </c>
      <c r="AI439" t="str">
        <f t="shared" si="55"/>
        <v/>
      </c>
      <c r="AJ439" t="str">
        <f t="shared" si="56"/>
        <v/>
      </c>
      <c r="AK439" t="str">
        <f t="shared" si="57"/>
        <v/>
      </c>
      <c r="AL439" t="str">
        <f t="shared" si="58"/>
        <v/>
      </c>
    </row>
    <row r="440" spans="22:38">
      <c r="V440" s="38"/>
      <c r="AF440" s="38" t="str">
        <f t="shared" si="52"/>
        <v/>
      </c>
      <c r="AG440" t="str">
        <f t="shared" si="53"/>
        <v/>
      </c>
      <c r="AH440" t="str">
        <f t="shared" si="54"/>
        <v/>
      </c>
      <c r="AI440" t="str">
        <f t="shared" si="55"/>
        <v/>
      </c>
      <c r="AJ440" t="str">
        <f t="shared" si="56"/>
        <v/>
      </c>
      <c r="AK440" t="str">
        <f t="shared" si="57"/>
        <v/>
      </c>
      <c r="AL440" t="str">
        <f t="shared" si="58"/>
        <v/>
      </c>
    </row>
    <row r="441" spans="22:38">
      <c r="V441" s="38"/>
      <c r="AF441" s="38" t="str">
        <f t="shared" si="52"/>
        <v/>
      </c>
      <c r="AG441" t="str">
        <f t="shared" si="53"/>
        <v/>
      </c>
      <c r="AH441" t="str">
        <f t="shared" si="54"/>
        <v/>
      </c>
      <c r="AI441" t="str">
        <f t="shared" si="55"/>
        <v/>
      </c>
      <c r="AJ441" t="str">
        <f t="shared" si="56"/>
        <v/>
      </c>
      <c r="AK441" t="str">
        <f t="shared" si="57"/>
        <v/>
      </c>
      <c r="AL441" t="str">
        <f t="shared" si="58"/>
        <v/>
      </c>
    </row>
    <row r="442" spans="22:38">
      <c r="V442" s="38"/>
      <c r="AF442" s="38" t="str">
        <f t="shared" si="52"/>
        <v/>
      </c>
      <c r="AG442" t="str">
        <f t="shared" si="53"/>
        <v/>
      </c>
      <c r="AH442" t="str">
        <f t="shared" si="54"/>
        <v/>
      </c>
      <c r="AI442" t="str">
        <f t="shared" si="55"/>
        <v/>
      </c>
      <c r="AJ442" t="str">
        <f t="shared" si="56"/>
        <v/>
      </c>
      <c r="AK442" t="str">
        <f t="shared" si="57"/>
        <v/>
      </c>
      <c r="AL442" t="str">
        <f t="shared" si="58"/>
        <v/>
      </c>
    </row>
    <row r="443" spans="22:38">
      <c r="V443" s="38"/>
      <c r="AF443" s="38" t="str">
        <f t="shared" si="52"/>
        <v/>
      </c>
      <c r="AG443" t="str">
        <f t="shared" si="53"/>
        <v/>
      </c>
      <c r="AH443" t="str">
        <f t="shared" si="54"/>
        <v/>
      </c>
      <c r="AI443" t="str">
        <f t="shared" si="55"/>
        <v/>
      </c>
      <c r="AJ443" t="str">
        <f t="shared" si="56"/>
        <v/>
      </c>
      <c r="AK443" t="str">
        <f t="shared" si="57"/>
        <v/>
      </c>
      <c r="AL443" t="str">
        <f t="shared" si="58"/>
        <v/>
      </c>
    </row>
    <row r="444" spans="22:38">
      <c r="V444" s="38"/>
      <c r="AF444" s="38" t="str">
        <f t="shared" si="52"/>
        <v/>
      </c>
      <c r="AG444" t="str">
        <f t="shared" si="53"/>
        <v/>
      </c>
      <c r="AH444" t="str">
        <f t="shared" si="54"/>
        <v/>
      </c>
      <c r="AI444" t="str">
        <f t="shared" si="55"/>
        <v/>
      </c>
      <c r="AJ444" t="str">
        <f t="shared" si="56"/>
        <v/>
      </c>
      <c r="AK444" t="str">
        <f t="shared" si="57"/>
        <v/>
      </c>
      <c r="AL444" t="str">
        <f t="shared" si="58"/>
        <v/>
      </c>
    </row>
    <row r="445" spans="22:38">
      <c r="V445" s="38"/>
      <c r="AF445" s="38" t="str">
        <f t="shared" si="52"/>
        <v/>
      </c>
      <c r="AG445" t="str">
        <f t="shared" si="53"/>
        <v/>
      </c>
      <c r="AH445" t="str">
        <f t="shared" si="54"/>
        <v/>
      </c>
      <c r="AI445" t="str">
        <f t="shared" si="55"/>
        <v/>
      </c>
      <c r="AJ445" t="str">
        <f t="shared" si="56"/>
        <v/>
      </c>
      <c r="AK445" t="str">
        <f t="shared" si="57"/>
        <v/>
      </c>
      <c r="AL445" t="str">
        <f t="shared" si="58"/>
        <v/>
      </c>
    </row>
    <row r="446" spans="22:38">
      <c r="V446" s="38"/>
      <c r="AF446" s="38" t="str">
        <f t="shared" si="52"/>
        <v/>
      </c>
      <c r="AG446" t="str">
        <f t="shared" si="53"/>
        <v/>
      </c>
      <c r="AH446" t="str">
        <f t="shared" si="54"/>
        <v/>
      </c>
      <c r="AI446" t="str">
        <f t="shared" si="55"/>
        <v/>
      </c>
      <c r="AJ446" t="str">
        <f t="shared" si="56"/>
        <v/>
      </c>
      <c r="AK446" t="str">
        <f t="shared" si="57"/>
        <v/>
      </c>
      <c r="AL446" t="str">
        <f t="shared" si="58"/>
        <v/>
      </c>
    </row>
    <row r="447" spans="22:38">
      <c r="V447" s="38"/>
      <c r="AF447" s="38" t="str">
        <f t="shared" si="52"/>
        <v/>
      </c>
      <c r="AG447" t="str">
        <f t="shared" si="53"/>
        <v/>
      </c>
      <c r="AH447" t="str">
        <f t="shared" si="54"/>
        <v/>
      </c>
      <c r="AI447" t="str">
        <f t="shared" si="55"/>
        <v/>
      </c>
      <c r="AJ447" t="str">
        <f t="shared" si="56"/>
        <v/>
      </c>
      <c r="AK447" t="str">
        <f t="shared" si="57"/>
        <v/>
      </c>
      <c r="AL447" t="str">
        <f t="shared" si="58"/>
        <v/>
      </c>
    </row>
    <row r="448" spans="22:38">
      <c r="V448" s="38"/>
      <c r="AF448" s="38" t="str">
        <f t="shared" si="52"/>
        <v/>
      </c>
      <c r="AG448" t="str">
        <f t="shared" si="53"/>
        <v/>
      </c>
      <c r="AH448" t="str">
        <f t="shared" si="54"/>
        <v/>
      </c>
      <c r="AI448" t="str">
        <f t="shared" si="55"/>
        <v/>
      </c>
      <c r="AJ448" t="str">
        <f t="shared" si="56"/>
        <v/>
      </c>
      <c r="AK448" t="str">
        <f t="shared" si="57"/>
        <v/>
      </c>
      <c r="AL448" t="str">
        <f t="shared" si="58"/>
        <v/>
      </c>
    </row>
    <row r="449" spans="22:38">
      <c r="V449" s="38"/>
      <c r="AF449" s="38" t="str">
        <f t="shared" si="52"/>
        <v/>
      </c>
      <c r="AG449" t="str">
        <f t="shared" si="53"/>
        <v/>
      </c>
      <c r="AH449" t="str">
        <f t="shared" si="54"/>
        <v/>
      </c>
      <c r="AI449" t="str">
        <f t="shared" si="55"/>
        <v/>
      </c>
      <c r="AJ449" t="str">
        <f t="shared" si="56"/>
        <v/>
      </c>
      <c r="AK449" t="str">
        <f t="shared" si="57"/>
        <v/>
      </c>
      <c r="AL449" t="str">
        <f t="shared" si="58"/>
        <v/>
      </c>
    </row>
    <row r="450" spans="22:38">
      <c r="V450" s="38"/>
      <c r="AF450" s="38" t="str">
        <f t="shared" si="52"/>
        <v/>
      </c>
      <c r="AG450" t="str">
        <f t="shared" si="53"/>
        <v/>
      </c>
      <c r="AH450" t="str">
        <f t="shared" si="54"/>
        <v/>
      </c>
      <c r="AI450" t="str">
        <f t="shared" si="55"/>
        <v/>
      </c>
      <c r="AJ450" t="str">
        <f t="shared" si="56"/>
        <v/>
      </c>
      <c r="AK450" t="str">
        <f t="shared" si="57"/>
        <v/>
      </c>
      <c r="AL450" t="str">
        <f t="shared" si="58"/>
        <v/>
      </c>
    </row>
    <row r="451" spans="22:38">
      <c r="V451" s="38"/>
      <c r="AF451" s="38" t="str">
        <f t="shared" si="52"/>
        <v/>
      </c>
      <c r="AG451" t="str">
        <f t="shared" si="53"/>
        <v/>
      </c>
      <c r="AH451" t="str">
        <f t="shared" si="54"/>
        <v/>
      </c>
      <c r="AI451" t="str">
        <f t="shared" si="55"/>
        <v/>
      </c>
      <c r="AJ451" t="str">
        <f t="shared" si="56"/>
        <v/>
      </c>
      <c r="AK451" t="str">
        <f t="shared" si="57"/>
        <v/>
      </c>
      <c r="AL451" t="str">
        <f t="shared" si="58"/>
        <v/>
      </c>
    </row>
    <row r="452" spans="22:38">
      <c r="V452" s="38"/>
      <c r="AF452" s="38" t="str">
        <f t="shared" ref="AF452:AF515" si="59">IF($V452="", "", $V452)</f>
        <v/>
      </c>
      <c r="AG452" t="str">
        <f t="shared" ref="AG452:AG515" si="60">IF($X452&lt;0, "NA", IF(ISERROR($W452/$X452), "", $W452/$X452))</f>
        <v/>
      </c>
      <c r="AH452" t="str">
        <f t="shared" ref="AH452:AH515" si="61">IF($Y452&lt;0, "NA", IF(ISERROR($W452/$Y452), "", $W452/$Y452))</f>
        <v/>
      </c>
      <c r="AI452" t="str">
        <f t="shared" ref="AI452:AI515" si="62">IF($Z452&lt;0, "NA", IF(ISERROR($W452/$Z452), "", $W452/$Z452))</f>
        <v/>
      </c>
      <c r="AJ452" t="str">
        <f t="shared" ref="AJ452:AJ515" si="63">IF($AB452&lt;0, "NA", IF(ISERROR($AA452/$AB452), "", $AA452/$AB452))</f>
        <v/>
      </c>
      <c r="AK452" t="str">
        <f t="shared" ref="AK452:AK515" si="64">IF($AC452&lt;0, "NA", IF(ISERROR($AA452/$AC452), "", $AA452/$AC452))</f>
        <v/>
      </c>
      <c r="AL452" t="str">
        <f t="shared" ref="AL452:AL515" si="65">IF($AD452&lt;0, "NA", IF(ISERROR($AA452/$AD452), "", $AA452/$AD452))</f>
        <v/>
      </c>
    </row>
    <row r="453" spans="22:38">
      <c r="V453" s="38"/>
      <c r="AF453" s="38" t="str">
        <f t="shared" si="59"/>
        <v/>
      </c>
      <c r="AG453" t="str">
        <f t="shared" si="60"/>
        <v/>
      </c>
      <c r="AH453" t="str">
        <f t="shared" si="61"/>
        <v/>
      </c>
      <c r="AI453" t="str">
        <f t="shared" si="62"/>
        <v/>
      </c>
      <c r="AJ453" t="str">
        <f t="shared" si="63"/>
        <v/>
      </c>
      <c r="AK453" t="str">
        <f t="shared" si="64"/>
        <v/>
      </c>
      <c r="AL453" t="str">
        <f t="shared" si="65"/>
        <v/>
      </c>
    </row>
    <row r="454" spans="22:38">
      <c r="V454" s="38"/>
      <c r="AF454" s="38" t="str">
        <f t="shared" si="59"/>
        <v/>
      </c>
      <c r="AG454" t="str">
        <f t="shared" si="60"/>
        <v/>
      </c>
      <c r="AH454" t="str">
        <f t="shared" si="61"/>
        <v/>
      </c>
      <c r="AI454" t="str">
        <f t="shared" si="62"/>
        <v/>
      </c>
      <c r="AJ454" t="str">
        <f t="shared" si="63"/>
        <v/>
      </c>
      <c r="AK454" t="str">
        <f t="shared" si="64"/>
        <v/>
      </c>
      <c r="AL454" t="str">
        <f t="shared" si="65"/>
        <v/>
      </c>
    </row>
    <row r="455" spans="22:38">
      <c r="V455" s="38"/>
      <c r="AF455" s="38" t="str">
        <f t="shared" si="59"/>
        <v/>
      </c>
      <c r="AG455" t="str">
        <f t="shared" si="60"/>
        <v/>
      </c>
      <c r="AH455" t="str">
        <f t="shared" si="61"/>
        <v/>
      </c>
      <c r="AI455" t="str">
        <f t="shared" si="62"/>
        <v/>
      </c>
      <c r="AJ455" t="str">
        <f t="shared" si="63"/>
        <v/>
      </c>
      <c r="AK455" t="str">
        <f t="shared" si="64"/>
        <v/>
      </c>
      <c r="AL455" t="str">
        <f t="shared" si="65"/>
        <v/>
      </c>
    </row>
    <row r="456" spans="22:38">
      <c r="V456" s="38"/>
      <c r="AF456" s="38" t="str">
        <f t="shared" si="59"/>
        <v/>
      </c>
      <c r="AG456" t="str">
        <f t="shared" si="60"/>
        <v/>
      </c>
      <c r="AH456" t="str">
        <f t="shared" si="61"/>
        <v/>
      </c>
      <c r="AI456" t="str">
        <f t="shared" si="62"/>
        <v/>
      </c>
      <c r="AJ456" t="str">
        <f t="shared" si="63"/>
        <v/>
      </c>
      <c r="AK456" t="str">
        <f t="shared" si="64"/>
        <v/>
      </c>
      <c r="AL456" t="str">
        <f t="shared" si="65"/>
        <v/>
      </c>
    </row>
    <row r="457" spans="22:38">
      <c r="V457" s="38"/>
      <c r="AF457" s="38" t="str">
        <f t="shared" si="59"/>
        <v/>
      </c>
      <c r="AG457" t="str">
        <f t="shared" si="60"/>
        <v/>
      </c>
      <c r="AH457" t="str">
        <f t="shared" si="61"/>
        <v/>
      </c>
      <c r="AI457" t="str">
        <f t="shared" si="62"/>
        <v/>
      </c>
      <c r="AJ457" t="str">
        <f t="shared" si="63"/>
        <v/>
      </c>
      <c r="AK457" t="str">
        <f t="shared" si="64"/>
        <v/>
      </c>
      <c r="AL457" t="str">
        <f t="shared" si="65"/>
        <v/>
      </c>
    </row>
    <row r="458" spans="22:38">
      <c r="V458" s="38"/>
      <c r="AF458" s="38" t="str">
        <f t="shared" si="59"/>
        <v/>
      </c>
      <c r="AG458" t="str">
        <f t="shared" si="60"/>
        <v/>
      </c>
      <c r="AH458" t="str">
        <f t="shared" si="61"/>
        <v/>
      </c>
      <c r="AI458" t="str">
        <f t="shared" si="62"/>
        <v/>
      </c>
      <c r="AJ458" t="str">
        <f t="shared" si="63"/>
        <v/>
      </c>
      <c r="AK458" t="str">
        <f t="shared" si="64"/>
        <v/>
      </c>
      <c r="AL458" t="str">
        <f t="shared" si="65"/>
        <v/>
      </c>
    </row>
    <row r="459" spans="22:38">
      <c r="V459" s="38"/>
      <c r="AF459" s="38" t="str">
        <f t="shared" si="59"/>
        <v/>
      </c>
      <c r="AG459" t="str">
        <f t="shared" si="60"/>
        <v/>
      </c>
      <c r="AH459" t="str">
        <f t="shared" si="61"/>
        <v/>
      </c>
      <c r="AI459" t="str">
        <f t="shared" si="62"/>
        <v/>
      </c>
      <c r="AJ459" t="str">
        <f t="shared" si="63"/>
        <v/>
      </c>
      <c r="AK459" t="str">
        <f t="shared" si="64"/>
        <v/>
      </c>
      <c r="AL459" t="str">
        <f t="shared" si="65"/>
        <v/>
      </c>
    </row>
    <row r="460" spans="22:38">
      <c r="V460" s="38"/>
      <c r="AF460" s="38" t="str">
        <f t="shared" si="59"/>
        <v/>
      </c>
      <c r="AG460" t="str">
        <f t="shared" si="60"/>
        <v/>
      </c>
      <c r="AH460" t="str">
        <f t="shared" si="61"/>
        <v/>
      </c>
      <c r="AI460" t="str">
        <f t="shared" si="62"/>
        <v/>
      </c>
      <c r="AJ460" t="str">
        <f t="shared" si="63"/>
        <v/>
      </c>
      <c r="AK460" t="str">
        <f t="shared" si="64"/>
        <v/>
      </c>
      <c r="AL460" t="str">
        <f t="shared" si="65"/>
        <v/>
      </c>
    </row>
    <row r="461" spans="22:38">
      <c r="V461" s="38"/>
      <c r="AF461" s="38" t="str">
        <f t="shared" si="59"/>
        <v/>
      </c>
      <c r="AG461" t="str">
        <f t="shared" si="60"/>
        <v/>
      </c>
      <c r="AH461" t="str">
        <f t="shared" si="61"/>
        <v/>
      </c>
      <c r="AI461" t="str">
        <f t="shared" si="62"/>
        <v/>
      </c>
      <c r="AJ461" t="str">
        <f t="shared" si="63"/>
        <v/>
      </c>
      <c r="AK461" t="str">
        <f t="shared" si="64"/>
        <v/>
      </c>
      <c r="AL461" t="str">
        <f t="shared" si="65"/>
        <v/>
      </c>
    </row>
    <row r="462" spans="22:38">
      <c r="V462" s="38"/>
      <c r="AF462" s="38" t="str">
        <f t="shared" si="59"/>
        <v/>
      </c>
      <c r="AG462" t="str">
        <f t="shared" si="60"/>
        <v/>
      </c>
      <c r="AH462" t="str">
        <f t="shared" si="61"/>
        <v/>
      </c>
      <c r="AI462" t="str">
        <f t="shared" si="62"/>
        <v/>
      </c>
      <c r="AJ462" t="str">
        <f t="shared" si="63"/>
        <v/>
      </c>
      <c r="AK462" t="str">
        <f t="shared" si="64"/>
        <v/>
      </c>
      <c r="AL462" t="str">
        <f t="shared" si="65"/>
        <v/>
      </c>
    </row>
    <row r="463" spans="22:38">
      <c r="V463" s="38"/>
      <c r="AF463" s="38" t="str">
        <f t="shared" si="59"/>
        <v/>
      </c>
      <c r="AG463" t="str">
        <f t="shared" si="60"/>
        <v/>
      </c>
      <c r="AH463" t="str">
        <f t="shared" si="61"/>
        <v/>
      </c>
      <c r="AI463" t="str">
        <f t="shared" si="62"/>
        <v/>
      </c>
      <c r="AJ463" t="str">
        <f t="shared" si="63"/>
        <v/>
      </c>
      <c r="AK463" t="str">
        <f t="shared" si="64"/>
        <v/>
      </c>
      <c r="AL463" t="str">
        <f t="shared" si="65"/>
        <v/>
      </c>
    </row>
    <row r="464" spans="22:38">
      <c r="V464" s="38"/>
      <c r="AF464" s="38" t="str">
        <f t="shared" si="59"/>
        <v/>
      </c>
      <c r="AG464" t="str">
        <f t="shared" si="60"/>
        <v/>
      </c>
      <c r="AH464" t="str">
        <f t="shared" si="61"/>
        <v/>
      </c>
      <c r="AI464" t="str">
        <f t="shared" si="62"/>
        <v/>
      </c>
      <c r="AJ464" t="str">
        <f t="shared" si="63"/>
        <v/>
      </c>
      <c r="AK464" t="str">
        <f t="shared" si="64"/>
        <v/>
      </c>
      <c r="AL464" t="str">
        <f t="shared" si="65"/>
        <v/>
      </c>
    </row>
    <row r="465" spans="22:38">
      <c r="V465" s="38"/>
      <c r="AF465" s="38" t="str">
        <f t="shared" si="59"/>
        <v/>
      </c>
      <c r="AG465" t="str">
        <f t="shared" si="60"/>
        <v/>
      </c>
      <c r="AH465" t="str">
        <f t="shared" si="61"/>
        <v/>
      </c>
      <c r="AI465" t="str">
        <f t="shared" si="62"/>
        <v/>
      </c>
      <c r="AJ465" t="str">
        <f t="shared" si="63"/>
        <v/>
      </c>
      <c r="AK465" t="str">
        <f t="shared" si="64"/>
        <v/>
      </c>
      <c r="AL465" t="str">
        <f t="shared" si="65"/>
        <v/>
      </c>
    </row>
    <row r="466" spans="22:38">
      <c r="V466" s="38"/>
      <c r="AF466" s="38" t="str">
        <f t="shared" si="59"/>
        <v/>
      </c>
      <c r="AG466" t="str">
        <f t="shared" si="60"/>
        <v/>
      </c>
      <c r="AH466" t="str">
        <f t="shared" si="61"/>
        <v/>
      </c>
      <c r="AI466" t="str">
        <f t="shared" si="62"/>
        <v/>
      </c>
      <c r="AJ466" t="str">
        <f t="shared" si="63"/>
        <v/>
      </c>
      <c r="AK466" t="str">
        <f t="shared" si="64"/>
        <v/>
      </c>
      <c r="AL466" t="str">
        <f t="shared" si="65"/>
        <v/>
      </c>
    </row>
    <row r="467" spans="22:38">
      <c r="V467" s="38"/>
      <c r="AF467" s="38" t="str">
        <f t="shared" si="59"/>
        <v/>
      </c>
      <c r="AG467" t="str">
        <f t="shared" si="60"/>
        <v/>
      </c>
      <c r="AH467" t="str">
        <f t="shared" si="61"/>
        <v/>
      </c>
      <c r="AI467" t="str">
        <f t="shared" si="62"/>
        <v/>
      </c>
      <c r="AJ467" t="str">
        <f t="shared" si="63"/>
        <v/>
      </c>
      <c r="AK467" t="str">
        <f t="shared" si="64"/>
        <v/>
      </c>
      <c r="AL467" t="str">
        <f t="shared" si="65"/>
        <v/>
      </c>
    </row>
    <row r="468" spans="22:38">
      <c r="V468" s="38"/>
      <c r="AF468" s="38" t="str">
        <f t="shared" si="59"/>
        <v/>
      </c>
      <c r="AG468" t="str">
        <f t="shared" si="60"/>
        <v/>
      </c>
      <c r="AH468" t="str">
        <f t="shared" si="61"/>
        <v/>
      </c>
      <c r="AI468" t="str">
        <f t="shared" si="62"/>
        <v/>
      </c>
      <c r="AJ468" t="str">
        <f t="shared" si="63"/>
        <v/>
      </c>
      <c r="AK468" t="str">
        <f t="shared" si="64"/>
        <v/>
      </c>
      <c r="AL468" t="str">
        <f t="shared" si="65"/>
        <v/>
      </c>
    </row>
    <row r="469" spans="22:38">
      <c r="V469" s="38"/>
      <c r="AF469" s="38" t="str">
        <f t="shared" si="59"/>
        <v/>
      </c>
      <c r="AG469" t="str">
        <f t="shared" si="60"/>
        <v/>
      </c>
      <c r="AH469" t="str">
        <f t="shared" si="61"/>
        <v/>
      </c>
      <c r="AI469" t="str">
        <f t="shared" si="62"/>
        <v/>
      </c>
      <c r="AJ469" t="str">
        <f t="shared" si="63"/>
        <v/>
      </c>
      <c r="AK469" t="str">
        <f t="shared" si="64"/>
        <v/>
      </c>
      <c r="AL469" t="str">
        <f t="shared" si="65"/>
        <v/>
      </c>
    </row>
    <row r="470" spans="22:38">
      <c r="V470" s="38"/>
      <c r="AF470" s="38" t="str">
        <f t="shared" si="59"/>
        <v/>
      </c>
      <c r="AG470" t="str">
        <f t="shared" si="60"/>
        <v/>
      </c>
      <c r="AH470" t="str">
        <f t="shared" si="61"/>
        <v/>
      </c>
      <c r="AI470" t="str">
        <f t="shared" si="62"/>
        <v/>
      </c>
      <c r="AJ470" t="str">
        <f t="shared" si="63"/>
        <v/>
      </c>
      <c r="AK470" t="str">
        <f t="shared" si="64"/>
        <v/>
      </c>
      <c r="AL470" t="str">
        <f t="shared" si="65"/>
        <v/>
      </c>
    </row>
    <row r="471" spans="22:38">
      <c r="V471" s="38"/>
      <c r="AF471" s="38" t="str">
        <f t="shared" si="59"/>
        <v/>
      </c>
      <c r="AG471" t="str">
        <f t="shared" si="60"/>
        <v/>
      </c>
      <c r="AH471" t="str">
        <f t="shared" si="61"/>
        <v/>
      </c>
      <c r="AI471" t="str">
        <f t="shared" si="62"/>
        <v/>
      </c>
      <c r="AJ471" t="str">
        <f t="shared" si="63"/>
        <v/>
      </c>
      <c r="AK471" t="str">
        <f t="shared" si="64"/>
        <v/>
      </c>
      <c r="AL471" t="str">
        <f t="shared" si="65"/>
        <v/>
      </c>
    </row>
    <row r="472" spans="22:38">
      <c r="V472" s="38"/>
      <c r="AF472" s="38" t="str">
        <f t="shared" si="59"/>
        <v/>
      </c>
      <c r="AG472" t="str">
        <f t="shared" si="60"/>
        <v/>
      </c>
      <c r="AH472" t="str">
        <f t="shared" si="61"/>
        <v/>
      </c>
      <c r="AI472" t="str">
        <f t="shared" si="62"/>
        <v/>
      </c>
      <c r="AJ472" t="str">
        <f t="shared" si="63"/>
        <v/>
      </c>
      <c r="AK472" t="str">
        <f t="shared" si="64"/>
        <v/>
      </c>
      <c r="AL472" t="str">
        <f t="shared" si="65"/>
        <v/>
      </c>
    </row>
    <row r="473" spans="22:38">
      <c r="V473" s="38"/>
      <c r="AF473" s="38" t="str">
        <f t="shared" si="59"/>
        <v/>
      </c>
      <c r="AG473" t="str">
        <f t="shared" si="60"/>
        <v/>
      </c>
      <c r="AH473" t="str">
        <f t="shared" si="61"/>
        <v/>
      </c>
      <c r="AI473" t="str">
        <f t="shared" si="62"/>
        <v/>
      </c>
      <c r="AJ473" t="str">
        <f t="shared" si="63"/>
        <v/>
      </c>
      <c r="AK473" t="str">
        <f t="shared" si="64"/>
        <v/>
      </c>
      <c r="AL473" t="str">
        <f t="shared" si="65"/>
        <v/>
      </c>
    </row>
    <row r="474" spans="22:38">
      <c r="V474" s="38"/>
      <c r="AF474" s="38" t="str">
        <f t="shared" si="59"/>
        <v/>
      </c>
      <c r="AG474" t="str">
        <f t="shared" si="60"/>
        <v/>
      </c>
      <c r="AH474" t="str">
        <f t="shared" si="61"/>
        <v/>
      </c>
      <c r="AI474" t="str">
        <f t="shared" si="62"/>
        <v/>
      </c>
      <c r="AJ474" t="str">
        <f t="shared" si="63"/>
        <v/>
      </c>
      <c r="AK474" t="str">
        <f t="shared" si="64"/>
        <v/>
      </c>
      <c r="AL474" t="str">
        <f t="shared" si="65"/>
        <v/>
      </c>
    </row>
    <row r="475" spans="22:38">
      <c r="V475" s="38"/>
      <c r="AF475" s="38" t="str">
        <f t="shared" si="59"/>
        <v/>
      </c>
      <c r="AG475" t="str">
        <f t="shared" si="60"/>
        <v/>
      </c>
      <c r="AH475" t="str">
        <f t="shared" si="61"/>
        <v/>
      </c>
      <c r="AI475" t="str">
        <f t="shared" si="62"/>
        <v/>
      </c>
      <c r="AJ475" t="str">
        <f t="shared" si="63"/>
        <v/>
      </c>
      <c r="AK475" t="str">
        <f t="shared" si="64"/>
        <v/>
      </c>
      <c r="AL475" t="str">
        <f t="shared" si="65"/>
        <v/>
      </c>
    </row>
    <row r="476" spans="22:38">
      <c r="V476" s="38"/>
      <c r="AF476" s="38" t="str">
        <f t="shared" si="59"/>
        <v/>
      </c>
      <c r="AG476" t="str">
        <f t="shared" si="60"/>
        <v/>
      </c>
      <c r="AH476" t="str">
        <f t="shared" si="61"/>
        <v/>
      </c>
      <c r="AI476" t="str">
        <f t="shared" si="62"/>
        <v/>
      </c>
      <c r="AJ476" t="str">
        <f t="shared" si="63"/>
        <v/>
      </c>
      <c r="AK476" t="str">
        <f t="shared" si="64"/>
        <v/>
      </c>
      <c r="AL476" t="str">
        <f t="shared" si="65"/>
        <v/>
      </c>
    </row>
    <row r="477" spans="22:38">
      <c r="V477" s="38"/>
      <c r="AF477" s="38" t="str">
        <f t="shared" si="59"/>
        <v/>
      </c>
      <c r="AG477" t="str">
        <f t="shared" si="60"/>
        <v/>
      </c>
      <c r="AH477" t="str">
        <f t="shared" si="61"/>
        <v/>
      </c>
      <c r="AI477" t="str">
        <f t="shared" si="62"/>
        <v/>
      </c>
      <c r="AJ477" t="str">
        <f t="shared" si="63"/>
        <v/>
      </c>
      <c r="AK477" t="str">
        <f t="shared" si="64"/>
        <v/>
      </c>
      <c r="AL477" t="str">
        <f t="shared" si="65"/>
        <v/>
      </c>
    </row>
    <row r="478" spans="22:38">
      <c r="V478" s="38"/>
      <c r="AF478" s="38" t="str">
        <f t="shared" si="59"/>
        <v/>
      </c>
      <c r="AG478" t="str">
        <f t="shared" si="60"/>
        <v/>
      </c>
      <c r="AH478" t="str">
        <f t="shared" si="61"/>
        <v/>
      </c>
      <c r="AI478" t="str">
        <f t="shared" si="62"/>
        <v/>
      </c>
      <c r="AJ478" t="str">
        <f t="shared" si="63"/>
        <v/>
      </c>
      <c r="AK478" t="str">
        <f t="shared" si="64"/>
        <v/>
      </c>
      <c r="AL478" t="str">
        <f t="shared" si="65"/>
        <v/>
      </c>
    </row>
    <row r="479" spans="22:38">
      <c r="V479" s="38"/>
      <c r="AF479" s="38" t="str">
        <f t="shared" si="59"/>
        <v/>
      </c>
      <c r="AG479" t="str">
        <f t="shared" si="60"/>
        <v/>
      </c>
      <c r="AH479" t="str">
        <f t="shared" si="61"/>
        <v/>
      </c>
      <c r="AI479" t="str">
        <f t="shared" si="62"/>
        <v/>
      </c>
      <c r="AJ479" t="str">
        <f t="shared" si="63"/>
        <v/>
      </c>
      <c r="AK479" t="str">
        <f t="shared" si="64"/>
        <v/>
      </c>
      <c r="AL479" t="str">
        <f t="shared" si="65"/>
        <v/>
      </c>
    </row>
    <row r="480" spans="22:38">
      <c r="V480" s="38"/>
      <c r="AF480" s="38" t="str">
        <f t="shared" si="59"/>
        <v/>
      </c>
      <c r="AG480" t="str">
        <f t="shared" si="60"/>
        <v/>
      </c>
      <c r="AH480" t="str">
        <f t="shared" si="61"/>
        <v/>
      </c>
      <c r="AI480" t="str">
        <f t="shared" si="62"/>
        <v/>
      </c>
      <c r="AJ480" t="str">
        <f t="shared" si="63"/>
        <v/>
      </c>
      <c r="AK480" t="str">
        <f t="shared" si="64"/>
        <v/>
      </c>
      <c r="AL480" t="str">
        <f t="shared" si="65"/>
        <v/>
      </c>
    </row>
    <row r="481" spans="22:38">
      <c r="V481" s="38"/>
      <c r="AF481" s="38" t="str">
        <f t="shared" si="59"/>
        <v/>
      </c>
      <c r="AG481" t="str">
        <f t="shared" si="60"/>
        <v/>
      </c>
      <c r="AH481" t="str">
        <f t="shared" si="61"/>
        <v/>
      </c>
      <c r="AI481" t="str">
        <f t="shared" si="62"/>
        <v/>
      </c>
      <c r="AJ481" t="str">
        <f t="shared" si="63"/>
        <v/>
      </c>
      <c r="AK481" t="str">
        <f t="shared" si="64"/>
        <v/>
      </c>
      <c r="AL481" t="str">
        <f t="shared" si="65"/>
        <v/>
      </c>
    </row>
    <row r="482" spans="22:38">
      <c r="V482" s="38"/>
      <c r="AF482" s="38" t="str">
        <f t="shared" si="59"/>
        <v/>
      </c>
      <c r="AG482" t="str">
        <f t="shared" si="60"/>
        <v/>
      </c>
      <c r="AH482" t="str">
        <f t="shared" si="61"/>
        <v/>
      </c>
      <c r="AI482" t="str">
        <f t="shared" si="62"/>
        <v/>
      </c>
      <c r="AJ482" t="str">
        <f t="shared" si="63"/>
        <v/>
      </c>
      <c r="AK482" t="str">
        <f t="shared" si="64"/>
        <v/>
      </c>
      <c r="AL482" t="str">
        <f t="shared" si="65"/>
        <v/>
      </c>
    </row>
    <row r="483" spans="22:38">
      <c r="V483" s="38"/>
      <c r="AF483" s="38" t="str">
        <f t="shared" si="59"/>
        <v/>
      </c>
      <c r="AG483" t="str">
        <f t="shared" si="60"/>
        <v/>
      </c>
      <c r="AH483" t="str">
        <f t="shared" si="61"/>
        <v/>
      </c>
      <c r="AI483" t="str">
        <f t="shared" si="62"/>
        <v/>
      </c>
      <c r="AJ483" t="str">
        <f t="shared" si="63"/>
        <v/>
      </c>
      <c r="AK483" t="str">
        <f t="shared" si="64"/>
        <v/>
      </c>
      <c r="AL483" t="str">
        <f t="shared" si="65"/>
        <v/>
      </c>
    </row>
    <row r="484" spans="22:38">
      <c r="V484" s="38"/>
      <c r="AF484" s="38" t="str">
        <f t="shared" si="59"/>
        <v/>
      </c>
      <c r="AG484" t="str">
        <f t="shared" si="60"/>
        <v/>
      </c>
      <c r="AH484" t="str">
        <f t="shared" si="61"/>
        <v/>
      </c>
      <c r="AI484" t="str">
        <f t="shared" si="62"/>
        <v/>
      </c>
      <c r="AJ484" t="str">
        <f t="shared" si="63"/>
        <v/>
      </c>
      <c r="AK484" t="str">
        <f t="shared" si="64"/>
        <v/>
      </c>
      <c r="AL484" t="str">
        <f t="shared" si="65"/>
        <v/>
      </c>
    </row>
    <row r="485" spans="22:38">
      <c r="V485" s="38"/>
      <c r="AF485" s="38" t="str">
        <f t="shared" si="59"/>
        <v/>
      </c>
      <c r="AG485" t="str">
        <f t="shared" si="60"/>
        <v/>
      </c>
      <c r="AH485" t="str">
        <f t="shared" si="61"/>
        <v/>
      </c>
      <c r="AI485" t="str">
        <f t="shared" si="62"/>
        <v/>
      </c>
      <c r="AJ485" t="str">
        <f t="shared" si="63"/>
        <v/>
      </c>
      <c r="AK485" t="str">
        <f t="shared" si="64"/>
        <v/>
      </c>
      <c r="AL485" t="str">
        <f t="shared" si="65"/>
        <v/>
      </c>
    </row>
    <row r="486" spans="22:38">
      <c r="V486" s="38"/>
      <c r="AF486" s="38" t="str">
        <f t="shared" si="59"/>
        <v/>
      </c>
      <c r="AG486" t="str">
        <f t="shared" si="60"/>
        <v/>
      </c>
      <c r="AH486" t="str">
        <f t="shared" si="61"/>
        <v/>
      </c>
      <c r="AI486" t="str">
        <f t="shared" si="62"/>
        <v/>
      </c>
      <c r="AJ486" t="str">
        <f t="shared" si="63"/>
        <v/>
      </c>
      <c r="AK486" t="str">
        <f t="shared" si="64"/>
        <v/>
      </c>
      <c r="AL486" t="str">
        <f t="shared" si="65"/>
        <v/>
      </c>
    </row>
    <row r="487" spans="22:38">
      <c r="V487" s="38"/>
      <c r="AF487" s="38" t="str">
        <f t="shared" si="59"/>
        <v/>
      </c>
      <c r="AG487" t="str">
        <f t="shared" si="60"/>
        <v/>
      </c>
      <c r="AH487" t="str">
        <f t="shared" si="61"/>
        <v/>
      </c>
      <c r="AI487" t="str">
        <f t="shared" si="62"/>
        <v/>
      </c>
      <c r="AJ487" t="str">
        <f t="shared" si="63"/>
        <v/>
      </c>
      <c r="AK487" t="str">
        <f t="shared" si="64"/>
        <v/>
      </c>
      <c r="AL487" t="str">
        <f t="shared" si="65"/>
        <v/>
      </c>
    </row>
    <row r="488" spans="22:38">
      <c r="V488" s="38"/>
      <c r="AF488" s="38" t="str">
        <f t="shared" si="59"/>
        <v/>
      </c>
      <c r="AG488" t="str">
        <f t="shared" si="60"/>
        <v/>
      </c>
      <c r="AH488" t="str">
        <f t="shared" si="61"/>
        <v/>
      </c>
      <c r="AI488" t="str">
        <f t="shared" si="62"/>
        <v/>
      </c>
      <c r="AJ488" t="str">
        <f t="shared" si="63"/>
        <v/>
      </c>
      <c r="AK488" t="str">
        <f t="shared" si="64"/>
        <v/>
      </c>
      <c r="AL488" t="str">
        <f t="shared" si="65"/>
        <v/>
      </c>
    </row>
    <row r="489" spans="22:38">
      <c r="V489" s="38"/>
      <c r="AF489" s="38" t="str">
        <f t="shared" si="59"/>
        <v/>
      </c>
      <c r="AG489" t="str">
        <f t="shared" si="60"/>
        <v/>
      </c>
      <c r="AH489" t="str">
        <f t="shared" si="61"/>
        <v/>
      </c>
      <c r="AI489" t="str">
        <f t="shared" si="62"/>
        <v/>
      </c>
      <c r="AJ489" t="str">
        <f t="shared" si="63"/>
        <v/>
      </c>
      <c r="AK489" t="str">
        <f t="shared" si="64"/>
        <v/>
      </c>
      <c r="AL489" t="str">
        <f t="shared" si="65"/>
        <v/>
      </c>
    </row>
    <row r="490" spans="22:38">
      <c r="V490" s="38"/>
      <c r="AF490" s="38" t="str">
        <f t="shared" si="59"/>
        <v/>
      </c>
      <c r="AG490" t="str">
        <f t="shared" si="60"/>
        <v/>
      </c>
      <c r="AH490" t="str">
        <f t="shared" si="61"/>
        <v/>
      </c>
      <c r="AI490" t="str">
        <f t="shared" si="62"/>
        <v/>
      </c>
      <c r="AJ490" t="str">
        <f t="shared" si="63"/>
        <v/>
      </c>
      <c r="AK490" t="str">
        <f t="shared" si="64"/>
        <v/>
      </c>
      <c r="AL490" t="str">
        <f t="shared" si="65"/>
        <v/>
      </c>
    </row>
    <row r="491" spans="22:38">
      <c r="V491" s="38"/>
      <c r="AF491" s="38" t="str">
        <f t="shared" si="59"/>
        <v/>
      </c>
      <c r="AG491" t="str">
        <f t="shared" si="60"/>
        <v/>
      </c>
      <c r="AH491" t="str">
        <f t="shared" si="61"/>
        <v/>
      </c>
      <c r="AI491" t="str">
        <f t="shared" si="62"/>
        <v/>
      </c>
      <c r="AJ491" t="str">
        <f t="shared" si="63"/>
        <v/>
      </c>
      <c r="AK491" t="str">
        <f t="shared" si="64"/>
        <v/>
      </c>
      <c r="AL491" t="str">
        <f t="shared" si="65"/>
        <v/>
      </c>
    </row>
    <row r="492" spans="22:38">
      <c r="V492" s="38"/>
      <c r="AF492" s="38" t="str">
        <f t="shared" si="59"/>
        <v/>
      </c>
      <c r="AG492" t="str">
        <f t="shared" si="60"/>
        <v/>
      </c>
      <c r="AH492" t="str">
        <f t="shared" si="61"/>
        <v/>
      </c>
      <c r="AI492" t="str">
        <f t="shared" si="62"/>
        <v/>
      </c>
      <c r="AJ492" t="str">
        <f t="shared" si="63"/>
        <v/>
      </c>
      <c r="AK492" t="str">
        <f t="shared" si="64"/>
        <v/>
      </c>
      <c r="AL492" t="str">
        <f t="shared" si="65"/>
        <v/>
      </c>
    </row>
    <row r="493" spans="22:38">
      <c r="V493" s="38"/>
      <c r="AF493" s="38" t="str">
        <f t="shared" si="59"/>
        <v/>
      </c>
      <c r="AG493" t="str">
        <f t="shared" si="60"/>
        <v/>
      </c>
      <c r="AH493" t="str">
        <f t="shared" si="61"/>
        <v/>
      </c>
      <c r="AI493" t="str">
        <f t="shared" si="62"/>
        <v/>
      </c>
      <c r="AJ493" t="str">
        <f t="shared" si="63"/>
        <v/>
      </c>
      <c r="AK493" t="str">
        <f t="shared" si="64"/>
        <v/>
      </c>
      <c r="AL493" t="str">
        <f t="shared" si="65"/>
        <v/>
      </c>
    </row>
    <row r="494" spans="22:38">
      <c r="V494" s="38"/>
      <c r="AF494" s="38" t="str">
        <f t="shared" si="59"/>
        <v/>
      </c>
      <c r="AG494" t="str">
        <f t="shared" si="60"/>
        <v/>
      </c>
      <c r="AH494" t="str">
        <f t="shared" si="61"/>
        <v/>
      </c>
      <c r="AI494" t="str">
        <f t="shared" si="62"/>
        <v/>
      </c>
      <c r="AJ494" t="str">
        <f t="shared" si="63"/>
        <v/>
      </c>
      <c r="AK494" t="str">
        <f t="shared" si="64"/>
        <v/>
      </c>
      <c r="AL494" t="str">
        <f t="shared" si="65"/>
        <v/>
      </c>
    </row>
    <row r="495" spans="22:38">
      <c r="V495" s="38"/>
      <c r="AF495" s="38" t="str">
        <f t="shared" si="59"/>
        <v/>
      </c>
      <c r="AG495" t="str">
        <f t="shared" si="60"/>
        <v/>
      </c>
      <c r="AH495" t="str">
        <f t="shared" si="61"/>
        <v/>
      </c>
      <c r="AI495" t="str">
        <f t="shared" si="62"/>
        <v/>
      </c>
      <c r="AJ495" t="str">
        <f t="shared" si="63"/>
        <v/>
      </c>
      <c r="AK495" t="str">
        <f t="shared" si="64"/>
        <v/>
      </c>
      <c r="AL495" t="str">
        <f t="shared" si="65"/>
        <v/>
      </c>
    </row>
    <row r="496" spans="22:38">
      <c r="V496" s="38"/>
      <c r="AF496" s="38" t="str">
        <f t="shared" si="59"/>
        <v/>
      </c>
      <c r="AG496" t="str">
        <f t="shared" si="60"/>
        <v/>
      </c>
      <c r="AH496" t="str">
        <f t="shared" si="61"/>
        <v/>
      </c>
      <c r="AI496" t="str">
        <f t="shared" si="62"/>
        <v/>
      </c>
      <c r="AJ496" t="str">
        <f t="shared" si="63"/>
        <v/>
      </c>
      <c r="AK496" t="str">
        <f t="shared" si="64"/>
        <v/>
      </c>
      <c r="AL496" t="str">
        <f t="shared" si="65"/>
        <v/>
      </c>
    </row>
    <row r="497" spans="22:38">
      <c r="V497" s="38"/>
      <c r="AF497" s="38" t="str">
        <f t="shared" si="59"/>
        <v/>
      </c>
      <c r="AG497" t="str">
        <f t="shared" si="60"/>
        <v/>
      </c>
      <c r="AH497" t="str">
        <f t="shared" si="61"/>
        <v/>
      </c>
      <c r="AI497" t="str">
        <f t="shared" si="62"/>
        <v/>
      </c>
      <c r="AJ497" t="str">
        <f t="shared" si="63"/>
        <v/>
      </c>
      <c r="AK497" t="str">
        <f t="shared" si="64"/>
        <v/>
      </c>
      <c r="AL497" t="str">
        <f t="shared" si="65"/>
        <v/>
      </c>
    </row>
    <row r="498" spans="22:38">
      <c r="V498" s="38"/>
      <c r="AF498" s="38" t="str">
        <f t="shared" si="59"/>
        <v/>
      </c>
      <c r="AG498" t="str">
        <f t="shared" si="60"/>
        <v/>
      </c>
      <c r="AH498" t="str">
        <f t="shared" si="61"/>
        <v/>
      </c>
      <c r="AI498" t="str">
        <f t="shared" si="62"/>
        <v/>
      </c>
      <c r="AJ498" t="str">
        <f t="shared" si="63"/>
        <v/>
      </c>
      <c r="AK498" t="str">
        <f t="shared" si="64"/>
        <v/>
      </c>
      <c r="AL498" t="str">
        <f t="shared" si="65"/>
        <v/>
      </c>
    </row>
    <row r="499" spans="22:38">
      <c r="V499" s="38"/>
      <c r="AF499" s="38" t="str">
        <f t="shared" si="59"/>
        <v/>
      </c>
      <c r="AG499" t="str">
        <f t="shared" si="60"/>
        <v/>
      </c>
      <c r="AH499" t="str">
        <f t="shared" si="61"/>
        <v/>
      </c>
      <c r="AI499" t="str">
        <f t="shared" si="62"/>
        <v/>
      </c>
      <c r="AJ499" t="str">
        <f t="shared" si="63"/>
        <v/>
      </c>
      <c r="AK499" t="str">
        <f t="shared" si="64"/>
        <v/>
      </c>
      <c r="AL499" t="str">
        <f t="shared" si="65"/>
        <v/>
      </c>
    </row>
    <row r="500" spans="22:38">
      <c r="V500" s="38"/>
      <c r="AF500" s="38" t="str">
        <f t="shared" si="59"/>
        <v/>
      </c>
      <c r="AG500" t="str">
        <f t="shared" si="60"/>
        <v/>
      </c>
      <c r="AH500" t="str">
        <f t="shared" si="61"/>
        <v/>
      </c>
      <c r="AI500" t="str">
        <f t="shared" si="62"/>
        <v/>
      </c>
      <c r="AJ500" t="str">
        <f t="shared" si="63"/>
        <v/>
      </c>
      <c r="AK500" t="str">
        <f t="shared" si="64"/>
        <v/>
      </c>
      <c r="AL500" t="str">
        <f t="shared" si="65"/>
        <v/>
      </c>
    </row>
    <row r="501" spans="22:38">
      <c r="V501" s="38"/>
      <c r="AF501" s="38" t="str">
        <f t="shared" si="59"/>
        <v/>
      </c>
      <c r="AG501" t="str">
        <f t="shared" si="60"/>
        <v/>
      </c>
      <c r="AH501" t="str">
        <f t="shared" si="61"/>
        <v/>
      </c>
      <c r="AI501" t="str">
        <f t="shared" si="62"/>
        <v/>
      </c>
      <c r="AJ501" t="str">
        <f t="shared" si="63"/>
        <v/>
      </c>
      <c r="AK501" t="str">
        <f t="shared" si="64"/>
        <v/>
      </c>
      <c r="AL501" t="str">
        <f t="shared" si="65"/>
        <v/>
      </c>
    </row>
    <row r="502" spans="22:38">
      <c r="V502" s="38"/>
      <c r="AF502" s="38" t="str">
        <f t="shared" si="59"/>
        <v/>
      </c>
      <c r="AG502" t="str">
        <f t="shared" si="60"/>
        <v/>
      </c>
      <c r="AH502" t="str">
        <f t="shared" si="61"/>
        <v/>
      </c>
      <c r="AI502" t="str">
        <f t="shared" si="62"/>
        <v/>
      </c>
      <c r="AJ502" t="str">
        <f t="shared" si="63"/>
        <v/>
      </c>
      <c r="AK502" t="str">
        <f t="shared" si="64"/>
        <v/>
      </c>
      <c r="AL502" t="str">
        <f t="shared" si="65"/>
        <v/>
      </c>
    </row>
    <row r="503" spans="22:38">
      <c r="V503" s="38"/>
      <c r="AF503" s="38" t="str">
        <f t="shared" si="59"/>
        <v/>
      </c>
      <c r="AG503" t="str">
        <f t="shared" si="60"/>
        <v/>
      </c>
      <c r="AH503" t="str">
        <f t="shared" si="61"/>
        <v/>
      </c>
      <c r="AI503" t="str">
        <f t="shared" si="62"/>
        <v/>
      </c>
      <c r="AJ503" t="str">
        <f t="shared" si="63"/>
        <v/>
      </c>
      <c r="AK503" t="str">
        <f t="shared" si="64"/>
        <v/>
      </c>
      <c r="AL503" t="str">
        <f t="shared" si="65"/>
        <v/>
      </c>
    </row>
    <row r="504" spans="22:38">
      <c r="V504" s="38"/>
      <c r="AF504" s="38" t="str">
        <f t="shared" si="59"/>
        <v/>
      </c>
      <c r="AG504" t="str">
        <f t="shared" si="60"/>
        <v/>
      </c>
      <c r="AH504" t="str">
        <f t="shared" si="61"/>
        <v/>
      </c>
      <c r="AI504" t="str">
        <f t="shared" si="62"/>
        <v/>
      </c>
      <c r="AJ504" t="str">
        <f t="shared" si="63"/>
        <v/>
      </c>
      <c r="AK504" t="str">
        <f t="shared" si="64"/>
        <v/>
      </c>
      <c r="AL504" t="str">
        <f t="shared" si="65"/>
        <v/>
      </c>
    </row>
    <row r="505" spans="22:38">
      <c r="V505" s="38"/>
      <c r="AF505" s="38" t="str">
        <f t="shared" si="59"/>
        <v/>
      </c>
      <c r="AG505" t="str">
        <f t="shared" si="60"/>
        <v/>
      </c>
      <c r="AH505" t="str">
        <f t="shared" si="61"/>
        <v/>
      </c>
      <c r="AI505" t="str">
        <f t="shared" si="62"/>
        <v/>
      </c>
      <c r="AJ505" t="str">
        <f t="shared" si="63"/>
        <v/>
      </c>
      <c r="AK505" t="str">
        <f t="shared" si="64"/>
        <v/>
      </c>
      <c r="AL505" t="str">
        <f t="shared" si="65"/>
        <v/>
      </c>
    </row>
    <row r="506" spans="22:38">
      <c r="V506" s="38"/>
      <c r="AF506" s="38" t="str">
        <f t="shared" si="59"/>
        <v/>
      </c>
      <c r="AG506" t="str">
        <f t="shared" si="60"/>
        <v/>
      </c>
      <c r="AH506" t="str">
        <f t="shared" si="61"/>
        <v/>
      </c>
      <c r="AI506" t="str">
        <f t="shared" si="62"/>
        <v/>
      </c>
      <c r="AJ506" t="str">
        <f t="shared" si="63"/>
        <v/>
      </c>
      <c r="AK506" t="str">
        <f t="shared" si="64"/>
        <v/>
      </c>
      <c r="AL506" t="str">
        <f t="shared" si="65"/>
        <v/>
      </c>
    </row>
    <row r="507" spans="22:38">
      <c r="V507" s="38"/>
      <c r="AF507" s="38" t="str">
        <f t="shared" si="59"/>
        <v/>
      </c>
      <c r="AG507" t="str">
        <f t="shared" si="60"/>
        <v/>
      </c>
      <c r="AH507" t="str">
        <f t="shared" si="61"/>
        <v/>
      </c>
      <c r="AI507" t="str">
        <f t="shared" si="62"/>
        <v/>
      </c>
      <c r="AJ507" t="str">
        <f t="shared" si="63"/>
        <v/>
      </c>
      <c r="AK507" t="str">
        <f t="shared" si="64"/>
        <v/>
      </c>
      <c r="AL507" t="str">
        <f t="shared" si="65"/>
        <v/>
      </c>
    </row>
    <row r="508" spans="22:38">
      <c r="V508" s="38"/>
      <c r="AF508" s="38" t="str">
        <f t="shared" si="59"/>
        <v/>
      </c>
      <c r="AG508" t="str">
        <f t="shared" si="60"/>
        <v/>
      </c>
      <c r="AH508" t="str">
        <f t="shared" si="61"/>
        <v/>
      </c>
      <c r="AI508" t="str">
        <f t="shared" si="62"/>
        <v/>
      </c>
      <c r="AJ508" t="str">
        <f t="shared" si="63"/>
        <v/>
      </c>
      <c r="AK508" t="str">
        <f t="shared" si="64"/>
        <v/>
      </c>
      <c r="AL508" t="str">
        <f t="shared" si="65"/>
        <v/>
      </c>
    </row>
    <row r="509" spans="22:38">
      <c r="V509" s="38"/>
      <c r="AF509" s="38" t="str">
        <f t="shared" si="59"/>
        <v/>
      </c>
      <c r="AG509" t="str">
        <f t="shared" si="60"/>
        <v/>
      </c>
      <c r="AH509" t="str">
        <f t="shared" si="61"/>
        <v/>
      </c>
      <c r="AI509" t="str">
        <f t="shared" si="62"/>
        <v/>
      </c>
      <c r="AJ509" t="str">
        <f t="shared" si="63"/>
        <v/>
      </c>
      <c r="AK509" t="str">
        <f t="shared" si="64"/>
        <v/>
      </c>
      <c r="AL509" t="str">
        <f t="shared" si="65"/>
        <v/>
      </c>
    </row>
    <row r="510" spans="22:38">
      <c r="V510" s="38"/>
      <c r="AF510" s="38" t="str">
        <f t="shared" si="59"/>
        <v/>
      </c>
      <c r="AG510" t="str">
        <f t="shared" si="60"/>
        <v/>
      </c>
      <c r="AH510" t="str">
        <f t="shared" si="61"/>
        <v/>
      </c>
      <c r="AI510" t="str">
        <f t="shared" si="62"/>
        <v/>
      </c>
      <c r="AJ510" t="str">
        <f t="shared" si="63"/>
        <v/>
      </c>
      <c r="AK510" t="str">
        <f t="shared" si="64"/>
        <v/>
      </c>
      <c r="AL510" t="str">
        <f t="shared" si="65"/>
        <v/>
      </c>
    </row>
    <row r="511" spans="22:38">
      <c r="V511" s="38"/>
      <c r="AF511" s="38" t="str">
        <f t="shared" si="59"/>
        <v/>
      </c>
      <c r="AG511" t="str">
        <f t="shared" si="60"/>
        <v/>
      </c>
      <c r="AH511" t="str">
        <f t="shared" si="61"/>
        <v/>
      </c>
      <c r="AI511" t="str">
        <f t="shared" si="62"/>
        <v/>
      </c>
      <c r="AJ511" t="str">
        <f t="shared" si="63"/>
        <v/>
      </c>
      <c r="AK511" t="str">
        <f t="shared" si="64"/>
        <v/>
      </c>
      <c r="AL511" t="str">
        <f t="shared" si="65"/>
        <v/>
      </c>
    </row>
    <row r="512" spans="22:38">
      <c r="V512" s="38"/>
      <c r="AF512" s="38" t="str">
        <f t="shared" si="59"/>
        <v/>
      </c>
      <c r="AG512" t="str">
        <f t="shared" si="60"/>
        <v/>
      </c>
      <c r="AH512" t="str">
        <f t="shared" si="61"/>
        <v/>
      </c>
      <c r="AI512" t="str">
        <f t="shared" si="62"/>
        <v/>
      </c>
      <c r="AJ512" t="str">
        <f t="shared" si="63"/>
        <v/>
      </c>
      <c r="AK512" t="str">
        <f t="shared" si="64"/>
        <v/>
      </c>
      <c r="AL512" t="str">
        <f t="shared" si="65"/>
        <v/>
      </c>
    </row>
    <row r="513" spans="22:38">
      <c r="V513" s="38"/>
      <c r="AF513" s="38" t="str">
        <f t="shared" si="59"/>
        <v/>
      </c>
      <c r="AG513" t="str">
        <f t="shared" si="60"/>
        <v/>
      </c>
      <c r="AH513" t="str">
        <f t="shared" si="61"/>
        <v/>
      </c>
      <c r="AI513" t="str">
        <f t="shared" si="62"/>
        <v/>
      </c>
      <c r="AJ513" t="str">
        <f t="shared" si="63"/>
        <v/>
      </c>
      <c r="AK513" t="str">
        <f t="shared" si="64"/>
        <v/>
      </c>
      <c r="AL513" t="str">
        <f t="shared" si="65"/>
        <v/>
      </c>
    </row>
    <row r="514" spans="22:38">
      <c r="V514" s="38"/>
      <c r="AF514" s="38" t="str">
        <f t="shared" si="59"/>
        <v/>
      </c>
      <c r="AG514" t="str">
        <f t="shared" si="60"/>
        <v/>
      </c>
      <c r="AH514" t="str">
        <f t="shared" si="61"/>
        <v/>
      </c>
      <c r="AI514" t="str">
        <f t="shared" si="62"/>
        <v/>
      </c>
      <c r="AJ514" t="str">
        <f t="shared" si="63"/>
        <v/>
      </c>
      <c r="AK514" t="str">
        <f t="shared" si="64"/>
        <v/>
      </c>
      <c r="AL514" t="str">
        <f t="shared" si="65"/>
        <v/>
      </c>
    </row>
    <row r="515" spans="22:38">
      <c r="V515" s="38"/>
      <c r="AF515" s="38" t="str">
        <f t="shared" si="59"/>
        <v/>
      </c>
      <c r="AG515" t="str">
        <f t="shared" si="60"/>
        <v/>
      </c>
      <c r="AH515" t="str">
        <f t="shared" si="61"/>
        <v/>
      </c>
      <c r="AI515" t="str">
        <f t="shared" si="62"/>
        <v/>
      </c>
      <c r="AJ515" t="str">
        <f t="shared" si="63"/>
        <v/>
      </c>
      <c r="AK515" t="str">
        <f t="shared" si="64"/>
        <v/>
      </c>
      <c r="AL515" t="str">
        <f t="shared" si="65"/>
        <v/>
      </c>
    </row>
    <row r="516" spans="22:38">
      <c r="V516" s="38"/>
      <c r="AF516" s="38" t="str">
        <f t="shared" ref="AF516:AF579" si="66">IF($V516="", "", $V516)</f>
        <v/>
      </c>
      <c r="AG516" t="str">
        <f t="shared" ref="AG516:AG579" si="67">IF($X516&lt;0, "NA", IF(ISERROR($W516/$X516), "", $W516/$X516))</f>
        <v/>
      </c>
      <c r="AH516" t="str">
        <f t="shared" ref="AH516:AH579" si="68">IF($Y516&lt;0, "NA", IF(ISERROR($W516/$Y516), "", $W516/$Y516))</f>
        <v/>
      </c>
      <c r="AI516" t="str">
        <f t="shared" ref="AI516:AI579" si="69">IF($Z516&lt;0, "NA", IF(ISERROR($W516/$Z516), "", $W516/$Z516))</f>
        <v/>
      </c>
      <c r="AJ516" t="str">
        <f t="shared" ref="AJ516:AJ579" si="70">IF($AB516&lt;0, "NA", IF(ISERROR($AA516/$AB516), "", $AA516/$AB516))</f>
        <v/>
      </c>
      <c r="AK516" t="str">
        <f t="shared" ref="AK516:AK579" si="71">IF($AC516&lt;0, "NA", IF(ISERROR($AA516/$AC516), "", $AA516/$AC516))</f>
        <v/>
      </c>
      <c r="AL516" t="str">
        <f t="shared" ref="AL516:AL579" si="72">IF($AD516&lt;0, "NA", IF(ISERROR($AA516/$AD516), "", $AA516/$AD516))</f>
        <v/>
      </c>
    </row>
    <row r="517" spans="22:38">
      <c r="V517" s="38"/>
      <c r="AF517" s="38" t="str">
        <f t="shared" si="66"/>
        <v/>
      </c>
      <c r="AG517" t="str">
        <f t="shared" si="67"/>
        <v/>
      </c>
      <c r="AH517" t="str">
        <f t="shared" si="68"/>
        <v/>
      </c>
      <c r="AI517" t="str">
        <f t="shared" si="69"/>
        <v/>
      </c>
      <c r="AJ517" t="str">
        <f t="shared" si="70"/>
        <v/>
      </c>
      <c r="AK517" t="str">
        <f t="shared" si="71"/>
        <v/>
      </c>
      <c r="AL517" t="str">
        <f t="shared" si="72"/>
        <v/>
      </c>
    </row>
    <row r="518" spans="22:38">
      <c r="V518" s="38"/>
      <c r="AF518" s="38" t="str">
        <f t="shared" si="66"/>
        <v/>
      </c>
      <c r="AG518" t="str">
        <f t="shared" si="67"/>
        <v/>
      </c>
      <c r="AH518" t="str">
        <f t="shared" si="68"/>
        <v/>
      </c>
      <c r="AI518" t="str">
        <f t="shared" si="69"/>
        <v/>
      </c>
      <c r="AJ518" t="str">
        <f t="shared" si="70"/>
        <v/>
      </c>
      <c r="AK518" t="str">
        <f t="shared" si="71"/>
        <v/>
      </c>
      <c r="AL518" t="str">
        <f t="shared" si="72"/>
        <v/>
      </c>
    </row>
    <row r="519" spans="22:38">
      <c r="V519" s="38"/>
      <c r="AF519" s="38" t="str">
        <f t="shared" si="66"/>
        <v/>
      </c>
      <c r="AG519" t="str">
        <f t="shared" si="67"/>
        <v/>
      </c>
      <c r="AH519" t="str">
        <f t="shared" si="68"/>
        <v/>
      </c>
      <c r="AI519" t="str">
        <f t="shared" si="69"/>
        <v/>
      </c>
      <c r="AJ519" t="str">
        <f t="shared" si="70"/>
        <v/>
      </c>
      <c r="AK519" t="str">
        <f t="shared" si="71"/>
        <v/>
      </c>
      <c r="AL519" t="str">
        <f t="shared" si="72"/>
        <v/>
      </c>
    </row>
    <row r="520" spans="22:38">
      <c r="V520" s="38"/>
      <c r="AF520" s="38" t="str">
        <f t="shared" si="66"/>
        <v/>
      </c>
      <c r="AG520" t="str">
        <f t="shared" si="67"/>
        <v/>
      </c>
      <c r="AH520" t="str">
        <f t="shared" si="68"/>
        <v/>
      </c>
      <c r="AI520" t="str">
        <f t="shared" si="69"/>
        <v/>
      </c>
      <c r="AJ520" t="str">
        <f t="shared" si="70"/>
        <v/>
      </c>
      <c r="AK520" t="str">
        <f t="shared" si="71"/>
        <v/>
      </c>
      <c r="AL520" t="str">
        <f t="shared" si="72"/>
        <v/>
      </c>
    </row>
    <row r="521" spans="22:38">
      <c r="V521" s="38"/>
      <c r="AF521" s="38" t="str">
        <f t="shared" si="66"/>
        <v/>
      </c>
      <c r="AG521" t="str">
        <f t="shared" si="67"/>
        <v/>
      </c>
      <c r="AH521" t="str">
        <f t="shared" si="68"/>
        <v/>
      </c>
      <c r="AI521" t="str">
        <f t="shared" si="69"/>
        <v/>
      </c>
      <c r="AJ521" t="str">
        <f t="shared" si="70"/>
        <v/>
      </c>
      <c r="AK521" t="str">
        <f t="shared" si="71"/>
        <v/>
      </c>
      <c r="AL521" t="str">
        <f t="shared" si="72"/>
        <v/>
      </c>
    </row>
    <row r="522" spans="22:38">
      <c r="V522" s="38"/>
      <c r="AF522" s="38" t="str">
        <f t="shared" si="66"/>
        <v/>
      </c>
      <c r="AG522" t="str">
        <f t="shared" si="67"/>
        <v/>
      </c>
      <c r="AH522" t="str">
        <f t="shared" si="68"/>
        <v/>
      </c>
      <c r="AI522" t="str">
        <f t="shared" si="69"/>
        <v/>
      </c>
      <c r="AJ522" t="str">
        <f t="shared" si="70"/>
        <v/>
      </c>
      <c r="AK522" t="str">
        <f t="shared" si="71"/>
        <v/>
      </c>
      <c r="AL522" t="str">
        <f t="shared" si="72"/>
        <v/>
      </c>
    </row>
    <row r="523" spans="22:38">
      <c r="V523" s="38"/>
      <c r="AF523" s="38" t="str">
        <f t="shared" si="66"/>
        <v/>
      </c>
      <c r="AG523" t="str">
        <f t="shared" si="67"/>
        <v/>
      </c>
      <c r="AH523" t="str">
        <f t="shared" si="68"/>
        <v/>
      </c>
      <c r="AI523" t="str">
        <f t="shared" si="69"/>
        <v/>
      </c>
      <c r="AJ523" t="str">
        <f t="shared" si="70"/>
        <v/>
      </c>
      <c r="AK523" t="str">
        <f t="shared" si="71"/>
        <v/>
      </c>
      <c r="AL523" t="str">
        <f t="shared" si="72"/>
        <v/>
      </c>
    </row>
    <row r="524" spans="22:38">
      <c r="V524" s="38"/>
      <c r="AF524" s="38" t="str">
        <f t="shared" si="66"/>
        <v/>
      </c>
      <c r="AG524" t="str">
        <f t="shared" si="67"/>
        <v/>
      </c>
      <c r="AH524" t="str">
        <f t="shared" si="68"/>
        <v/>
      </c>
      <c r="AI524" t="str">
        <f t="shared" si="69"/>
        <v/>
      </c>
      <c r="AJ524" t="str">
        <f t="shared" si="70"/>
        <v/>
      </c>
      <c r="AK524" t="str">
        <f t="shared" si="71"/>
        <v/>
      </c>
      <c r="AL524" t="str">
        <f t="shared" si="72"/>
        <v/>
      </c>
    </row>
    <row r="525" spans="22:38">
      <c r="V525" s="38"/>
      <c r="AF525" s="38" t="str">
        <f t="shared" si="66"/>
        <v/>
      </c>
      <c r="AG525" t="str">
        <f t="shared" si="67"/>
        <v/>
      </c>
      <c r="AH525" t="str">
        <f t="shared" si="68"/>
        <v/>
      </c>
      <c r="AI525" t="str">
        <f t="shared" si="69"/>
        <v/>
      </c>
      <c r="AJ525" t="str">
        <f t="shared" si="70"/>
        <v/>
      </c>
      <c r="AK525" t="str">
        <f t="shared" si="71"/>
        <v/>
      </c>
      <c r="AL525" t="str">
        <f t="shared" si="72"/>
        <v/>
      </c>
    </row>
    <row r="526" spans="22:38">
      <c r="V526" s="38"/>
      <c r="AF526" s="38" t="str">
        <f t="shared" si="66"/>
        <v/>
      </c>
      <c r="AG526" t="str">
        <f t="shared" si="67"/>
        <v/>
      </c>
      <c r="AH526" t="str">
        <f t="shared" si="68"/>
        <v/>
      </c>
      <c r="AI526" t="str">
        <f t="shared" si="69"/>
        <v/>
      </c>
      <c r="AJ526" t="str">
        <f t="shared" si="70"/>
        <v/>
      </c>
      <c r="AK526" t="str">
        <f t="shared" si="71"/>
        <v/>
      </c>
      <c r="AL526" t="str">
        <f t="shared" si="72"/>
        <v/>
      </c>
    </row>
    <row r="527" spans="22:38">
      <c r="V527" s="38"/>
      <c r="AF527" s="38" t="str">
        <f t="shared" si="66"/>
        <v/>
      </c>
      <c r="AG527" t="str">
        <f t="shared" si="67"/>
        <v/>
      </c>
      <c r="AH527" t="str">
        <f t="shared" si="68"/>
        <v/>
      </c>
      <c r="AI527" t="str">
        <f t="shared" si="69"/>
        <v/>
      </c>
      <c r="AJ527" t="str">
        <f t="shared" si="70"/>
        <v/>
      </c>
      <c r="AK527" t="str">
        <f t="shared" si="71"/>
        <v/>
      </c>
      <c r="AL527" t="str">
        <f t="shared" si="72"/>
        <v/>
      </c>
    </row>
    <row r="528" spans="22:38">
      <c r="V528" s="38"/>
      <c r="AF528" s="38" t="str">
        <f t="shared" si="66"/>
        <v/>
      </c>
      <c r="AG528" t="str">
        <f t="shared" si="67"/>
        <v/>
      </c>
      <c r="AH528" t="str">
        <f t="shared" si="68"/>
        <v/>
      </c>
      <c r="AI528" t="str">
        <f t="shared" si="69"/>
        <v/>
      </c>
      <c r="AJ528" t="str">
        <f t="shared" si="70"/>
        <v/>
      </c>
      <c r="AK528" t="str">
        <f t="shared" si="71"/>
        <v/>
      </c>
      <c r="AL528" t="str">
        <f t="shared" si="72"/>
        <v/>
      </c>
    </row>
    <row r="529" spans="22:38">
      <c r="V529" s="38"/>
      <c r="AF529" s="38" t="str">
        <f t="shared" si="66"/>
        <v/>
      </c>
      <c r="AG529" t="str">
        <f t="shared" si="67"/>
        <v/>
      </c>
      <c r="AH529" t="str">
        <f t="shared" si="68"/>
        <v/>
      </c>
      <c r="AI529" t="str">
        <f t="shared" si="69"/>
        <v/>
      </c>
      <c r="AJ529" t="str">
        <f t="shared" si="70"/>
        <v/>
      </c>
      <c r="AK529" t="str">
        <f t="shared" si="71"/>
        <v/>
      </c>
      <c r="AL529" t="str">
        <f t="shared" si="72"/>
        <v/>
      </c>
    </row>
    <row r="530" spans="22:38">
      <c r="V530" s="38"/>
      <c r="AF530" s="38" t="str">
        <f t="shared" si="66"/>
        <v/>
      </c>
      <c r="AG530" t="str">
        <f t="shared" si="67"/>
        <v/>
      </c>
      <c r="AH530" t="str">
        <f t="shared" si="68"/>
        <v/>
      </c>
      <c r="AI530" t="str">
        <f t="shared" si="69"/>
        <v/>
      </c>
      <c r="AJ530" t="str">
        <f t="shared" si="70"/>
        <v/>
      </c>
      <c r="AK530" t="str">
        <f t="shared" si="71"/>
        <v/>
      </c>
      <c r="AL530" t="str">
        <f t="shared" si="72"/>
        <v/>
      </c>
    </row>
    <row r="531" spans="22:38">
      <c r="V531" s="38"/>
      <c r="AF531" s="38" t="str">
        <f t="shared" si="66"/>
        <v/>
      </c>
      <c r="AG531" t="str">
        <f t="shared" si="67"/>
        <v/>
      </c>
      <c r="AH531" t="str">
        <f t="shared" si="68"/>
        <v/>
      </c>
      <c r="AI531" t="str">
        <f t="shared" si="69"/>
        <v/>
      </c>
      <c r="AJ531" t="str">
        <f t="shared" si="70"/>
        <v/>
      </c>
      <c r="AK531" t="str">
        <f t="shared" si="71"/>
        <v/>
      </c>
      <c r="AL531" t="str">
        <f t="shared" si="72"/>
        <v/>
      </c>
    </row>
    <row r="532" spans="22:38">
      <c r="V532" s="38"/>
      <c r="AF532" s="38" t="str">
        <f t="shared" si="66"/>
        <v/>
      </c>
      <c r="AG532" t="str">
        <f t="shared" si="67"/>
        <v/>
      </c>
      <c r="AH532" t="str">
        <f t="shared" si="68"/>
        <v/>
      </c>
      <c r="AI532" t="str">
        <f t="shared" si="69"/>
        <v/>
      </c>
      <c r="AJ532" t="str">
        <f t="shared" si="70"/>
        <v/>
      </c>
      <c r="AK532" t="str">
        <f t="shared" si="71"/>
        <v/>
      </c>
      <c r="AL532" t="str">
        <f t="shared" si="72"/>
        <v/>
      </c>
    </row>
    <row r="533" spans="22:38">
      <c r="V533" s="38"/>
      <c r="AF533" s="38" t="str">
        <f t="shared" si="66"/>
        <v/>
      </c>
      <c r="AG533" t="str">
        <f t="shared" si="67"/>
        <v/>
      </c>
      <c r="AH533" t="str">
        <f t="shared" si="68"/>
        <v/>
      </c>
      <c r="AI533" t="str">
        <f t="shared" si="69"/>
        <v/>
      </c>
      <c r="AJ533" t="str">
        <f t="shared" si="70"/>
        <v/>
      </c>
      <c r="AK533" t="str">
        <f t="shared" si="71"/>
        <v/>
      </c>
      <c r="AL533" t="str">
        <f t="shared" si="72"/>
        <v/>
      </c>
    </row>
    <row r="534" spans="22:38">
      <c r="V534" s="38"/>
      <c r="AF534" s="38" t="str">
        <f t="shared" si="66"/>
        <v/>
      </c>
      <c r="AG534" t="str">
        <f t="shared" si="67"/>
        <v/>
      </c>
      <c r="AH534" t="str">
        <f t="shared" si="68"/>
        <v/>
      </c>
      <c r="AI534" t="str">
        <f t="shared" si="69"/>
        <v/>
      </c>
      <c r="AJ534" t="str">
        <f t="shared" si="70"/>
        <v/>
      </c>
      <c r="AK534" t="str">
        <f t="shared" si="71"/>
        <v/>
      </c>
      <c r="AL534" t="str">
        <f t="shared" si="72"/>
        <v/>
      </c>
    </row>
    <row r="535" spans="22:38">
      <c r="V535" s="38"/>
      <c r="AF535" s="38" t="str">
        <f t="shared" si="66"/>
        <v/>
      </c>
      <c r="AG535" t="str">
        <f t="shared" si="67"/>
        <v/>
      </c>
      <c r="AH535" t="str">
        <f t="shared" si="68"/>
        <v/>
      </c>
      <c r="AI535" t="str">
        <f t="shared" si="69"/>
        <v/>
      </c>
      <c r="AJ535" t="str">
        <f t="shared" si="70"/>
        <v/>
      </c>
      <c r="AK535" t="str">
        <f t="shared" si="71"/>
        <v/>
      </c>
      <c r="AL535" t="str">
        <f t="shared" si="72"/>
        <v/>
      </c>
    </row>
    <row r="536" spans="22:38">
      <c r="V536" s="38"/>
      <c r="AF536" s="38" t="str">
        <f t="shared" si="66"/>
        <v/>
      </c>
      <c r="AG536" t="str">
        <f t="shared" si="67"/>
        <v/>
      </c>
      <c r="AH536" t="str">
        <f t="shared" si="68"/>
        <v/>
      </c>
      <c r="AI536" t="str">
        <f t="shared" si="69"/>
        <v/>
      </c>
      <c r="AJ536" t="str">
        <f t="shared" si="70"/>
        <v/>
      </c>
      <c r="AK536" t="str">
        <f t="shared" si="71"/>
        <v/>
      </c>
      <c r="AL536" t="str">
        <f t="shared" si="72"/>
        <v/>
      </c>
    </row>
    <row r="537" spans="22:38">
      <c r="V537" s="38"/>
      <c r="AF537" s="38" t="str">
        <f t="shared" si="66"/>
        <v/>
      </c>
      <c r="AG537" t="str">
        <f t="shared" si="67"/>
        <v/>
      </c>
      <c r="AH537" t="str">
        <f t="shared" si="68"/>
        <v/>
      </c>
      <c r="AI537" t="str">
        <f t="shared" si="69"/>
        <v/>
      </c>
      <c r="AJ537" t="str">
        <f t="shared" si="70"/>
        <v/>
      </c>
      <c r="AK537" t="str">
        <f t="shared" si="71"/>
        <v/>
      </c>
      <c r="AL537" t="str">
        <f t="shared" si="72"/>
        <v/>
      </c>
    </row>
    <row r="538" spans="22:38">
      <c r="V538" s="38"/>
      <c r="AF538" s="38" t="str">
        <f t="shared" si="66"/>
        <v/>
      </c>
      <c r="AG538" t="str">
        <f t="shared" si="67"/>
        <v/>
      </c>
      <c r="AH538" t="str">
        <f t="shared" si="68"/>
        <v/>
      </c>
      <c r="AI538" t="str">
        <f t="shared" si="69"/>
        <v/>
      </c>
      <c r="AJ538" t="str">
        <f t="shared" si="70"/>
        <v/>
      </c>
      <c r="AK538" t="str">
        <f t="shared" si="71"/>
        <v/>
      </c>
      <c r="AL538" t="str">
        <f t="shared" si="72"/>
        <v/>
      </c>
    </row>
    <row r="539" spans="22:38">
      <c r="V539" s="38"/>
      <c r="AF539" s="38" t="str">
        <f t="shared" si="66"/>
        <v/>
      </c>
      <c r="AG539" t="str">
        <f t="shared" si="67"/>
        <v/>
      </c>
      <c r="AH539" t="str">
        <f t="shared" si="68"/>
        <v/>
      </c>
      <c r="AI539" t="str">
        <f t="shared" si="69"/>
        <v/>
      </c>
      <c r="AJ539" t="str">
        <f t="shared" si="70"/>
        <v/>
      </c>
      <c r="AK539" t="str">
        <f t="shared" si="71"/>
        <v/>
      </c>
      <c r="AL539" t="str">
        <f t="shared" si="72"/>
        <v/>
      </c>
    </row>
    <row r="540" spans="22:38">
      <c r="V540" s="38"/>
      <c r="AF540" s="38" t="str">
        <f t="shared" si="66"/>
        <v/>
      </c>
      <c r="AG540" t="str">
        <f t="shared" si="67"/>
        <v/>
      </c>
      <c r="AH540" t="str">
        <f t="shared" si="68"/>
        <v/>
      </c>
      <c r="AI540" t="str">
        <f t="shared" si="69"/>
        <v/>
      </c>
      <c r="AJ540" t="str">
        <f t="shared" si="70"/>
        <v/>
      </c>
      <c r="AK540" t="str">
        <f t="shared" si="71"/>
        <v/>
      </c>
      <c r="AL540" t="str">
        <f t="shared" si="72"/>
        <v/>
      </c>
    </row>
    <row r="541" spans="22:38">
      <c r="V541" s="38"/>
      <c r="AF541" s="38" t="str">
        <f t="shared" si="66"/>
        <v/>
      </c>
      <c r="AG541" t="str">
        <f t="shared" si="67"/>
        <v/>
      </c>
      <c r="AH541" t="str">
        <f t="shared" si="68"/>
        <v/>
      </c>
      <c r="AI541" t="str">
        <f t="shared" si="69"/>
        <v/>
      </c>
      <c r="AJ541" t="str">
        <f t="shared" si="70"/>
        <v/>
      </c>
      <c r="AK541" t="str">
        <f t="shared" si="71"/>
        <v/>
      </c>
      <c r="AL541" t="str">
        <f t="shared" si="72"/>
        <v/>
      </c>
    </row>
    <row r="542" spans="22:38">
      <c r="V542" s="38"/>
      <c r="AF542" s="38" t="str">
        <f t="shared" si="66"/>
        <v/>
      </c>
      <c r="AG542" t="str">
        <f t="shared" si="67"/>
        <v/>
      </c>
      <c r="AH542" t="str">
        <f t="shared" si="68"/>
        <v/>
      </c>
      <c r="AI542" t="str">
        <f t="shared" si="69"/>
        <v/>
      </c>
      <c r="AJ542" t="str">
        <f t="shared" si="70"/>
        <v/>
      </c>
      <c r="AK542" t="str">
        <f t="shared" si="71"/>
        <v/>
      </c>
      <c r="AL542" t="str">
        <f t="shared" si="72"/>
        <v/>
      </c>
    </row>
    <row r="543" spans="22:38">
      <c r="V543" s="38"/>
      <c r="AF543" s="38" t="str">
        <f t="shared" si="66"/>
        <v/>
      </c>
      <c r="AG543" t="str">
        <f t="shared" si="67"/>
        <v/>
      </c>
      <c r="AH543" t="str">
        <f t="shared" si="68"/>
        <v/>
      </c>
      <c r="AI543" t="str">
        <f t="shared" si="69"/>
        <v/>
      </c>
      <c r="AJ543" t="str">
        <f t="shared" si="70"/>
        <v/>
      </c>
      <c r="AK543" t="str">
        <f t="shared" si="71"/>
        <v/>
      </c>
      <c r="AL543" t="str">
        <f t="shared" si="72"/>
        <v/>
      </c>
    </row>
    <row r="544" spans="22:38">
      <c r="V544" s="38"/>
      <c r="AF544" s="38" t="str">
        <f t="shared" si="66"/>
        <v/>
      </c>
      <c r="AG544" t="str">
        <f t="shared" si="67"/>
        <v/>
      </c>
      <c r="AH544" t="str">
        <f t="shared" si="68"/>
        <v/>
      </c>
      <c r="AI544" t="str">
        <f t="shared" si="69"/>
        <v/>
      </c>
      <c r="AJ544" t="str">
        <f t="shared" si="70"/>
        <v/>
      </c>
      <c r="AK544" t="str">
        <f t="shared" si="71"/>
        <v/>
      </c>
      <c r="AL544" t="str">
        <f t="shared" si="72"/>
        <v/>
      </c>
    </row>
    <row r="545" spans="22:38">
      <c r="V545" s="38"/>
      <c r="AF545" s="38" t="str">
        <f t="shared" si="66"/>
        <v/>
      </c>
      <c r="AG545" t="str">
        <f t="shared" si="67"/>
        <v/>
      </c>
      <c r="AH545" t="str">
        <f t="shared" si="68"/>
        <v/>
      </c>
      <c r="AI545" t="str">
        <f t="shared" si="69"/>
        <v/>
      </c>
      <c r="AJ545" t="str">
        <f t="shared" si="70"/>
        <v/>
      </c>
      <c r="AK545" t="str">
        <f t="shared" si="71"/>
        <v/>
      </c>
      <c r="AL545" t="str">
        <f t="shared" si="72"/>
        <v/>
      </c>
    </row>
    <row r="546" spans="22:38">
      <c r="V546" s="38"/>
      <c r="AF546" s="38" t="str">
        <f t="shared" si="66"/>
        <v/>
      </c>
      <c r="AG546" t="str">
        <f t="shared" si="67"/>
        <v/>
      </c>
      <c r="AH546" t="str">
        <f t="shared" si="68"/>
        <v/>
      </c>
      <c r="AI546" t="str">
        <f t="shared" si="69"/>
        <v/>
      </c>
      <c r="AJ546" t="str">
        <f t="shared" si="70"/>
        <v/>
      </c>
      <c r="AK546" t="str">
        <f t="shared" si="71"/>
        <v/>
      </c>
      <c r="AL546" t="str">
        <f t="shared" si="72"/>
        <v/>
      </c>
    </row>
    <row r="547" spans="22:38">
      <c r="V547" s="38"/>
      <c r="AF547" s="38" t="str">
        <f t="shared" si="66"/>
        <v/>
      </c>
      <c r="AG547" t="str">
        <f t="shared" si="67"/>
        <v/>
      </c>
      <c r="AH547" t="str">
        <f t="shared" si="68"/>
        <v/>
      </c>
      <c r="AI547" t="str">
        <f t="shared" si="69"/>
        <v/>
      </c>
      <c r="AJ547" t="str">
        <f t="shared" si="70"/>
        <v/>
      </c>
      <c r="AK547" t="str">
        <f t="shared" si="71"/>
        <v/>
      </c>
      <c r="AL547" t="str">
        <f t="shared" si="72"/>
        <v/>
      </c>
    </row>
    <row r="548" spans="22:38">
      <c r="V548" s="38"/>
      <c r="AF548" s="38" t="str">
        <f t="shared" si="66"/>
        <v/>
      </c>
      <c r="AG548" t="str">
        <f t="shared" si="67"/>
        <v/>
      </c>
      <c r="AH548" t="str">
        <f t="shared" si="68"/>
        <v/>
      </c>
      <c r="AI548" t="str">
        <f t="shared" si="69"/>
        <v/>
      </c>
      <c r="AJ548" t="str">
        <f t="shared" si="70"/>
        <v/>
      </c>
      <c r="AK548" t="str">
        <f t="shared" si="71"/>
        <v/>
      </c>
      <c r="AL548" t="str">
        <f t="shared" si="72"/>
        <v/>
      </c>
    </row>
    <row r="549" spans="22:38">
      <c r="V549" s="38"/>
      <c r="AF549" s="38" t="str">
        <f t="shared" si="66"/>
        <v/>
      </c>
      <c r="AG549" t="str">
        <f t="shared" si="67"/>
        <v/>
      </c>
      <c r="AH549" t="str">
        <f t="shared" si="68"/>
        <v/>
      </c>
      <c r="AI549" t="str">
        <f t="shared" si="69"/>
        <v/>
      </c>
      <c r="AJ549" t="str">
        <f t="shared" si="70"/>
        <v/>
      </c>
      <c r="AK549" t="str">
        <f t="shared" si="71"/>
        <v/>
      </c>
      <c r="AL549" t="str">
        <f t="shared" si="72"/>
        <v/>
      </c>
    </row>
    <row r="550" spans="22:38">
      <c r="V550" s="38"/>
      <c r="AF550" s="38" t="str">
        <f t="shared" si="66"/>
        <v/>
      </c>
      <c r="AG550" t="str">
        <f t="shared" si="67"/>
        <v/>
      </c>
      <c r="AH550" t="str">
        <f t="shared" si="68"/>
        <v/>
      </c>
      <c r="AI550" t="str">
        <f t="shared" si="69"/>
        <v/>
      </c>
      <c r="AJ550" t="str">
        <f t="shared" si="70"/>
        <v/>
      </c>
      <c r="AK550" t="str">
        <f t="shared" si="71"/>
        <v/>
      </c>
      <c r="AL550" t="str">
        <f t="shared" si="72"/>
        <v/>
      </c>
    </row>
    <row r="551" spans="22:38">
      <c r="V551" s="38"/>
      <c r="AF551" s="38" t="str">
        <f t="shared" si="66"/>
        <v/>
      </c>
      <c r="AG551" t="str">
        <f t="shared" si="67"/>
        <v/>
      </c>
      <c r="AH551" t="str">
        <f t="shared" si="68"/>
        <v/>
      </c>
      <c r="AI551" t="str">
        <f t="shared" si="69"/>
        <v/>
      </c>
      <c r="AJ551" t="str">
        <f t="shared" si="70"/>
        <v/>
      </c>
      <c r="AK551" t="str">
        <f t="shared" si="71"/>
        <v/>
      </c>
      <c r="AL551" t="str">
        <f t="shared" si="72"/>
        <v/>
      </c>
    </row>
    <row r="552" spans="22:38">
      <c r="V552" s="38"/>
      <c r="AF552" s="38" t="str">
        <f t="shared" si="66"/>
        <v/>
      </c>
      <c r="AG552" t="str">
        <f t="shared" si="67"/>
        <v/>
      </c>
      <c r="AH552" t="str">
        <f t="shared" si="68"/>
        <v/>
      </c>
      <c r="AI552" t="str">
        <f t="shared" si="69"/>
        <v/>
      </c>
      <c r="AJ552" t="str">
        <f t="shared" si="70"/>
        <v/>
      </c>
      <c r="AK552" t="str">
        <f t="shared" si="71"/>
        <v/>
      </c>
      <c r="AL552" t="str">
        <f t="shared" si="72"/>
        <v/>
      </c>
    </row>
    <row r="553" spans="22:38">
      <c r="V553" s="38"/>
      <c r="AF553" s="38" t="str">
        <f t="shared" si="66"/>
        <v/>
      </c>
      <c r="AG553" t="str">
        <f t="shared" si="67"/>
        <v/>
      </c>
      <c r="AH553" t="str">
        <f t="shared" si="68"/>
        <v/>
      </c>
      <c r="AI553" t="str">
        <f t="shared" si="69"/>
        <v/>
      </c>
      <c r="AJ553" t="str">
        <f t="shared" si="70"/>
        <v/>
      </c>
      <c r="AK553" t="str">
        <f t="shared" si="71"/>
        <v/>
      </c>
      <c r="AL553" t="str">
        <f t="shared" si="72"/>
        <v/>
      </c>
    </row>
    <row r="554" spans="22:38">
      <c r="V554" s="38"/>
      <c r="AF554" s="38" t="str">
        <f t="shared" si="66"/>
        <v/>
      </c>
      <c r="AG554" t="str">
        <f t="shared" si="67"/>
        <v/>
      </c>
      <c r="AH554" t="str">
        <f t="shared" si="68"/>
        <v/>
      </c>
      <c r="AI554" t="str">
        <f t="shared" si="69"/>
        <v/>
      </c>
      <c r="AJ554" t="str">
        <f t="shared" si="70"/>
        <v/>
      </c>
      <c r="AK554" t="str">
        <f t="shared" si="71"/>
        <v/>
      </c>
      <c r="AL554" t="str">
        <f t="shared" si="72"/>
        <v/>
      </c>
    </row>
    <row r="555" spans="22:38">
      <c r="V555" s="38"/>
      <c r="AF555" s="38" t="str">
        <f t="shared" si="66"/>
        <v/>
      </c>
      <c r="AG555" t="str">
        <f t="shared" si="67"/>
        <v/>
      </c>
      <c r="AH555" t="str">
        <f t="shared" si="68"/>
        <v/>
      </c>
      <c r="AI555" t="str">
        <f t="shared" si="69"/>
        <v/>
      </c>
      <c r="AJ555" t="str">
        <f t="shared" si="70"/>
        <v/>
      </c>
      <c r="AK555" t="str">
        <f t="shared" si="71"/>
        <v/>
      </c>
      <c r="AL555" t="str">
        <f t="shared" si="72"/>
        <v/>
      </c>
    </row>
    <row r="556" spans="22:38">
      <c r="V556" s="38"/>
      <c r="AF556" s="38" t="str">
        <f t="shared" si="66"/>
        <v/>
      </c>
      <c r="AG556" t="str">
        <f t="shared" si="67"/>
        <v/>
      </c>
      <c r="AH556" t="str">
        <f t="shared" si="68"/>
        <v/>
      </c>
      <c r="AI556" t="str">
        <f t="shared" si="69"/>
        <v/>
      </c>
      <c r="AJ556" t="str">
        <f t="shared" si="70"/>
        <v/>
      </c>
      <c r="AK556" t="str">
        <f t="shared" si="71"/>
        <v/>
      </c>
      <c r="AL556" t="str">
        <f t="shared" si="72"/>
        <v/>
      </c>
    </row>
    <row r="557" spans="22:38">
      <c r="V557" s="38"/>
      <c r="AF557" s="38" t="str">
        <f t="shared" si="66"/>
        <v/>
      </c>
      <c r="AG557" t="str">
        <f t="shared" si="67"/>
        <v/>
      </c>
      <c r="AH557" t="str">
        <f t="shared" si="68"/>
        <v/>
      </c>
      <c r="AI557" t="str">
        <f t="shared" si="69"/>
        <v/>
      </c>
      <c r="AJ557" t="str">
        <f t="shared" si="70"/>
        <v/>
      </c>
      <c r="AK557" t="str">
        <f t="shared" si="71"/>
        <v/>
      </c>
      <c r="AL557" t="str">
        <f t="shared" si="72"/>
        <v/>
      </c>
    </row>
    <row r="558" spans="22:38">
      <c r="V558" s="38"/>
      <c r="AF558" s="38" t="str">
        <f t="shared" si="66"/>
        <v/>
      </c>
      <c r="AG558" t="str">
        <f t="shared" si="67"/>
        <v/>
      </c>
      <c r="AH558" t="str">
        <f t="shared" si="68"/>
        <v/>
      </c>
      <c r="AI558" t="str">
        <f t="shared" si="69"/>
        <v/>
      </c>
      <c r="AJ558" t="str">
        <f t="shared" si="70"/>
        <v/>
      </c>
      <c r="AK558" t="str">
        <f t="shared" si="71"/>
        <v/>
      </c>
      <c r="AL558" t="str">
        <f t="shared" si="72"/>
        <v/>
      </c>
    </row>
    <row r="559" spans="22:38">
      <c r="V559" s="38"/>
      <c r="AF559" s="38" t="str">
        <f t="shared" si="66"/>
        <v/>
      </c>
      <c r="AG559" t="str">
        <f t="shared" si="67"/>
        <v/>
      </c>
      <c r="AH559" t="str">
        <f t="shared" si="68"/>
        <v/>
      </c>
      <c r="AI559" t="str">
        <f t="shared" si="69"/>
        <v/>
      </c>
      <c r="AJ559" t="str">
        <f t="shared" si="70"/>
        <v/>
      </c>
      <c r="AK559" t="str">
        <f t="shared" si="71"/>
        <v/>
      </c>
      <c r="AL559" t="str">
        <f t="shared" si="72"/>
        <v/>
      </c>
    </row>
    <row r="560" spans="22:38">
      <c r="V560" s="38"/>
      <c r="AF560" s="38" t="str">
        <f t="shared" si="66"/>
        <v/>
      </c>
      <c r="AG560" t="str">
        <f t="shared" si="67"/>
        <v/>
      </c>
      <c r="AH560" t="str">
        <f t="shared" si="68"/>
        <v/>
      </c>
      <c r="AI560" t="str">
        <f t="shared" si="69"/>
        <v/>
      </c>
      <c r="AJ560" t="str">
        <f t="shared" si="70"/>
        <v/>
      </c>
      <c r="AK560" t="str">
        <f t="shared" si="71"/>
        <v/>
      </c>
      <c r="AL560" t="str">
        <f t="shared" si="72"/>
        <v/>
      </c>
    </row>
    <row r="561" spans="22:38">
      <c r="V561" s="38"/>
      <c r="AF561" s="38" t="str">
        <f t="shared" si="66"/>
        <v/>
      </c>
      <c r="AG561" t="str">
        <f t="shared" si="67"/>
        <v/>
      </c>
      <c r="AH561" t="str">
        <f t="shared" si="68"/>
        <v/>
      </c>
      <c r="AI561" t="str">
        <f t="shared" si="69"/>
        <v/>
      </c>
      <c r="AJ561" t="str">
        <f t="shared" si="70"/>
        <v/>
      </c>
      <c r="AK561" t="str">
        <f t="shared" si="71"/>
        <v/>
      </c>
      <c r="AL561" t="str">
        <f t="shared" si="72"/>
        <v/>
      </c>
    </row>
    <row r="562" spans="22:38">
      <c r="V562" s="38"/>
      <c r="AF562" s="38" t="str">
        <f t="shared" si="66"/>
        <v/>
      </c>
      <c r="AG562" t="str">
        <f t="shared" si="67"/>
        <v/>
      </c>
      <c r="AH562" t="str">
        <f t="shared" si="68"/>
        <v/>
      </c>
      <c r="AI562" t="str">
        <f t="shared" si="69"/>
        <v/>
      </c>
      <c r="AJ562" t="str">
        <f t="shared" si="70"/>
        <v/>
      </c>
      <c r="AK562" t="str">
        <f t="shared" si="71"/>
        <v/>
      </c>
      <c r="AL562" t="str">
        <f t="shared" si="72"/>
        <v/>
      </c>
    </row>
    <row r="563" spans="22:38">
      <c r="V563" s="38"/>
      <c r="AF563" s="38" t="str">
        <f t="shared" si="66"/>
        <v/>
      </c>
      <c r="AG563" t="str">
        <f t="shared" si="67"/>
        <v/>
      </c>
      <c r="AH563" t="str">
        <f t="shared" si="68"/>
        <v/>
      </c>
      <c r="AI563" t="str">
        <f t="shared" si="69"/>
        <v/>
      </c>
      <c r="AJ563" t="str">
        <f t="shared" si="70"/>
        <v/>
      </c>
      <c r="AK563" t="str">
        <f t="shared" si="71"/>
        <v/>
      </c>
      <c r="AL563" t="str">
        <f t="shared" si="72"/>
        <v/>
      </c>
    </row>
    <row r="564" spans="22:38">
      <c r="V564" s="38"/>
      <c r="AF564" s="38" t="str">
        <f t="shared" si="66"/>
        <v/>
      </c>
      <c r="AG564" t="str">
        <f t="shared" si="67"/>
        <v/>
      </c>
      <c r="AH564" t="str">
        <f t="shared" si="68"/>
        <v/>
      </c>
      <c r="AI564" t="str">
        <f t="shared" si="69"/>
        <v/>
      </c>
      <c r="AJ564" t="str">
        <f t="shared" si="70"/>
        <v/>
      </c>
      <c r="AK564" t="str">
        <f t="shared" si="71"/>
        <v/>
      </c>
      <c r="AL564" t="str">
        <f t="shared" si="72"/>
        <v/>
      </c>
    </row>
    <row r="565" spans="22:38">
      <c r="V565" s="38"/>
      <c r="AF565" s="38" t="str">
        <f t="shared" si="66"/>
        <v/>
      </c>
      <c r="AG565" t="str">
        <f t="shared" si="67"/>
        <v/>
      </c>
      <c r="AH565" t="str">
        <f t="shared" si="68"/>
        <v/>
      </c>
      <c r="AI565" t="str">
        <f t="shared" si="69"/>
        <v/>
      </c>
      <c r="AJ565" t="str">
        <f t="shared" si="70"/>
        <v/>
      </c>
      <c r="AK565" t="str">
        <f t="shared" si="71"/>
        <v/>
      </c>
      <c r="AL565" t="str">
        <f t="shared" si="72"/>
        <v/>
      </c>
    </row>
    <row r="566" spans="22:38">
      <c r="V566" s="38"/>
      <c r="AF566" s="38" t="str">
        <f t="shared" si="66"/>
        <v/>
      </c>
      <c r="AG566" t="str">
        <f t="shared" si="67"/>
        <v/>
      </c>
      <c r="AH566" t="str">
        <f t="shared" si="68"/>
        <v/>
      </c>
      <c r="AI566" t="str">
        <f t="shared" si="69"/>
        <v/>
      </c>
      <c r="AJ566" t="str">
        <f t="shared" si="70"/>
        <v/>
      </c>
      <c r="AK566" t="str">
        <f t="shared" si="71"/>
        <v/>
      </c>
      <c r="AL566" t="str">
        <f t="shared" si="72"/>
        <v/>
      </c>
    </row>
    <row r="567" spans="22:38">
      <c r="V567" s="38"/>
      <c r="AF567" s="38" t="str">
        <f t="shared" si="66"/>
        <v/>
      </c>
      <c r="AG567" t="str">
        <f t="shared" si="67"/>
        <v/>
      </c>
      <c r="AH567" t="str">
        <f t="shared" si="68"/>
        <v/>
      </c>
      <c r="AI567" t="str">
        <f t="shared" si="69"/>
        <v/>
      </c>
      <c r="AJ567" t="str">
        <f t="shared" si="70"/>
        <v/>
      </c>
      <c r="AK567" t="str">
        <f t="shared" si="71"/>
        <v/>
      </c>
      <c r="AL567" t="str">
        <f t="shared" si="72"/>
        <v/>
      </c>
    </row>
    <row r="568" spans="22:38">
      <c r="V568" s="38"/>
      <c r="AF568" s="38" t="str">
        <f t="shared" si="66"/>
        <v/>
      </c>
      <c r="AG568" t="str">
        <f t="shared" si="67"/>
        <v/>
      </c>
      <c r="AH568" t="str">
        <f t="shared" si="68"/>
        <v/>
      </c>
      <c r="AI568" t="str">
        <f t="shared" si="69"/>
        <v/>
      </c>
      <c r="AJ568" t="str">
        <f t="shared" si="70"/>
        <v/>
      </c>
      <c r="AK568" t="str">
        <f t="shared" si="71"/>
        <v/>
      </c>
      <c r="AL568" t="str">
        <f t="shared" si="72"/>
        <v/>
      </c>
    </row>
    <row r="569" spans="22:38">
      <c r="V569" s="38"/>
      <c r="AF569" s="38" t="str">
        <f t="shared" si="66"/>
        <v/>
      </c>
      <c r="AG569" t="str">
        <f t="shared" si="67"/>
        <v/>
      </c>
      <c r="AH569" t="str">
        <f t="shared" si="68"/>
        <v/>
      </c>
      <c r="AI569" t="str">
        <f t="shared" si="69"/>
        <v/>
      </c>
      <c r="AJ569" t="str">
        <f t="shared" si="70"/>
        <v/>
      </c>
      <c r="AK569" t="str">
        <f t="shared" si="71"/>
        <v/>
      </c>
      <c r="AL569" t="str">
        <f t="shared" si="72"/>
        <v/>
      </c>
    </row>
    <row r="570" spans="22:38">
      <c r="V570" s="38"/>
      <c r="AF570" s="38" t="str">
        <f t="shared" si="66"/>
        <v/>
      </c>
      <c r="AG570" t="str">
        <f t="shared" si="67"/>
        <v/>
      </c>
      <c r="AH570" t="str">
        <f t="shared" si="68"/>
        <v/>
      </c>
      <c r="AI570" t="str">
        <f t="shared" si="69"/>
        <v/>
      </c>
      <c r="AJ570" t="str">
        <f t="shared" si="70"/>
        <v/>
      </c>
      <c r="AK570" t="str">
        <f t="shared" si="71"/>
        <v/>
      </c>
      <c r="AL570" t="str">
        <f t="shared" si="72"/>
        <v/>
      </c>
    </row>
    <row r="571" spans="22:38">
      <c r="V571" s="38"/>
      <c r="AF571" s="38" t="str">
        <f t="shared" si="66"/>
        <v/>
      </c>
      <c r="AG571" t="str">
        <f t="shared" si="67"/>
        <v/>
      </c>
      <c r="AH571" t="str">
        <f t="shared" si="68"/>
        <v/>
      </c>
      <c r="AI571" t="str">
        <f t="shared" si="69"/>
        <v/>
      </c>
      <c r="AJ571" t="str">
        <f t="shared" si="70"/>
        <v/>
      </c>
      <c r="AK571" t="str">
        <f t="shared" si="71"/>
        <v/>
      </c>
      <c r="AL571" t="str">
        <f t="shared" si="72"/>
        <v/>
      </c>
    </row>
    <row r="572" spans="22:38">
      <c r="V572" s="38"/>
      <c r="AF572" s="38" t="str">
        <f t="shared" si="66"/>
        <v/>
      </c>
      <c r="AG572" t="str">
        <f t="shared" si="67"/>
        <v/>
      </c>
      <c r="AH572" t="str">
        <f t="shared" si="68"/>
        <v/>
      </c>
      <c r="AI572" t="str">
        <f t="shared" si="69"/>
        <v/>
      </c>
      <c r="AJ572" t="str">
        <f t="shared" si="70"/>
        <v/>
      </c>
      <c r="AK572" t="str">
        <f t="shared" si="71"/>
        <v/>
      </c>
      <c r="AL572" t="str">
        <f t="shared" si="72"/>
        <v/>
      </c>
    </row>
    <row r="573" spans="22:38">
      <c r="V573" s="38"/>
      <c r="AF573" s="38" t="str">
        <f t="shared" si="66"/>
        <v/>
      </c>
      <c r="AG573" t="str">
        <f t="shared" si="67"/>
        <v/>
      </c>
      <c r="AH573" t="str">
        <f t="shared" si="68"/>
        <v/>
      </c>
      <c r="AI573" t="str">
        <f t="shared" si="69"/>
        <v/>
      </c>
      <c r="AJ573" t="str">
        <f t="shared" si="70"/>
        <v/>
      </c>
      <c r="AK573" t="str">
        <f t="shared" si="71"/>
        <v/>
      </c>
      <c r="AL573" t="str">
        <f t="shared" si="72"/>
        <v/>
      </c>
    </row>
    <row r="574" spans="22:38">
      <c r="V574" s="38"/>
      <c r="AF574" s="38" t="str">
        <f t="shared" si="66"/>
        <v/>
      </c>
      <c r="AG574" t="str">
        <f t="shared" si="67"/>
        <v/>
      </c>
      <c r="AH574" t="str">
        <f t="shared" si="68"/>
        <v/>
      </c>
      <c r="AI574" t="str">
        <f t="shared" si="69"/>
        <v/>
      </c>
      <c r="AJ574" t="str">
        <f t="shared" si="70"/>
        <v/>
      </c>
      <c r="AK574" t="str">
        <f t="shared" si="71"/>
        <v/>
      </c>
      <c r="AL574" t="str">
        <f t="shared" si="72"/>
        <v/>
      </c>
    </row>
    <row r="575" spans="22:38">
      <c r="V575" s="38"/>
      <c r="AF575" s="38" t="str">
        <f t="shared" si="66"/>
        <v/>
      </c>
      <c r="AG575" t="str">
        <f t="shared" si="67"/>
        <v/>
      </c>
      <c r="AH575" t="str">
        <f t="shared" si="68"/>
        <v/>
      </c>
      <c r="AI575" t="str">
        <f t="shared" si="69"/>
        <v/>
      </c>
      <c r="AJ575" t="str">
        <f t="shared" si="70"/>
        <v/>
      </c>
      <c r="AK575" t="str">
        <f t="shared" si="71"/>
        <v/>
      </c>
      <c r="AL575" t="str">
        <f t="shared" si="72"/>
        <v/>
      </c>
    </row>
    <row r="576" spans="22:38">
      <c r="V576" s="38"/>
      <c r="AF576" s="38" t="str">
        <f t="shared" si="66"/>
        <v/>
      </c>
      <c r="AG576" t="str">
        <f t="shared" si="67"/>
        <v/>
      </c>
      <c r="AH576" t="str">
        <f t="shared" si="68"/>
        <v/>
      </c>
      <c r="AI576" t="str">
        <f t="shared" si="69"/>
        <v/>
      </c>
      <c r="AJ576" t="str">
        <f t="shared" si="70"/>
        <v/>
      </c>
      <c r="AK576" t="str">
        <f t="shared" si="71"/>
        <v/>
      </c>
      <c r="AL576" t="str">
        <f t="shared" si="72"/>
        <v/>
      </c>
    </row>
    <row r="577" spans="22:38">
      <c r="V577" s="38"/>
      <c r="AF577" s="38" t="str">
        <f t="shared" si="66"/>
        <v/>
      </c>
      <c r="AG577" t="str">
        <f t="shared" si="67"/>
        <v/>
      </c>
      <c r="AH577" t="str">
        <f t="shared" si="68"/>
        <v/>
      </c>
      <c r="AI577" t="str">
        <f t="shared" si="69"/>
        <v/>
      </c>
      <c r="AJ577" t="str">
        <f t="shared" si="70"/>
        <v/>
      </c>
      <c r="AK577" t="str">
        <f t="shared" si="71"/>
        <v/>
      </c>
      <c r="AL577" t="str">
        <f t="shared" si="72"/>
        <v/>
      </c>
    </row>
    <row r="578" spans="22:38">
      <c r="V578" s="38"/>
      <c r="AF578" s="38" t="str">
        <f t="shared" si="66"/>
        <v/>
      </c>
      <c r="AG578" t="str">
        <f t="shared" si="67"/>
        <v/>
      </c>
      <c r="AH578" t="str">
        <f t="shared" si="68"/>
        <v/>
      </c>
      <c r="AI578" t="str">
        <f t="shared" si="69"/>
        <v/>
      </c>
      <c r="AJ578" t="str">
        <f t="shared" si="70"/>
        <v/>
      </c>
      <c r="AK578" t="str">
        <f t="shared" si="71"/>
        <v/>
      </c>
      <c r="AL578" t="str">
        <f t="shared" si="72"/>
        <v/>
      </c>
    </row>
    <row r="579" spans="22:38">
      <c r="V579" s="38"/>
      <c r="AF579" s="38" t="str">
        <f t="shared" si="66"/>
        <v/>
      </c>
      <c r="AG579" t="str">
        <f t="shared" si="67"/>
        <v/>
      </c>
      <c r="AH579" t="str">
        <f t="shared" si="68"/>
        <v/>
      </c>
      <c r="AI579" t="str">
        <f t="shared" si="69"/>
        <v/>
      </c>
      <c r="AJ579" t="str">
        <f t="shared" si="70"/>
        <v/>
      </c>
      <c r="AK579" t="str">
        <f t="shared" si="71"/>
        <v/>
      </c>
      <c r="AL579" t="str">
        <f t="shared" si="72"/>
        <v/>
      </c>
    </row>
    <row r="580" spans="22:38">
      <c r="V580" s="38"/>
      <c r="AF580" s="38" t="str">
        <f t="shared" ref="AF580:AF600" si="73">IF($V580="", "", $V580)</f>
        <v/>
      </c>
      <c r="AG580" t="str">
        <f t="shared" ref="AG580:AG600" si="74">IF($X580&lt;0, "NA", IF(ISERROR($W580/$X580), "", $W580/$X580))</f>
        <v/>
      </c>
      <c r="AH580" t="str">
        <f t="shared" ref="AH580:AH600" si="75">IF($Y580&lt;0, "NA", IF(ISERROR($W580/$Y580), "", $W580/$Y580))</f>
        <v/>
      </c>
      <c r="AI580" t="str">
        <f t="shared" ref="AI580:AI600" si="76">IF($Z580&lt;0, "NA", IF(ISERROR($W580/$Z580), "", $W580/$Z580))</f>
        <v/>
      </c>
      <c r="AJ580" t="str">
        <f t="shared" ref="AJ580:AJ600" si="77">IF($AB580&lt;0, "NA", IF(ISERROR($AA580/$AB580), "", $AA580/$AB580))</f>
        <v/>
      </c>
      <c r="AK580" t="str">
        <f t="shared" ref="AK580:AK600" si="78">IF($AC580&lt;0, "NA", IF(ISERROR($AA580/$AC580), "", $AA580/$AC580))</f>
        <v/>
      </c>
      <c r="AL580" t="str">
        <f t="shared" ref="AL580:AL600" si="79">IF($AD580&lt;0, "NA", IF(ISERROR($AA580/$AD580), "", $AA580/$AD580))</f>
        <v/>
      </c>
    </row>
    <row r="581" spans="22:38">
      <c r="V581" s="38"/>
      <c r="AF581" s="38" t="str">
        <f t="shared" si="73"/>
        <v/>
      </c>
      <c r="AG581" t="str">
        <f t="shared" si="74"/>
        <v/>
      </c>
      <c r="AH581" t="str">
        <f t="shared" si="75"/>
        <v/>
      </c>
      <c r="AI581" t="str">
        <f t="shared" si="76"/>
        <v/>
      </c>
      <c r="AJ581" t="str">
        <f t="shared" si="77"/>
        <v/>
      </c>
      <c r="AK581" t="str">
        <f t="shared" si="78"/>
        <v/>
      </c>
      <c r="AL581" t="str">
        <f t="shared" si="79"/>
        <v/>
      </c>
    </row>
    <row r="582" spans="22:38">
      <c r="V582" s="38"/>
      <c r="AF582" s="38" t="str">
        <f t="shared" si="73"/>
        <v/>
      </c>
      <c r="AG582" t="str">
        <f t="shared" si="74"/>
        <v/>
      </c>
      <c r="AH582" t="str">
        <f t="shared" si="75"/>
        <v/>
      </c>
      <c r="AI582" t="str">
        <f t="shared" si="76"/>
        <v/>
      </c>
      <c r="AJ582" t="str">
        <f t="shared" si="77"/>
        <v/>
      </c>
      <c r="AK582" t="str">
        <f t="shared" si="78"/>
        <v/>
      </c>
      <c r="AL582" t="str">
        <f t="shared" si="79"/>
        <v/>
      </c>
    </row>
    <row r="583" spans="22:38">
      <c r="V583" s="38"/>
      <c r="AF583" s="38" t="str">
        <f t="shared" si="73"/>
        <v/>
      </c>
      <c r="AG583" t="str">
        <f t="shared" si="74"/>
        <v/>
      </c>
      <c r="AH583" t="str">
        <f t="shared" si="75"/>
        <v/>
      </c>
      <c r="AI583" t="str">
        <f t="shared" si="76"/>
        <v/>
      </c>
      <c r="AJ583" t="str">
        <f t="shared" si="77"/>
        <v/>
      </c>
      <c r="AK583" t="str">
        <f t="shared" si="78"/>
        <v/>
      </c>
      <c r="AL583" t="str">
        <f t="shared" si="79"/>
        <v/>
      </c>
    </row>
    <row r="584" spans="22:38">
      <c r="V584" s="38"/>
      <c r="AF584" s="38" t="str">
        <f t="shared" si="73"/>
        <v/>
      </c>
      <c r="AG584" t="str">
        <f t="shared" si="74"/>
        <v/>
      </c>
      <c r="AH584" t="str">
        <f t="shared" si="75"/>
        <v/>
      </c>
      <c r="AI584" t="str">
        <f t="shared" si="76"/>
        <v/>
      </c>
      <c r="AJ584" t="str">
        <f t="shared" si="77"/>
        <v/>
      </c>
      <c r="AK584" t="str">
        <f t="shared" si="78"/>
        <v/>
      </c>
      <c r="AL584" t="str">
        <f t="shared" si="79"/>
        <v/>
      </c>
    </row>
    <row r="585" spans="22:38">
      <c r="V585" s="38"/>
      <c r="AF585" s="38" t="str">
        <f t="shared" si="73"/>
        <v/>
      </c>
      <c r="AG585" t="str">
        <f t="shared" si="74"/>
        <v/>
      </c>
      <c r="AH585" t="str">
        <f t="shared" si="75"/>
        <v/>
      </c>
      <c r="AI585" t="str">
        <f t="shared" si="76"/>
        <v/>
      </c>
      <c r="AJ585" t="str">
        <f t="shared" si="77"/>
        <v/>
      </c>
      <c r="AK585" t="str">
        <f t="shared" si="78"/>
        <v/>
      </c>
      <c r="AL585" t="str">
        <f t="shared" si="79"/>
        <v/>
      </c>
    </row>
    <row r="586" spans="22:38">
      <c r="V586" s="38"/>
      <c r="AF586" s="38" t="str">
        <f t="shared" si="73"/>
        <v/>
      </c>
      <c r="AG586" t="str">
        <f t="shared" si="74"/>
        <v/>
      </c>
      <c r="AH586" t="str">
        <f t="shared" si="75"/>
        <v/>
      </c>
      <c r="AI586" t="str">
        <f t="shared" si="76"/>
        <v/>
      </c>
      <c r="AJ586" t="str">
        <f t="shared" si="77"/>
        <v/>
      </c>
      <c r="AK586" t="str">
        <f t="shared" si="78"/>
        <v/>
      </c>
      <c r="AL586" t="str">
        <f t="shared" si="79"/>
        <v/>
      </c>
    </row>
    <row r="587" spans="22:38">
      <c r="V587" s="38"/>
      <c r="AF587" s="38" t="str">
        <f t="shared" si="73"/>
        <v/>
      </c>
      <c r="AG587" t="str">
        <f t="shared" si="74"/>
        <v/>
      </c>
      <c r="AH587" t="str">
        <f t="shared" si="75"/>
        <v/>
      </c>
      <c r="AI587" t="str">
        <f t="shared" si="76"/>
        <v/>
      </c>
      <c r="AJ587" t="str">
        <f t="shared" si="77"/>
        <v/>
      </c>
      <c r="AK587" t="str">
        <f t="shared" si="78"/>
        <v/>
      </c>
      <c r="AL587" t="str">
        <f t="shared" si="79"/>
        <v/>
      </c>
    </row>
    <row r="588" spans="22:38">
      <c r="V588" s="38"/>
      <c r="AF588" s="38" t="str">
        <f t="shared" si="73"/>
        <v/>
      </c>
      <c r="AG588" t="str">
        <f t="shared" si="74"/>
        <v/>
      </c>
      <c r="AH588" t="str">
        <f t="shared" si="75"/>
        <v/>
      </c>
      <c r="AI588" t="str">
        <f t="shared" si="76"/>
        <v/>
      </c>
      <c r="AJ588" t="str">
        <f t="shared" si="77"/>
        <v/>
      </c>
      <c r="AK588" t="str">
        <f t="shared" si="78"/>
        <v/>
      </c>
      <c r="AL588" t="str">
        <f t="shared" si="79"/>
        <v/>
      </c>
    </row>
    <row r="589" spans="22:38">
      <c r="V589" s="38"/>
      <c r="AF589" s="38" t="str">
        <f t="shared" si="73"/>
        <v/>
      </c>
      <c r="AG589" t="str">
        <f t="shared" si="74"/>
        <v/>
      </c>
      <c r="AH589" t="str">
        <f t="shared" si="75"/>
        <v/>
      </c>
      <c r="AI589" t="str">
        <f t="shared" si="76"/>
        <v/>
      </c>
      <c r="AJ589" t="str">
        <f t="shared" si="77"/>
        <v/>
      </c>
      <c r="AK589" t="str">
        <f t="shared" si="78"/>
        <v/>
      </c>
      <c r="AL589" t="str">
        <f t="shared" si="79"/>
        <v/>
      </c>
    </row>
    <row r="590" spans="22:38">
      <c r="V590" s="38"/>
      <c r="AF590" s="38" t="str">
        <f t="shared" si="73"/>
        <v/>
      </c>
      <c r="AG590" t="str">
        <f t="shared" si="74"/>
        <v/>
      </c>
      <c r="AH590" t="str">
        <f t="shared" si="75"/>
        <v/>
      </c>
      <c r="AI590" t="str">
        <f t="shared" si="76"/>
        <v/>
      </c>
      <c r="AJ590" t="str">
        <f t="shared" si="77"/>
        <v/>
      </c>
      <c r="AK590" t="str">
        <f t="shared" si="78"/>
        <v/>
      </c>
      <c r="AL590" t="str">
        <f t="shared" si="79"/>
        <v/>
      </c>
    </row>
    <row r="591" spans="22:38">
      <c r="V591" s="38"/>
      <c r="AF591" s="38" t="str">
        <f t="shared" si="73"/>
        <v/>
      </c>
      <c r="AG591" t="str">
        <f t="shared" si="74"/>
        <v/>
      </c>
      <c r="AH591" t="str">
        <f t="shared" si="75"/>
        <v/>
      </c>
      <c r="AI591" t="str">
        <f t="shared" si="76"/>
        <v/>
      </c>
      <c r="AJ591" t="str">
        <f t="shared" si="77"/>
        <v/>
      </c>
      <c r="AK591" t="str">
        <f t="shared" si="78"/>
        <v/>
      </c>
      <c r="AL591" t="str">
        <f t="shared" si="79"/>
        <v/>
      </c>
    </row>
    <row r="592" spans="22:38">
      <c r="V592" s="38"/>
      <c r="AF592" s="38" t="str">
        <f t="shared" si="73"/>
        <v/>
      </c>
      <c r="AG592" t="str">
        <f t="shared" si="74"/>
        <v/>
      </c>
      <c r="AH592" t="str">
        <f t="shared" si="75"/>
        <v/>
      </c>
      <c r="AI592" t="str">
        <f t="shared" si="76"/>
        <v/>
      </c>
      <c r="AJ592" t="str">
        <f t="shared" si="77"/>
        <v/>
      </c>
      <c r="AK592" t="str">
        <f t="shared" si="78"/>
        <v/>
      </c>
      <c r="AL592" t="str">
        <f t="shared" si="79"/>
        <v/>
      </c>
    </row>
    <row r="593" spans="22:38">
      <c r="V593" s="38"/>
      <c r="AF593" s="38" t="str">
        <f t="shared" si="73"/>
        <v/>
      </c>
      <c r="AG593" t="str">
        <f t="shared" si="74"/>
        <v/>
      </c>
      <c r="AH593" t="str">
        <f t="shared" si="75"/>
        <v/>
      </c>
      <c r="AI593" t="str">
        <f t="shared" si="76"/>
        <v/>
      </c>
      <c r="AJ593" t="str">
        <f t="shared" si="77"/>
        <v/>
      </c>
      <c r="AK593" t="str">
        <f t="shared" si="78"/>
        <v/>
      </c>
      <c r="AL593" t="str">
        <f t="shared" si="79"/>
        <v/>
      </c>
    </row>
    <row r="594" spans="22:38">
      <c r="V594" s="38"/>
      <c r="AF594" s="38" t="str">
        <f t="shared" si="73"/>
        <v/>
      </c>
      <c r="AG594" t="str">
        <f t="shared" si="74"/>
        <v/>
      </c>
      <c r="AH594" t="str">
        <f t="shared" si="75"/>
        <v/>
      </c>
      <c r="AI594" t="str">
        <f t="shared" si="76"/>
        <v/>
      </c>
      <c r="AJ594" t="str">
        <f t="shared" si="77"/>
        <v/>
      </c>
      <c r="AK594" t="str">
        <f t="shared" si="78"/>
        <v/>
      </c>
      <c r="AL594" t="str">
        <f t="shared" si="79"/>
        <v/>
      </c>
    </row>
    <row r="595" spans="22:38">
      <c r="V595" s="38"/>
      <c r="AF595" s="38" t="str">
        <f t="shared" si="73"/>
        <v/>
      </c>
      <c r="AG595" t="str">
        <f t="shared" si="74"/>
        <v/>
      </c>
      <c r="AH595" t="str">
        <f t="shared" si="75"/>
        <v/>
      </c>
      <c r="AI595" t="str">
        <f t="shared" si="76"/>
        <v/>
      </c>
      <c r="AJ595" t="str">
        <f t="shared" si="77"/>
        <v/>
      </c>
      <c r="AK595" t="str">
        <f t="shared" si="78"/>
        <v/>
      </c>
      <c r="AL595" t="str">
        <f t="shared" si="79"/>
        <v/>
      </c>
    </row>
    <row r="596" spans="22:38">
      <c r="V596" s="38"/>
      <c r="AF596" s="38" t="str">
        <f t="shared" si="73"/>
        <v/>
      </c>
      <c r="AG596" t="str">
        <f t="shared" si="74"/>
        <v/>
      </c>
      <c r="AH596" t="str">
        <f t="shared" si="75"/>
        <v/>
      </c>
      <c r="AI596" t="str">
        <f t="shared" si="76"/>
        <v/>
      </c>
      <c r="AJ596" t="str">
        <f t="shared" si="77"/>
        <v/>
      </c>
      <c r="AK596" t="str">
        <f t="shared" si="78"/>
        <v/>
      </c>
      <c r="AL596" t="str">
        <f t="shared" si="79"/>
        <v/>
      </c>
    </row>
    <row r="597" spans="22:38">
      <c r="V597" s="38"/>
      <c r="AF597" s="38" t="str">
        <f t="shared" si="73"/>
        <v/>
      </c>
      <c r="AG597" t="str">
        <f t="shared" si="74"/>
        <v/>
      </c>
      <c r="AH597" t="str">
        <f t="shared" si="75"/>
        <v/>
      </c>
      <c r="AI597" t="str">
        <f t="shared" si="76"/>
        <v/>
      </c>
      <c r="AJ597" t="str">
        <f t="shared" si="77"/>
        <v/>
      </c>
      <c r="AK597" t="str">
        <f t="shared" si="78"/>
        <v/>
      </c>
      <c r="AL597" t="str">
        <f t="shared" si="79"/>
        <v/>
      </c>
    </row>
    <row r="598" spans="22:38">
      <c r="V598" s="38"/>
      <c r="AF598" s="38" t="str">
        <f t="shared" si="73"/>
        <v/>
      </c>
      <c r="AG598" t="str">
        <f t="shared" si="74"/>
        <v/>
      </c>
      <c r="AH598" t="str">
        <f t="shared" si="75"/>
        <v/>
      </c>
      <c r="AI598" t="str">
        <f t="shared" si="76"/>
        <v/>
      </c>
      <c r="AJ598" t="str">
        <f t="shared" si="77"/>
        <v/>
      </c>
      <c r="AK598" t="str">
        <f t="shared" si="78"/>
        <v/>
      </c>
      <c r="AL598" t="str">
        <f t="shared" si="79"/>
        <v/>
      </c>
    </row>
    <row r="599" spans="22:38">
      <c r="V599" s="38"/>
      <c r="AF599" s="38" t="str">
        <f t="shared" si="73"/>
        <v/>
      </c>
      <c r="AG599" t="str">
        <f t="shared" si="74"/>
        <v/>
      </c>
      <c r="AH599" t="str">
        <f t="shared" si="75"/>
        <v/>
      </c>
      <c r="AI599" t="str">
        <f t="shared" si="76"/>
        <v/>
      </c>
      <c r="AJ599" t="str">
        <f t="shared" si="77"/>
        <v/>
      </c>
      <c r="AK599" t="str">
        <f t="shared" si="78"/>
        <v/>
      </c>
      <c r="AL599" t="str">
        <f t="shared" si="79"/>
        <v/>
      </c>
    </row>
    <row r="600" spans="22:38">
      <c r="V600" s="38"/>
      <c r="AF600" s="38" t="str">
        <f t="shared" si="73"/>
        <v/>
      </c>
      <c r="AG600" t="str">
        <f t="shared" si="74"/>
        <v/>
      </c>
      <c r="AH600" t="str">
        <f t="shared" si="75"/>
        <v/>
      </c>
      <c r="AI600" t="str">
        <f t="shared" si="76"/>
        <v/>
      </c>
      <c r="AJ600" t="str">
        <f t="shared" si="77"/>
        <v/>
      </c>
      <c r="AK600" t="str">
        <f t="shared" si="78"/>
        <v/>
      </c>
      <c r="AL600" t="str">
        <f t="shared" si="79"/>
        <v/>
      </c>
    </row>
    <row r="601" spans="22:38">
      <c r="V601" s="38"/>
    </row>
    <row r="602" spans="22:38">
      <c r="V602" s="38"/>
    </row>
    <row r="603" spans="22:38">
      <c r="V603" s="38"/>
    </row>
    <row r="604" spans="22:38">
      <c r="V604" s="38"/>
    </row>
    <row r="605" spans="22:38">
      <c r="V605" s="38"/>
    </row>
    <row r="606" spans="22:38">
      <c r="V606" s="38"/>
    </row>
    <row r="607" spans="22:38">
      <c r="V607" s="38"/>
    </row>
    <row r="608" spans="22:38">
      <c r="V608" s="38"/>
    </row>
    <row r="609" spans="22:22">
      <c r="V609" s="38"/>
    </row>
    <row r="610" spans="22:22">
      <c r="V610" s="38"/>
    </row>
    <row r="611" spans="22:22">
      <c r="V611" s="38"/>
    </row>
    <row r="612" spans="22:22">
      <c r="V612" s="38"/>
    </row>
    <row r="613" spans="22:22">
      <c r="V613" s="38"/>
    </row>
    <row r="614" spans="22:22">
      <c r="V614" s="38"/>
    </row>
    <row r="615" spans="22:22">
      <c r="V615" s="38"/>
    </row>
    <row r="616" spans="22:22">
      <c r="V616" s="38"/>
    </row>
    <row r="617" spans="22:22">
      <c r="V617" s="38"/>
    </row>
    <row r="618" spans="22:22">
      <c r="V618" s="38"/>
    </row>
    <row r="619" spans="22:22">
      <c r="V619" s="38"/>
    </row>
    <row r="620" spans="22:22">
      <c r="V620" s="38"/>
    </row>
    <row r="621" spans="22:22">
      <c r="V621" s="38"/>
    </row>
    <row r="622" spans="22:22">
      <c r="V622" s="38"/>
    </row>
    <row r="623" spans="22:22">
      <c r="V623" s="38"/>
    </row>
    <row r="624" spans="22:22">
      <c r="V624" s="38"/>
    </row>
    <row r="625" spans="22:22">
      <c r="V625" s="38"/>
    </row>
    <row r="626" spans="22:22">
      <c r="V626" s="38"/>
    </row>
    <row r="627" spans="22:22">
      <c r="V627" s="38"/>
    </row>
    <row r="628" spans="22:22">
      <c r="V628" s="38"/>
    </row>
  </sheetData>
  <phoneticPr fontId="16" type="noConversion"/>
  <pageMargins left="0.75" right="0.75" top="1" bottom="1" header="0.5" footer="0.5"/>
  <pageSetup orientation="portrait" r:id="rId1"/>
  <headerFooter alignWithMargins="0"/>
  <ignoredErrors>
    <ignoredError sqref="G12:H12"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Overview"/>
  <dimension ref="B1:X65"/>
  <sheetViews>
    <sheetView showGridLines="0" showRowColHeaders="0" tabSelected="1" zoomScaleNormal="100" workbookViewId="0">
      <pane ySplit="5" topLeftCell="A7" activePane="bottomLeft" state="frozen"/>
      <selection pane="bottomLeft" activeCell="B11" sqref="B11:D11"/>
    </sheetView>
  </sheetViews>
  <sheetFormatPr defaultRowHeight="15" customHeight="1"/>
  <cols>
    <col min="1" max="1" width="1.7109375" customWidth="1"/>
    <col min="2" max="3" width="9.140625" customWidth="1"/>
    <col min="4" max="4" width="9.140625" hidden="1" customWidth="1"/>
    <col min="5" max="11" width="9.140625" customWidth="1"/>
    <col min="12" max="12" width="9.140625" hidden="1" customWidth="1"/>
    <col min="13" max="13" width="1.7109375" customWidth="1"/>
    <col min="14" max="16" width="9.140625" customWidth="1"/>
    <col min="17" max="17" width="9.140625" style="78" customWidth="1"/>
    <col min="18" max="18" width="9.140625" customWidth="1"/>
    <col min="19" max="19" width="1.7109375" customWidth="1"/>
    <col min="20" max="20" width="9.140625" customWidth="1"/>
    <col min="21" max="22" width="9.140625" style="78" customWidth="1"/>
    <col min="23" max="23" width="9.140625" customWidth="1"/>
  </cols>
  <sheetData>
    <row r="1" spans="2:24" s="69" customFormat="1" ht="5.0999999999999996" customHeight="1">
      <c r="Q1" s="78"/>
      <c r="U1" s="78"/>
      <c r="V1" s="78"/>
    </row>
    <row r="2" spans="2:24" s="69" customFormat="1" ht="15" customHeight="1">
      <c r="Q2" s="78"/>
      <c r="U2" s="78"/>
      <c r="V2" s="78"/>
    </row>
    <row r="3" spans="2:24" s="69" customFormat="1" ht="15" customHeight="1">
      <c r="Q3" s="78"/>
      <c r="U3" s="78"/>
      <c r="V3" s="78"/>
    </row>
    <row r="4" spans="2:24" s="69" customFormat="1" ht="15" customHeight="1">
      <c r="Q4" s="78"/>
      <c r="U4" s="78"/>
      <c r="V4" s="78"/>
    </row>
    <row r="5" spans="2:24" s="69" customFormat="1" ht="5.0999999999999996" customHeight="1">
      <c r="Q5" s="78"/>
      <c r="U5" s="78"/>
      <c r="V5" s="78"/>
    </row>
    <row r="6" spans="2:24" ht="5.0999999999999996" customHeight="1"/>
    <row r="7" spans="2:24" ht="15" customHeight="1">
      <c r="B7" s="683" t="str">
        <f>IF(Lang="English",_xll.BDP(TICKER&amp;" EQUITY","NAME"),IF(Lang="中文",_xll.BDP(TICKER&amp;" EQUITY","NAME_CHINESE_TRADITIONAL"),_xll.BDP(TICKER&amp;" EQUITY","NAME_KANJI")))</f>
        <v>APPLE INC</v>
      </c>
      <c r="C7" s="683"/>
      <c r="D7" s="683"/>
      <c r="E7" s="683"/>
      <c r="F7" s="683"/>
      <c r="N7" s="682" t="str">
        <f>DataH!K12&amp;" "&amp;DataH!K13&amp;" "&amp;DataH!K14&amp;" "&amp;DataH!K15&amp;" "&amp;DataH!K16</f>
        <v>Apple Inc. designs, manufactures, and markets personal computers and related personal computing and mobile communication devices along with a variety of related software, services, peripherals, and networking solutions. The Company sells its products worldwide through its online stores, its retail stores, its direct sales force, third-party wholesalers, and resellers.</v>
      </c>
      <c r="O7" s="682"/>
      <c r="P7" s="682"/>
      <c r="Q7" s="682"/>
      <c r="R7" s="682"/>
      <c r="S7" s="682"/>
      <c r="T7" s="682"/>
      <c r="U7" s="682"/>
      <c r="V7" s="682"/>
      <c r="W7" s="682"/>
      <c r="X7" s="682"/>
    </row>
    <row r="8" spans="2:24" ht="15" customHeight="1">
      <c r="B8" s="647" t="str">
        <f>IF(Lang="English", "Ticker:",IF(Lang="中文","代碼:","ティッカー"))</f>
        <v>Ticker:</v>
      </c>
      <c r="C8" s="648"/>
      <c r="D8" s="649"/>
      <c r="E8" s="688" t="s">
        <v>829</v>
      </c>
      <c r="F8" s="689"/>
      <c r="I8" s="75"/>
      <c r="J8" s="75"/>
      <c r="K8" s="75"/>
      <c r="N8" s="682"/>
      <c r="O8" s="682"/>
      <c r="P8" s="682"/>
      <c r="Q8" s="682"/>
      <c r="R8" s="682"/>
      <c r="S8" s="682"/>
      <c r="T8" s="682"/>
      <c r="U8" s="682"/>
      <c r="V8" s="682"/>
      <c r="W8" s="682"/>
      <c r="X8" s="682"/>
    </row>
    <row r="9" spans="2:24" ht="15" hidden="1" customHeight="1">
      <c r="B9" s="653" t="str">
        <f>IF(Lang="English", "Benchmark:",IF(Lang="中文", "基準","ベンチマーク"))</f>
        <v>Benchmark:</v>
      </c>
      <c r="C9" s="654"/>
      <c r="D9" s="655"/>
      <c r="E9" s="98" t="str">
        <f>_xll.BDP(Benchmark &amp; " INDEX", "NAME") &amp; " (" &amp; Benchmark &amp; ")"</f>
        <v>S&amp;P 500 INDEX (SPX)</v>
      </c>
      <c r="F9" s="99"/>
      <c r="H9" s="18"/>
      <c r="I9" s="5"/>
      <c r="N9" s="682"/>
      <c r="O9" s="682"/>
      <c r="P9" s="682"/>
      <c r="Q9" s="682"/>
      <c r="R9" s="682"/>
      <c r="S9" s="682"/>
      <c r="T9" s="682"/>
      <c r="U9" s="682"/>
      <c r="V9" s="682"/>
      <c r="W9" s="682"/>
      <c r="X9" s="682"/>
    </row>
    <row r="10" spans="2:24" s="1" customFormat="1" ht="15" customHeight="1">
      <c r="B10" s="653" t="str">
        <f>IF(Lang="English","Currency:",IF(Lang="中文","貨幣:","通貨"))</f>
        <v>Currency:</v>
      </c>
      <c r="C10" s="654"/>
      <c r="D10" s="655"/>
      <c r="E10" s="690" t="s">
        <v>0</v>
      </c>
      <c r="F10" s="691"/>
      <c r="H10" s="72"/>
      <c r="I10" s="73"/>
      <c r="J10" s="73"/>
      <c r="K10" s="73"/>
      <c r="N10" s="682"/>
      <c r="O10" s="682"/>
      <c r="P10" s="682"/>
      <c r="Q10" s="682"/>
      <c r="R10" s="682"/>
      <c r="S10" s="682"/>
      <c r="T10" s="682"/>
      <c r="U10" s="682"/>
      <c r="V10" s="682"/>
      <c r="W10" s="682"/>
      <c r="X10" s="682"/>
    </row>
    <row r="11" spans="2:24" s="1" customFormat="1" ht="15" customHeight="1">
      <c r="B11" s="650" t="str">
        <f>IF(Lang="English", "Language:",IF(Lang="中文","語言:","言語"))</f>
        <v>Language:</v>
      </c>
      <c r="C11" s="651"/>
      <c r="D11" s="652"/>
      <c r="E11" s="638" t="s">
        <v>630</v>
      </c>
      <c r="F11" s="639"/>
      <c r="H11" s="598"/>
      <c r="I11" s="598"/>
      <c r="N11" s="682"/>
      <c r="O11" s="682"/>
      <c r="P11" s="682"/>
      <c r="Q11" s="682"/>
      <c r="R11" s="682"/>
      <c r="S11" s="682"/>
      <c r="T11" s="682"/>
      <c r="U11" s="682"/>
      <c r="V11" s="682"/>
      <c r="W11" s="682"/>
      <c r="X11" s="682"/>
    </row>
    <row r="12" spans="2:24" s="1" customFormat="1" ht="15" customHeight="1">
      <c r="B12" s="85" t="str">
        <f>_xll.BDP(TICKER&amp;" EQUITY"," EQY_PRIM_EXCH")&amp;": "&amp;_xll.BDP(TICKER&amp;" EQUITY"," TICKER")&amp;IF(Lang="English",",  Reported Currency: ",IF(Lang="中文",", 貨幣
",", 通貨: "))&amp;_xll.BDP(TICKER&amp;" EQUITY","EQY_FUND_CRNCY")</f>
        <v>NASDAQ GS: AAPL,  Reported Currency: USD</v>
      </c>
      <c r="C12" s="74"/>
      <c r="D12" s="76"/>
      <c r="E12" s="76"/>
      <c r="G12" s="73"/>
      <c r="H12" s="73"/>
      <c r="I12" s="73"/>
      <c r="J12" s="73"/>
      <c r="K12" s="73"/>
      <c r="N12" s="479"/>
      <c r="O12" s="479"/>
      <c r="P12" s="479"/>
      <c r="Q12" s="479"/>
      <c r="R12" s="479"/>
      <c r="S12" s="479"/>
      <c r="T12" s="479"/>
      <c r="U12" s="479"/>
      <c r="V12" s="479"/>
      <c r="W12" s="479"/>
      <c r="X12" s="479"/>
    </row>
    <row r="13" spans="2:24" s="1" customFormat="1" ht="15" customHeight="1">
      <c r="B13" s="86" t="str">
        <f>IF(Lang="English", "Sector: ",IF(Lang="中文","行業:","セクター"))&amp; _xll.BDP(TICKER&amp;" EQUITY"," GICS_SECTOR_NAME") &amp; IF(Lang="English", "       Industry: ",IF(Lang="中文","      產業","産業"))&amp; _xll.BDP(TICKER&amp;" EQUITY","GICS_INDUSTRY_NAME")</f>
        <v>Sector: Information Technology       Industry: Technology Hardware, Storage &amp;</v>
      </c>
      <c r="C13" s="74"/>
      <c r="D13" s="76"/>
      <c r="E13" s="76"/>
      <c r="F13" s="86"/>
      <c r="G13" s="73"/>
      <c r="H13" s="73"/>
      <c r="I13" s="73"/>
      <c r="J13" s="73"/>
      <c r="K13" s="73"/>
      <c r="M13" s="6"/>
      <c r="N13" s="608" t="str">
        <f>IF(Lang="日本語","連結/単独","Consolidated?")</f>
        <v>Consolidated?</v>
      </c>
      <c r="O13" s="609"/>
      <c r="P13" s="599" t="s">
        <v>643</v>
      </c>
      <c r="Q13" s="600"/>
      <c r="R13" s="88"/>
      <c r="S13" s="88"/>
      <c r="T13" s="608" t="str">
        <f>IF(Lang="English", "Year:", "年度
:")</f>
        <v>Year:</v>
      </c>
      <c r="U13" s="609"/>
      <c r="V13" s="599" t="s">
        <v>651</v>
      </c>
      <c r="W13" s="600"/>
      <c r="X13" s="154"/>
    </row>
    <row r="14" spans="2:24" s="1" customFormat="1" ht="5.0999999999999996" customHeight="1">
      <c r="B14" s="70"/>
      <c r="C14" s="71"/>
      <c r="D14" s="19"/>
      <c r="E14" s="19"/>
      <c r="F14" s="19"/>
      <c r="G14" s="19"/>
      <c r="N14" s="51"/>
      <c r="O14" s="51"/>
      <c r="P14" s="155"/>
      <c r="Q14" s="155"/>
      <c r="R14" s="156"/>
      <c r="S14" s="156"/>
      <c r="T14" s="156"/>
      <c r="U14" s="156"/>
      <c r="V14" s="156"/>
      <c r="W14" s="156"/>
      <c r="X14" s="124"/>
    </row>
    <row r="15" spans="2:24" s="1" customFormat="1" ht="15" customHeight="1">
      <c r="B15" s="656" t="str">
        <f>IF(Lang="English","Telephone",IF(Lang="中文", "電話","電話番号"))</f>
        <v>Telephone</v>
      </c>
      <c r="C15" s="657"/>
      <c r="D15" s="658"/>
      <c r="E15" s="700" t="str">
        <f>_xll.BDP(TICKER &amp; " EQUITY", "COMPANY_TEL_NUMBER")</f>
        <v>1-408-996-1010</v>
      </c>
      <c r="F15" s="700"/>
      <c r="G15" s="701"/>
      <c r="H15" s="710" t="str">
        <f>IF(Lang="English","Revenue (M)",IF(Lang="中文","營業收入(M)","営業利益(M)"))</f>
        <v>Revenue (M)</v>
      </c>
      <c r="I15" s="711"/>
      <c r="J15" s="633">
        <f>_xll.BDP(TICKER &amp; " EQUITY", "SALES_REV_TURN", "EQY_FUND_CRNCY", CURRENCY, "EQY_CONSOLIDATED", DataH!$D$18, "Fill=-")</f>
        <v>182795</v>
      </c>
      <c r="K15" s="634"/>
      <c r="L15" s="20"/>
      <c r="M15" s="20"/>
      <c r="N15" s="628" t="str">
        <f>IF(Lang="English","Business Segments in "&amp;CURRENCY&amp;"   ("&amp;DataH!D3&amp;")",IF(Lang="中文","業務部門銷售總計("&amp;CURRENCY&amp;")","製品別データ　通貨: "&amp;CURRENCY&amp;"   ("&amp;DataH!D3&amp;")"))</f>
        <v>Business Segments in USD   (2014)</v>
      </c>
      <c r="O15" s="629"/>
      <c r="P15" s="629"/>
      <c r="Q15" s="630"/>
      <c r="R15" s="157" t="str">
        <f>IF(Lang="English","Sales (M)", IF(Lang="中文","營業收入(百萬","売上高(M)"))</f>
        <v>Sales (M)</v>
      </c>
      <c r="S15" s="124"/>
      <c r="T15" s="622" t="str">
        <f>IF(Lang="English","Geographic Segments in "&amp;CURRENCY&amp;"   ("&amp;DataH!D3&amp;")",IF(Lang="中文","地區分佈("&amp;CURRENCY&amp;")","地域別データ　通貨: "&amp;CURRENCY&amp;"   ("&amp;DataH!D3&amp;")"))</f>
        <v>Geographic Segments in USD   (2014)</v>
      </c>
      <c r="U15" s="623"/>
      <c r="V15" s="623"/>
      <c r="W15" s="624"/>
      <c r="X15" s="87" t="str">
        <f>IF(Lang="English","Sales (M)", IF(Lang="中文","營業收入(百萬","売上高(M)"))</f>
        <v>Sales (M)</v>
      </c>
    </row>
    <row r="16" spans="2:24" s="1" customFormat="1" ht="15" customHeight="1">
      <c r="B16" s="659" t="str">
        <f>IF(Lang="English", "Website",IF(Lang="中文","網址","ウェブサイト"))</f>
        <v>Website</v>
      </c>
      <c r="C16" s="660"/>
      <c r="D16" s="661"/>
      <c r="E16" s="692" t="str">
        <f>_xll.BDP(TICKER &amp; " EQUITY", "COMPANY_WEB_ADDRESS")</f>
        <v>www.apple.com</v>
      </c>
      <c r="F16" s="692"/>
      <c r="G16" s="693"/>
      <c r="H16" s="100" t="str">
        <f>IF(Lang="English", "No of Employees", IF(Lang="中文","員工人數","従業員数"))</f>
        <v>No of Employees</v>
      </c>
      <c r="I16" s="101"/>
      <c r="J16" s="631">
        <f>_xll.BDP(TICKER &amp; " EQUITY", "EQY_EMPLOYEE_NUM")</f>
        <v>92600</v>
      </c>
      <c r="K16" s="632"/>
      <c r="L16" s="20"/>
      <c r="M16" s="20"/>
      <c r="N16" s="610" t="str">
        <f>IF(OR(DataH!F12="",LEFT(DataH!F12,1)="#"), "", DataH!F12)</f>
        <v>iPhone</v>
      </c>
      <c r="O16" s="611"/>
      <c r="P16" s="611"/>
      <c r="Q16" s="612"/>
      <c r="R16" s="158">
        <f>IF(OR(DataH!G12="",LEFT(DataH!G12,1)="#"), "", DataH!G12)</f>
        <v>101991</v>
      </c>
      <c r="S16" s="154"/>
      <c r="T16" s="625" t="str">
        <f>IF(OR(DataH!H12="",LEFT(DataH!H12,1)="#"), "", DataH!H12)</f>
        <v>Americas</v>
      </c>
      <c r="U16" s="626"/>
      <c r="V16" s="626"/>
      <c r="W16" s="627"/>
      <c r="X16" s="159">
        <f>IF(OR(DataH!I12="",LEFT(DataH!I12,1)="#"), "", DataH!I12)</f>
        <v>80095</v>
      </c>
    </row>
    <row r="17" spans="2:24" s="1" customFormat="1" ht="15" customHeight="1">
      <c r="B17" s="662" t="str">
        <f>IF(Lang="English", "Address",IF(Lang="中文","地址","住所"))</f>
        <v>Address</v>
      </c>
      <c r="C17" s="663"/>
      <c r="D17" s="664"/>
      <c r="E17" s="694" t="str">
        <f>_xll.BDS(TICKER &amp; " EQUITY","COMPANY_ADDRESS","Aggregate=y")</f>
        <v>1 Infinite Loop Cupertino, CA 95014 United States</v>
      </c>
      <c r="F17" s="694"/>
      <c r="G17" s="694"/>
      <c r="H17" s="694"/>
      <c r="I17" s="694"/>
      <c r="J17" s="694"/>
      <c r="K17" s="695"/>
      <c r="L17" s="19"/>
      <c r="M17" s="19"/>
      <c r="N17" s="613" t="str">
        <f>IF(OR(DataH!F13="",LEFT(DataH!F13,1)="#"), "", DataH!F13)</f>
        <v>iPad</v>
      </c>
      <c r="O17" s="614"/>
      <c r="P17" s="614"/>
      <c r="Q17" s="615"/>
      <c r="R17" s="160">
        <f>IF(OR(DataH!G13="",LEFT(DataH!G13,1)="#"), "", DataH!G13)</f>
        <v>30283</v>
      </c>
      <c r="S17" s="154"/>
      <c r="T17" s="613" t="str">
        <f>IF(OR(DataH!H13="",LEFT(DataH!H13,1)="#"), "", DataH!H13)</f>
        <v>Europe</v>
      </c>
      <c r="U17" s="614"/>
      <c r="V17" s="614"/>
      <c r="W17" s="615"/>
      <c r="X17" s="160">
        <f>IF(OR(DataH!I13="",LEFT(DataH!I13,1)="#"), "", DataH!I13)</f>
        <v>44285</v>
      </c>
    </row>
    <row r="18" spans="2:24" s="1" customFormat="1" ht="15" customHeight="1">
      <c r="B18" s="702" t="str">
        <f>IF(Lang="English","Share Price Performance in "&amp;CURRENCY,IF(Lang="中文","股價表現 ("&amp;CURRENCY&amp;")","通貨("&amp;CURRENCY&amp;")"))</f>
        <v>Share Price Performance in USD</v>
      </c>
      <c r="C18" s="703"/>
      <c r="D18" s="703"/>
      <c r="E18" s="703"/>
      <c r="F18" s="703"/>
      <c r="G18" s="703"/>
      <c r="H18" s="703"/>
      <c r="I18" s="703"/>
      <c r="J18" s="703"/>
      <c r="K18" s="704"/>
      <c r="L18" s="25"/>
      <c r="M18" s="25"/>
      <c r="N18" s="616" t="str">
        <f>IF(OR(DataH!F14="",LEFT(DataH!F14,1)="#"), "", DataH!F14)</f>
        <v>Macintosh</v>
      </c>
      <c r="O18" s="617"/>
      <c r="P18" s="617"/>
      <c r="Q18" s="618"/>
      <c r="R18" s="161">
        <f>IF(OR(DataH!G14="",LEFT(DataH!G14,1)="#"), "", DataH!G14)</f>
        <v>24079</v>
      </c>
      <c r="S18" s="154"/>
      <c r="T18" s="616" t="str">
        <f>IF(OR(DataH!H14="",LEFT(DataH!H14,1)="#"), "", DataH!H14)</f>
        <v>Asia-Pacific (Australia &amp; Asia)</v>
      </c>
      <c r="U18" s="617"/>
      <c r="V18" s="617"/>
      <c r="W18" s="618"/>
      <c r="X18" s="161">
        <f>IF(OR(DataH!I14="",LEFT(DataH!I14,1)="#"), "", DataH!I14)</f>
        <v>43101</v>
      </c>
    </row>
    <row r="19" spans="2:24" s="1" customFormat="1" ht="15" customHeight="1">
      <c r="B19" s="679" t="str">
        <f>IF(Lang="English","Price",IF(Lang="中文","價格","価格"))</f>
        <v>Price</v>
      </c>
      <c r="C19" s="666"/>
      <c r="D19" s="666"/>
      <c r="E19" s="666"/>
      <c r="F19" s="715">
        <f>_xll.BDP(TICKER &amp; " EQUITY", "CRNCY_ADJ_PX_LAST", "EQY_FUND_CRNCY", CURRENCY)</f>
        <v>103.12</v>
      </c>
      <c r="G19" s="716"/>
      <c r="H19" s="665" t="str">
        <f>IF(Lang="English","1M Return", IF(Lang="中文","1個月相對表現","1ｶ月間ﾄｰﾀﾙﾘﾀｰﾝ "))</f>
        <v>1M Return</v>
      </c>
      <c r="I19" s="666"/>
      <c r="J19" s="667"/>
      <c r="K19" s="196">
        <f>_xll.BDP(TICKER &amp;" EQUITY", "CUST_TRR_RETURN_HOLDING_PER", "CUST_TRR_START_DT", ControlsH!D23, "CUST_TRR_END_DT", ControlsH!D20, "CUST_TRR_CRNCY", CURRENCY)/100</f>
        <v>-0.16798590000000002</v>
      </c>
      <c r="L19" s="21"/>
      <c r="M19" s="21"/>
      <c r="N19" s="613" t="str">
        <f>IF(OR(DataH!F15="",LEFT(DataH!F15,1)="#"), "", DataH!F15)</f>
        <v>Services</v>
      </c>
      <c r="O19" s="614"/>
      <c r="P19" s="614"/>
      <c r="Q19" s="615"/>
      <c r="R19" s="160">
        <f>IF(OR(DataH!G15="",LEFT(DataH!G15,1)="#"), "", DataH!G15)</f>
        <v>18063</v>
      </c>
      <c r="S19" s="154"/>
      <c r="T19" s="613" t="str">
        <f>IF(OR(DataH!H15="",LEFT(DataH!H15,1)="#"), "", DataH!H15)</f>
        <v>Japan</v>
      </c>
      <c r="U19" s="614"/>
      <c r="V19" s="614"/>
      <c r="W19" s="615"/>
      <c r="X19" s="160">
        <f>IF(OR(DataH!I15="",LEFT(DataH!I15,1)="#"), "", DataH!I15)</f>
        <v>15314</v>
      </c>
    </row>
    <row r="20" spans="2:24" s="1" customFormat="1" ht="15" customHeight="1">
      <c r="B20" s="696" t="str">
        <f>IF(Lang="English","52 Week High",IF(Lang="中文","52週最高","52週高値"))</f>
        <v>52 Week High</v>
      </c>
      <c r="C20" s="636"/>
      <c r="D20" s="636"/>
      <c r="E20" s="636"/>
      <c r="F20" s="668">
        <f>_xll.BDP(TICKER &amp; " EQUITY", "INTERVAL_HIGH", "MARKET_DATA_OVERRIDE", "PX_HIGH", "CALC_INTERVAL", "52W", "CRNCY", CURRENCY)</f>
        <v>134.54</v>
      </c>
      <c r="G20" s="669"/>
      <c r="H20" s="635" t="str">
        <f>IF(Lang="English","6M Return", IF(Lang="中文","6個月相對表現","6ｶ月間ﾄｰﾀﾙﾘﾀｰﾝ "))</f>
        <v>6M Return</v>
      </c>
      <c r="I20" s="636"/>
      <c r="J20" s="637"/>
      <c r="K20" s="102">
        <f>_xll.BDP(TICKER &amp;" EQUITY", "CUST_TRR_RETURN_HOLDING_PER", "CUST_TRR_START_DT", ControlsH!D24, "CUST_TRR_END_DT", ControlsH!D20, "CUST_TRR_CRNCY", CURRENCY)/100</f>
        <v>-0.21301519999999999</v>
      </c>
      <c r="L20" s="22"/>
      <c r="M20" s="22"/>
      <c r="N20" s="616" t="str">
        <f>IF(OR(DataH!F16="",LEFT(DataH!F16,1)="#"), "", DataH!F16)</f>
        <v>Other Products</v>
      </c>
      <c r="O20" s="617"/>
      <c r="P20" s="617"/>
      <c r="Q20" s="618"/>
      <c r="R20" s="161">
        <f>IF(OR(DataH!G16="",LEFT(DataH!G16,1)="#"), "", DataH!G16)</f>
        <v>6093</v>
      </c>
      <c r="S20" s="154"/>
      <c r="T20" s="616" t="str">
        <f>IF(OR(DataH!H16="",LEFT(DataH!H16,1)="#"), "", DataH!H16)</f>
        <v>Retail (U.S., Canada, Japan, U.K.)</v>
      </c>
      <c r="U20" s="617"/>
      <c r="V20" s="617"/>
      <c r="W20" s="618"/>
      <c r="X20" s="161" t="str">
        <f>IF(OR(DataH!I16="",LEFT(DataH!I16,1)="#"), "", DataH!I16)</f>
        <v/>
      </c>
    </row>
    <row r="21" spans="2:24" s="1" customFormat="1" ht="15" customHeight="1">
      <c r="B21" s="745" t="str">
        <f>IF(Lang="English","52 Week Low",IF(Lang="中文","52週最低","52週安値"))</f>
        <v>52 Week Low</v>
      </c>
      <c r="C21" s="645"/>
      <c r="D21" s="645"/>
      <c r="E21" s="645"/>
      <c r="F21" s="708">
        <f>_xll.BDP(TICKER &amp; " EQUITY", "INTERVAL_LOW", "MARKET_DATA_OVERRIDE", "PX_LOW", "CALC_INTERVAL", "52W", "CRNCY", CURRENCY)</f>
        <v>92</v>
      </c>
      <c r="G21" s="709"/>
      <c r="H21" s="607" t="str">
        <f>IF(Lang="English","52 Wk Return", IF(Lang="中文","52周相對表現","52週間ﾄｰﾀﾙﾘﾀｰﾝ "))</f>
        <v>52 Wk Return</v>
      </c>
      <c r="I21" s="645"/>
      <c r="J21" s="646"/>
      <c r="K21" s="103">
        <f>_xll.BDP(TICKER &amp;" EQUITY", "CUST_TRR_RETURN_HOLDING_PER", "CUST_TRR_START_DT", ControlsH!D26, "CUST_TRR_END_DT", ControlsH!D20, "CUST_TRR_CRNCY", CURRENCY)/100</f>
        <v>3.5085749999999999E-2</v>
      </c>
      <c r="L21" s="22"/>
      <c r="M21" s="22"/>
      <c r="N21" s="613" t="str">
        <f>IF(OR(DataH!F17="",LEFT(DataH!F17,1)="#"), "", DataH!F17)</f>
        <v>iPod</v>
      </c>
      <c r="O21" s="614"/>
      <c r="P21" s="614"/>
      <c r="Q21" s="615"/>
      <c r="R21" s="160">
        <f>IF(OR(DataH!G17="",LEFT(DataH!G17,1)="#"), "", DataH!G17)</f>
        <v>2286</v>
      </c>
      <c r="S21" s="154"/>
      <c r="T21" s="613" t="str">
        <f>IF(OR(DataH!H17="",LEFT(DataH!H17,1)="#"), "", DataH!H17)</f>
        <v/>
      </c>
      <c r="U21" s="614"/>
      <c r="V21" s="614"/>
      <c r="W21" s="615"/>
      <c r="X21" s="160" t="str">
        <f>IF(OR(DataH!I17="",LEFT(DataH!I17,1)="#"), "", DataH!I17)</f>
        <v/>
      </c>
    </row>
    <row r="22" spans="2:24" s="1" customFormat="1" ht="15" customHeight="1">
      <c r="B22" s="750" t="str">
        <f>IF(Lang="English","52 Wk Beta",  "52週Beta")</f>
        <v>52 Wk Beta</v>
      </c>
      <c r="C22" s="713"/>
      <c r="D22" s="713"/>
      <c r="E22" s="713"/>
      <c r="F22" s="748">
        <f>_xll.BDP(TICKER &amp; " EQUITY", "BETA_RAW_OVERRIDABLE", "BETA_OVERRIDE_START_DT", ControlsH!D26, "BETA_OVERRIDE_END_DT", ControlsH!D20, "BETA_OVERRIDE_PERIOD", "D", "CRNCY", CURRENCY)</f>
        <v>1.1443847424515703</v>
      </c>
      <c r="G22" s="749"/>
      <c r="H22" s="712" t="str">
        <f>IF(Lang="English","YTD Return", IF(Lang="中文","年至今相對表現","年初来トータルリターン"))</f>
        <v>YTD Return</v>
      </c>
      <c r="I22" s="713"/>
      <c r="J22" s="714"/>
      <c r="K22" s="104">
        <f>_xll.BDP(TICKER &amp;" EQUITY", "CUST_TRR_RETURN_HOLDING_PER", "CUST_TRR_START_DT", ControlsH!D25, "CUST_TRR_END_DT", ControlsH!D20, "CUST_TRR_CRNCY", CURRENCY)/100</f>
        <v>-5.3964679999999994E-2</v>
      </c>
      <c r="L22" s="24"/>
      <c r="M22" s="24"/>
      <c r="N22" s="739" t="str">
        <f>IF(OR(DataH!F18="",LEFT(DataH!F18,1)="#"), "", DataH!F18)</f>
        <v>Software, service, and other sales</v>
      </c>
      <c r="O22" s="740"/>
      <c r="P22" s="740"/>
      <c r="Q22" s="741"/>
      <c r="R22" s="162" t="str">
        <f>IF(OR(DataH!G18="",LEFT(DataH!G18,1)="#"), "", DataH!G18)</f>
        <v/>
      </c>
      <c r="S22" s="154"/>
      <c r="T22" s="739" t="str">
        <f>IF(OR(DataH!H18="",LEFT(DataH!H18,1)="#"), "", DataH!H18)</f>
        <v/>
      </c>
      <c r="U22" s="740"/>
      <c r="V22" s="740"/>
      <c r="W22" s="741"/>
      <c r="X22" s="162" t="str">
        <f>IF(OR(DataH!I18="",LEFT(DataH!I18,1)="#"), "", DataH!I18)</f>
        <v/>
      </c>
    </row>
    <row r="23" spans="2:24" s="1" customFormat="1" ht="5.0999999999999996" customHeight="1">
      <c r="B23" s="70"/>
      <c r="C23" s="70"/>
      <c r="D23" s="105"/>
      <c r="E23" s="106"/>
      <c r="F23" s="107"/>
      <c r="G23" s="70"/>
      <c r="H23" s="70"/>
      <c r="I23" s="105"/>
      <c r="J23" s="105"/>
      <c r="K23" s="108"/>
      <c r="L23" s="26"/>
      <c r="M23" s="26"/>
      <c r="N23" s="619"/>
      <c r="O23" s="620"/>
      <c r="P23" s="621"/>
      <c r="Q23" s="89"/>
      <c r="R23" s="90"/>
      <c r="S23" s="6"/>
      <c r="T23" s="92"/>
      <c r="U23" s="93"/>
      <c r="V23" s="93"/>
      <c r="W23" s="95"/>
      <c r="X23" s="94"/>
    </row>
    <row r="24" spans="2:24" s="1" customFormat="1" ht="15" customHeight="1">
      <c r="B24" s="697" t="str">
        <f>IF(Lang="English","Credit Ratings",IF(Lang="中文","信用評級","格付け"))</f>
        <v>Credit Ratings</v>
      </c>
      <c r="C24" s="698"/>
      <c r="D24" s="698"/>
      <c r="E24" s="698"/>
      <c r="F24" s="698"/>
      <c r="G24" s="698"/>
      <c r="H24" s="698"/>
      <c r="I24" s="698"/>
      <c r="J24" s="698"/>
      <c r="K24" s="699"/>
      <c r="L24" s="23"/>
      <c r="M24" s="23"/>
      <c r="N24" s="642"/>
      <c r="O24" s="643"/>
      <c r="P24" s="644"/>
      <c r="Q24" s="91"/>
      <c r="R24" s="91"/>
      <c r="S24" s="6"/>
      <c r="T24" s="96"/>
      <c r="U24" s="97"/>
      <c r="V24" s="97"/>
      <c r="W24" s="97"/>
      <c r="X24" s="19"/>
    </row>
    <row r="25" spans="2:24" s="6" customFormat="1" ht="15" hidden="1" customHeight="1">
      <c r="B25" s="705"/>
      <c r="C25" s="706"/>
      <c r="D25" s="707"/>
      <c r="E25" s="197"/>
      <c r="F25" s="198"/>
      <c r="G25" s="199"/>
      <c r="H25" s="717"/>
      <c r="I25" s="718"/>
      <c r="J25" s="197"/>
      <c r="K25" s="200"/>
      <c r="L25" s="77"/>
      <c r="M25" s="77"/>
    </row>
    <row r="26" spans="2:24" s="1" customFormat="1" ht="15" customHeight="1">
      <c r="B26" s="659" t="str">
        <f>IF(Lang="English","S&amp;P",IF(Lang="中文","標普","S&amp;P"))</f>
        <v>S&amp;P</v>
      </c>
      <c r="C26" s="660"/>
      <c r="D26" s="661"/>
      <c r="E26" s="109" t="str">
        <f>IF(LEFT(_xll.BDP(TICKER &amp; " EQUITY","RTG_SP_LT_LC_ISSUER_CREDIT"),1)="#","-",_xll.BDP(TICKER &amp; " EQUITY","RTG_SP_LT_LC_ISSUER_CREDIT"))</f>
        <v>AA+</v>
      </c>
      <c r="F26" s="684" t="str">
        <f>IF(Lang="English","Date", IF(Lang="中文","日期","日付"))</f>
        <v>Date</v>
      </c>
      <c r="G26" s="685"/>
      <c r="H26" s="640" t="str">
        <f>IF(LEFT(_xll.BDP(TICKER &amp; " EQUITY","RTG_SP_LT_LC_ISS_CRED_RTG_DT"),1)="#","-",_xll.BDP(TICKER &amp; " EQUITY","RTG_SP_LT_LC_ISS_CRED_RTG_DT"))</f>
        <v>4/23/2013</v>
      </c>
      <c r="I26" s="641"/>
      <c r="J26" s="109" t="str">
        <f>IF(Lang="English","Outlook", IF(Lang="中文","前景展望","見通し"))</f>
        <v>Outlook</v>
      </c>
      <c r="K26" s="110" t="str">
        <f>IF(LEFT(_xll.BDP(TICKER &amp; " EQUITY","RTG_SP_OUTLOOK"),1)="#","-",_xll.BDP(TICKER &amp; " EQUITY","RTG_SP_OUTLOOK"))</f>
        <v>STABLE</v>
      </c>
      <c r="L26" s="23"/>
      <c r="M26" s="23"/>
      <c r="P26" s="17"/>
      <c r="Q26" s="17"/>
    </row>
    <row r="27" spans="2:24" s="1" customFormat="1" ht="15" customHeight="1">
      <c r="B27" s="673" t="str">
        <f>IF(Lang="English","Moody's",IF(Lang="中文","穆迪","ムーディーズ"))</f>
        <v>Moody's</v>
      </c>
      <c r="C27" s="674"/>
      <c r="D27" s="675"/>
      <c r="E27" s="111" t="str">
        <f>IF(LEFT(_xll.BDP(TICKER &amp; " EQUITY","RTG_MDY_SEN_UNSECURED_DEBT"),1)="#","-",_xll.BDP(TICKER &amp; " EQUITY","RTG_MDY_SEN_UNSECURED_DEBT"))</f>
        <v>Aa1</v>
      </c>
      <c r="F27" s="686" t="str">
        <f>IF(Lang="English","Date", IF(Lang="中文","日期","日付"))</f>
        <v>Date</v>
      </c>
      <c r="G27" s="687"/>
      <c r="H27" s="601" t="str">
        <f>IF(LEFT(_xll.BDP(TICKER &amp; " EQUITY","RTG_MDY_ISSUER_RTG_DT"),1)="#","-",_xll.BDP(TICKER &amp; " EQUITY","RTG_MDY_ISSUER_RTG_DT"))</f>
        <v>3/31/2004</v>
      </c>
      <c r="I27" s="602"/>
      <c r="J27" s="111" t="str">
        <f>IF(Lang="English","Outlook", IF(Lang="中文","前景展望","見通し"))</f>
        <v>Outlook</v>
      </c>
      <c r="K27" s="112" t="str">
        <f>IF(LEFT(_xll.BDP(TICKER &amp; " EQUITY","RTG_MDY_OUTLOOK"),1)="#","-",_xll.BDP(TICKER &amp; " EQUITY","RTG_MDY_OUTLOOK"))</f>
        <v>STABLE</v>
      </c>
      <c r="L27" s="22"/>
      <c r="M27" s="22"/>
      <c r="P27" s="2"/>
      <c r="Q27" s="2"/>
    </row>
    <row r="28" spans="2:24" s="1" customFormat="1" ht="15" customHeight="1">
      <c r="B28" s="676" t="str">
        <f>IF(Lang="English","Fitch",IF(Lang="中文","惠譽","フィッチ"))</f>
        <v>Fitch</v>
      </c>
      <c r="C28" s="677"/>
      <c r="D28" s="678"/>
      <c r="E28" s="113" t="str">
        <f>IF(LEFT(_xll.BDP(TICKER &amp; " EQUITY","RTG_FITCH_LT_ISSUER_DEFAULT"),1)="#","-",_xll.BDP(TICKER &amp; " EQUITY","RTG_FITCH_LT_ISSUER_DEFAULT"))</f>
        <v>-</v>
      </c>
      <c r="F28" s="680" t="str">
        <f>IF(Lang="English","Date", IF(Lang="中文","日期","日付"))</f>
        <v>Date</v>
      </c>
      <c r="G28" s="681"/>
      <c r="H28" s="603" t="str">
        <f>IF(LEFT(_xll.BDP(TICKER &amp; " EQUITY","RTG_FITCH_LT_ISSUER_DFLT_RTG_DT"),1)="#","-",_xll.BDP(TICKER &amp; " EQUITY","RTG_FITCH_LT_ISSUER_DFLT_RTG_DT"))</f>
        <v>-</v>
      </c>
      <c r="I28" s="604"/>
      <c r="J28" s="113" t="str">
        <f>IF(Lang="English","Outlook", IF(Lang="中文","前景展望","見通し"))</f>
        <v>Outlook</v>
      </c>
      <c r="K28" s="114" t="str">
        <f>IF(LEFT(_xll.BDP(TICKER &amp; " EQUITY","RTG_FITCH_OUTLOOK"),1)="#","-",_xll.BDP(TICKER &amp; " EQUITY","RTG_FITCH_OUTLOOK"))</f>
        <v>-</v>
      </c>
      <c r="L28" s="17"/>
      <c r="M28" s="17"/>
    </row>
    <row r="29" spans="2:24" s="17" customFormat="1" ht="5.0999999999999996" customHeight="1">
      <c r="B29" s="115"/>
      <c r="C29" s="116"/>
      <c r="D29" s="117"/>
      <c r="E29" s="117"/>
      <c r="F29" s="118"/>
      <c r="G29" s="119"/>
      <c r="H29" s="120"/>
      <c r="I29" s="121"/>
      <c r="J29" s="117"/>
      <c r="K29" s="122"/>
      <c r="L29" s="47"/>
    </row>
    <row r="30" spans="2:24" s="1" customFormat="1" ht="15" customHeight="1">
      <c r="B30" s="722" t="str">
        <f>IF(Lang="English","Valuation Ratios",IF(Lang="中文","估值比率","価格レシオ"))</f>
        <v>Valuation Ratios</v>
      </c>
      <c r="C30" s="723"/>
      <c r="D30" s="201"/>
      <c r="E30" s="671" t="s">
        <v>427</v>
      </c>
      <c r="F30" s="672"/>
      <c r="G30" s="201"/>
      <c r="H30" s="201"/>
      <c r="I30" s="201"/>
      <c r="J30" s="169"/>
      <c r="K30" s="170"/>
      <c r="L30" s="27"/>
    </row>
    <row r="31" spans="2:24" s="1" customFormat="1" ht="15" hidden="1" customHeight="1">
      <c r="B31" s="123"/>
      <c r="C31" s="123"/>
      <c r="D31" s="124"/>
      <c r="E31" s="125" t="str">
        <f>"-3" &amp; DataH!$D$14</f>
        <v>-3FY</v>
      </c>
      <c r="F31" s="125" t="str">
        <f>"-2" &amp; DataH!$D$14</f>
        <v>-2FY</v>
      </c>
      <c r="G31" s="125" t="str">
        <f>"-1" &amp; DataH!$D$14</f>
        <v>-1FY</v>
      </c>
      <c r="H31" s="125" t="str">
        <f>"-0" &amp; DataH!$D$14</f>
        <v>-0FY</v>
      </c>
      <c r="I31" s="125" t="str">
        <f>"1" &amp; DataH!$D$14</f>
        <v>1FY</v>
      </c>
      <c r="J31" s="125" t="str">
        <f>"2" &amp; DataH!$D$14</f>
        <v>2FY</v>
      </c>
      <c r="K31" s="125" t="str">
        <f>"3" &amp; DataH!$D$14</f>
        <v>3FY</v>
      </c>
      <c r="L31" s="27"/>
    </row>
    <row r="32" spans="2:24" s="1" customFormat="1" ht="15" customHeight="1">
      <c r="B32" s="742"/>
      <c r="C32" s="743"/>
      <c r="D32" s="744"/>
      <c r="E32" s="464" t="str">
        <f>MONTH(_xll.BDP(TICKER &amp; " EQUITY", "BEST_PERIOD_END_DATE", "BEST_FPERIOD_OVERRIDE", E$31)) &amp; "/" &amp; RIGHT(YEAR(_xll.BDP(TICKER &amp; " EQUITY", "BEST_PERIOD_END_DATE", "BEST_FPERIOD_OVERRIDE", E$31)), 2)</f>
        <v>9/11</v>
      </c>
      <c r="F32" s="464" t="str">
        <f>MONTH(_xll.BDP(TICKER &amp; " EQUITY", "BEST_PERIOD_END_DATE", "BEST_FPERIOD_OVERRIDE", F$31)) &amp; "/" &amp; RIGHT(YEAR(_xll.BDP(TICKER &amp; " EQUITY", "BEST_PERIOD_END_DATE", "BEST_FPERIOD_OVERRIDE", F$31)), 2)</f>
        <v>9/12</v>
      </c>
      <c r="G32" s="464" t="str">
        <f>MONTH(_xll.BDP(TICKER &amp; " EQUITY", "BEST_PERIOD_END_DATE", "BEST_FPERIOD_OVERRIDE", G$31)) &amp; "/" &amp; RIGHT(YEAR(_xll.BDP(TICKER &amp; " EQUITY", "BEST_PERIOD_END_DATE", "BEST_FPERIOD_OVERRIDE", G$31)), 2)</f>
        <v>9/13</v>
      </c>
      <c r="H32" s="464" t="str">
        <f>MONTH(_xll.BDP(TICKER &amp; " EQUITY", "BEST_PERIOD_END_DATE", "BEST_FPERIOD_OVERRIDE", H$31)) &amp; "/" &amp; RIGHT(YEAR(_xll.BDP(TICKER &amp; " EQUITY", "BEST_PERIOD_END_DATE", "BEST_FPERIOD_OVERRIDE", H$31)), 2)</f>
        <v>9/14</v>
      </c>
      <c r="I32" s="464" t="str">
        <f>MONTH(_xll.BDP(TICKER &amp; " EQUITY", "BEST_PERIOD_END_DATE", "BEST_FPERIOD_OVERRIDE", I$31)) &amp; "/" &amp; RIGHT(YEAR(_xll.BDP(TICKER &amp; " EQUITY", "BEST_PERIOD_END_DATE", "BEST_FPERIOD_OVERRIDE", I$31)), 2) &amp; "E"</f>
        <v>9/15E</v>
      </c>
      <c r="J32" s="464" t="str">
        <f>MONTH(_xll.BDP(TICKER &amp; " EQUITY", "BEST_PERIOD_END_DATE", "BEST_FPERIOD_OVERRIDE", J$31)) &amp; "/" &amp; RIGHT(YEAR(_xll.BDP(TICKER &amp; " EQUITY", "BEST_PERIOD_END_DATE", "BEST_FPERIOD_OVERRIDE", J$31)), 2) &amp; "E"</f>
        <v>9/16E</v>
      </c>
      <c r="K32" s="465" t="str">
        <f>MONTH(_xll.BDP(TICKER &amp; " EQUITY", "BEST_PERIOD_END_DATE", "BEST_FPERIOD_OVERRIDE", K$31)) &amp; "/" &amp; RIGHT(YEAR(_xll.BDP(TICKER &amp; " EQUITY", "BEST_PERIOD_END_DATE", "BEST_FPERIOD_OVERRIDE", K$31)), 2) &amp; "E"</f>
        <v>9/17E</v>
      </c>
      <c r="L32" s="27"/>
    </row>
    <row r="33" spans="2:23" s="1" customFormat="1" ht="15" customHeight="1">
      <c r="B33" s="670" t="str">
        <f>IF(Lang="English","P/E",IF(Lang="中文","市盈率","P/E"))</f>
        <v>P/E</v>
      </c>
      <c r="C33" s="635"/>
      <c r="D33" s="126" t="s">
        <v>396</v>
      </c>
      <c r="E33" s="127">
        <f>_xll.BDP(TICKER&amp;" EQUITY",$D33, "EQY_FUND_RELATIVE_PERIOD", E$31, "EQY_CONSOLIDATED", DataH!$D$18, "Fill=-")</f>
        <v>14.60621387283237</v>
      </c>
      <c r="F33" s="127">
        <f>_xll.BDP(TICKER&amp;" EQUITY",$D33, "EQY_FUND_RELATIVE_PERIOD", F$31, "EQY_CONSOLIDATED", DataH!$D$18, "Fill=-")</f>
        <v>15.109966024915064</v>
      </c>
      <c r="G33" s="127">
        <f>_xll.BDP(TICKER&amp;" EQUITY",$D33, "EQY_FUND_RELATIVE_PERIOD", G$31, "EQY_CONSOLIDATED", DataH!$D$18, "Fill=-")</f>
        <v>12.144654088050315</v>
      </c>
      <c r="H33" s="127">
        <f>_xll.BDP(TICKER&amp;" EQUITY",$D33, "EQY_FUND_RELATIVE_PERIOD", H$31, "EQY_CONSOLIDATED", DataH!$D$18, "Fill=-")</f>
        <v>15.620155038759689</v>
      </c>
      <c r="I33" s="127">
        <f>_xll.BDP(TICKER&amp;" EQUITY",$L33, "BEST_FPERIOD_OVERRIDE", I$31, "BEST_CONSOLIDATED_OVERRIDE", DataH!$D$19, "Fill=-")</f>
        <v>11.293396123097143</v>
      </c>
      <c r="J33" s="127">
        <f>_xll.BDP(TICKER&amp;" EQUITY",$L33, "BEST_FPERIOD_OVERRIDE", J$31, "BEST_CONSOLIDATED_OVERRIDE", DataH!$D$19, "Fill=-")</f>
        <v>10.567739290838286</v>
      </c>
      <c r="K33" s="128">
        <f>_xll.BDP(TICKER&amp;" EQUITY",$L33, "BEST_FPERIOD_OVERRIDE", K$31, "BEST_CONSOLIDATED_OVERRIDE", DataH!$D$19, "Fill=-")</f>
        <v>9.6032780778543501</v>
      </c>
      <c r="L33" s="27" t="s">
        <v>390</v>
      </c>
    </row>
    <row r="34" spans="2:23" s="1" customFormat="1" ht="15" customHeight="1">
      <c r="B34" s="605" t="s">
        <v>386</v>
      </c>
      <c r="C34" s="607"/>
      <c r="D34" s="129" t="s">
        <v>428</v>
      </c>
      <c r="E34" s="130">
        <f>_xll.BDP(TICKER&amp;" EQUITY",$D34, "EQY_FUND_RELATIVE_PERIOD", E$31, "EQY_CONSOLIDATED", DataH!$D$18, "Fill=-")</f>
        <v>8.7048443651968057</v>
      </c>
      <c r="F34" s="130">
        <f>_xll.BDP(TICKER&amp;" EQUITY",$D34, "EQY_FUND_RELATIVE_PERIOD", F$31, "EQY_CONSOLIDATED", DataH!$D$18, "Fill=-")</f>
        <v>9.1471796824822142</v>
      </c>
      <c r="G34" s="130">
        <f>_xll.BDP(TICKER&amp;" EQUITY",$D34, "EQY_FUND_RELATIVE_PERIOD", G$31, "EQY_CONSOLIDATED", DataH!$D$18, "Fill=-")</f>
        <v>6.2102099175493368</v>
      </c>
      <c r="H34" s="130">
        <f>_xll.BDP(TICKER&amp;" EQUITY",$D34, "EQY_FUND_RELATIVE_PERIOD", H$31, "EQY_CONSOLIDATED", DataH!$D$18, "Fill=-")</f>
        <v>8.9722819791250021</v>
      </c>
      <c r="I34" s="130">
        <f>_xll.BDP(TICKER&amp;" EQUITY",$L34, "BEST_FPERIOD_OVERRIDE", I$31, "BEST_CONSOLIDATED_OVERRIDE", DataH!$D$19, "Fill=-")</f>
        <v>6.1913170335504732</v>
      </c>
      <c r="J34" s="130">
        <f>_xll.BDP(TICKER&amp;" EQUITY",$L34, "BEST_FPERIOD_OVERRIDE", J$31, "BEST_CONSOLIDATED_OVERRIDE", DataH!$D$19, "Fill=-")</f>
        <v>6.1077452810519928</v>
      </c>
      <c r="K34" s="131">
        <f>_xll.BDP(TICKER&amp;" EQUITY",$L34, "BEST_FPERIOD_OVERRIDE", K$31, "BEST_CONSOLIDATED_OVERRIDE", DataH!$D$19, "Fill=-")</f>
        <v>5.8610491308600743</v>
      </c>
      <c r="L34" s="27" t="s">
        <v>645</v>
      </c>
    </row>
    <row r="35" spans="2:23" s="1" customFormat="1" ht="15" customHeight="1">
      <c r="B35" s="670" t="s">
        <v>387</v>
      </c>
      <c r="C35" s="635"/>
      <c r="D35" s="126" t="s">
        <v>429</v>
      </c>
      <c r="E35" s="127">
        <f>_xll.BDP(TICKER&amp;" EQUITY",$D35, "EQY_FUND_RELATIVE_PERIOD", E$31, "EQY_CONSOLIDATED", DataH!$D$18, "Fill=-")</f>
        <v>8.2613383636670044</v>
      </c>
      <c r="F35" s="127">
        <f>_xll.BDP(TICKER&amp;" EQUITY",$D35, "EQY_FUND_RELATIVE_PERIOD", F$31, "EQY_CONSOLIDATED", DataH!$D$18, "Fill=-")</f>
        <v>8.6349388707748034</v>
      </c>
      <c r="G35" s="127">
        <f>_xll.BDP(TICKER&amp;" EQUITY",$D35, "EQY_FUND_RELATIVE_PERIOD", G$31, "EQY_CONSOLIDATED", DataH!$D$18, "Fill=-")</f>
        <v>5.457602334277925</v>
      </c>
      <c r="H35" s="127">
        <f>_xll.BDP(TICKER&amp;" EQUITY",$D35, "EQY_FUND_RELATIVE_PERIOD", H$31, "EQY_CONSOLIDATED", DataH!$D$18, "Fill=-")</f>
        <v>7.792878637363728</v>
      </c>
      <c r="I35" s="127">
        <f>_xll.BDP(TICKER&amp;" EQUITY",$L35, "BEST_FPERIOD_OVERRIDE", I$31, "BEST_CONSOLIDATED_OVERRIDE", DataH!$D$19, "Fill=-")</f>
        <v>5.4007775424890392</v>
      </c>
      <c r="J35" s="127">
        <f>_xll.BDP(TICKER&amp;" EQUITY",$L35, "BEST_FPERIOD_OVERRIDE", J$31, "BEST_CONSOLIDATED_OVERRIDE", DataH!$D$19, "Fill=-")</f>
        <v>5.1642071604116619</v>
      </c>
      <c r="K35" s="128">
        <f>_xll.BDP(TICKER&amp;" EQUITY",$L35, "BEST_FPERIOD_OVERRIDE", K$31, "BEST_CONSOLIDATED_OVERRIDE", DataH!$D$19, "Fill=-")</f>
        <v>5.0119001346665168</v>
      </c>
      <c r="L35" s="27" t="s">
        <v>628</v>
      </c>
    </row>
    <row r="36" spans="2:23" s="1" customFormat="1" ht="15" customHeight="1">
      <c r="B36" s="605" t="s">
        <v>388</v>
      </c>
      <c r="C36" s="607"/>
      <c r="D36" s="129" t="s">
        <v>397</v>
      </c>
      <c r="E36" s="130">
        <f>_xll.BDP(TICKER&amp;" EQUITY",$D36, "EQY_FUND_RELATIVE_PERIOD", E$31, "EQY_CONSOLIDATED", DataH!$D$18, "Fill=-")</f>
        <v>3.4520181193359756</v>
      </c>
      <c r="F36" s="130">
        <f>_xll.BDP(TICKER&amp;" EQUITY",$D36, "EQY_FUND_RELATIVE_PERIOD", F$31, "EQY_CONSOLIDATED", DataH!$D$18, "Fill=-")</f>
        <v>3.9845999047333045</v>
      </c>
      <c r="G36" s="130">
        <f>_xll.BDP(TICKER&amp;" EQUITY",$D36, "EQY_FUND_RELATIVE_PERIOD", G$31, "EQY_CONSOLIDATED", DataH!$D$18, "Fill=-")</f>
        <v>2.6136770244573166</v>
      </c>
      <c r="H36" s="130">
        <f>_xll.BDP(TICKER&amp;" EQUITY",$D36, "EQY_FUND_RELATIVE_PERIOD", H$31, "EQY_CONSOLIDATED", DataH!$D$18, "Fill=-")</f>
        <v>3.3541474274460463</v>
      </c>
      <c r="I36" s="130">
        <f>_xll.BDP(TICKER&amp;" EQUITY",$L36, "BEST_FPERIOD_OVERRIDE", I$31, "BEST_CONSOLIDATED_OVERRIDE", DataH!$D$19, "Fill=-")</f>
        <v>2.5202454394157883</v>
      </c>
      <c r="J36" s="130">
        <f>_xll.BDP(TICKER&amp;" EQUITY",$L36, "BEST_FPERIOD_OVERRIDE", J$31, "BEST_CONSOLIDATED_OVERRIDE", DataH!$D$19, "Fill=-")</f>
        <v>2.3938432768532594</v>
      </c>
      <c r="K36" s="131">
        <f>_xll.BDP(TICKER&amp;" EQUITY",$L36, "BEST_FPERIOD_OVERRIDE", K$31, "BEST_CONSOLIDATED_OVERRIDE", DataH!$D$19, "Fill=-")</f>
        <v>2.2834608371302694</v>
      </c>
      <c r="L36" s="27" t="s">
        <v>393</v>
      </c>
    </row>
    <row r="37" spans="2:23" s="1" customFormat="1" ht="15" customHeight="1">
      <c r="B37" s="670" t="s">
        <v>389</v>
      </c>
      <c r="C37" s="635"/>
      <c r="D37" s="126" t="s">
        <v>398</v>
      </c>
      <c r="E37" s="127">
        <f>_xll.BDP(TICKER&amp;" EQUITY",$D37, "EQY_FUND_RELATIVE_PERIOD", E$31, "EQY_CONSOLIDATED", DataH!$D$18, "Fill=-")</f>
        <v>4.9038268106767609</v>
      </c>
      <c r="F37" s="127">
        <f>_xll.BDP(TICKER&amp;" EQUITY",$D37, "EQY_FUND_RELATIVE_PERIOD", F$31, "EQY_CONSOLIDATED", DataH!$D$18, "Fill=-")</f>
        <v>5.300315987141528</v>
      </c>
      <c r="G37" s="127">
        <f>_xll.BDP(TICKER&amp;" EQUITY",$D37, "EQY_FUND_RELATIVE_PERIOD", G$31, "EQY_CONSOLIDATED", DataH!$D$18, "Fill=-")</f>
        <v>3.513545846182486</v>
      </c>
      <c r="H37" s="127">
        <f>_xll.BDP(TICKER&amp;" EQUITY",$D37, "EQY_FUND_RELATIVE_PERIOD", H$31, "EQY_CONSOLIDATED", DataH!$D$18, "Fill=-")</f>
        <v>5.2983560360206905</v>
      </c>
      <c r="I37" s="127">
        <f>_xll.BDP(TICKER&amp;" EQUITY",$L37, "BEST_FPERIOD_OVERRIDE", I$31, "BEST_CONSOLIDATED_OVERRIDE", DataH!$D$19, "Fill=-")</f>
        <v>4.5447333627148527</v>
      </c>
      <c r="J37" s="127">
        <f>_xll.BDP(TICKER&amp;" EQUITY",$L37, "BEST_FPERIOD_OVERRIDE", J$31, "BEST_CONSOLIDATED_OVERRIDE", DataH!$D$19, "Fill=-")</f>
        <v>3.7261065943992775</v>
      </c>
      <c r="K37" s="128">
        <f>_xll.BDP(TICKER&amp;" EQUITY",$L37, "BEST_FPERIOD_OVERRIDE", K$31, "BEST_CONSOLIDATED_OVERRIDE", DataH!$D$19, "Fill=-")</f>
        <v>3.0791280979396833</v>
      </c>
      <c r="L37" s="1" t="s">
        <v>394</v>
      </c>
    </row>
    <row r="38" spans="2:23" s="1" customFormat="1" ht="15" customHeight="1">
      <c r="B38" s="746" t="str">
        <f>IF(Lang="English","Div Yield",IF(Lang="中文","股利率","配当利回り"))</f>
        <v>Div Yield</v>
      </c>
      <c r="C38" s="747"/>
      <c r="D38" s="132" t="s">
        <v>399</v>
      </c>
      <c r="E38" s="133">
        <f>IF(ISERROR(_xll.BDP(TICKER&amp;" EQUITY",$D38, "EQY_FUND_RELATIVE_PERIOD", E$31, "EQY_CONSOLIDATED", DataH!$D$18)/100), "-", _xll.BDP(TICKER&amp;" EQUITY",$D38, "EQY_FUND_RELATIVE_PERIOD", E$31, "EQY_CONSOLIDATED", DataH!$D$18)/100)</f>
        <v>0</v>
      </c>
      <c r="F38" s="133">
        <f>IF(ISERROR(_xll.BDP(TICKER&amp;" EQUITY",$D38, "EQY_FUND_RELATIVE_PERIOD", F$31, "EQY_CONSOLIDATED", DataH!$D$18)/100), "-", _xll.BDP(TICKER&amp;" EQUITY",$D38, "EQY_FUND_RELATIVE_PERIOD", F$31, "EQY_CONSOLIDATED", DataH!$D$18)/100)</f>
        <v>3.9723881547882268E-3</v>
      </c>
      <c r="G38" s="133">
        <f>IF(ISERROR(_xll.BDP(TICKER&amp;" EQUITY",$D38, "EQY_FUND_RELATIVE_PERIOD", G$31, "EQY_CONSOLIDATED", DataH!$D$18)/100), "-", _xll.BDP(TICKER&amp;" EQUITY",$D38, "EQY_FUND_RELATIVE_PERIOD", G$31, "EQY_CONSOLIDATED", DataH!$D$18)/100)</f>
        <v>2.3614707405489384E-2</v>
      </c>
      <c r="H38" s="133">
        <f>IF(ISERROR(_xll.BDP(TICKER&amp;" EQUITY",$D38, "EQY_FUND_RELATIVE_PERIOD", H$31, "EQY_CONSOLIDATED", DataH!$D$18)/100), "-", _xll.BDP(TICKER&amp;" EQUITY",$D38, "EQY_FUND_RELATIVE_PERIOD", H$31, "EQY_CONSOLIDATED", DataH!$D$18)/100)</f>
        <v>1.806451612903226E-2</v>
      </c>
      <c r="I38" s="133">
        <f>IF(ISERROR(_xll.BDP(TICKER&amp;" EQUITY",$L38, "BEST_FPERIOD_OVERRIDE", I$31)/100), "-", _xll.BDP(TICKER&amp;" EQUITY",$L38, "BEST_FPERIOD_OVERRIDE", I$31)/100)</f>
        <v>1.9230023273855704E-2</v>
      </c>
      <c r="J38" s="133">
        <f>IF(ISERROR(_xll.BDP(TICKER&amp;" EQUITY",$L38, "BEST_FPERIOD_OVERRIDE", J$31)/100), "-", _xll.BDP(TICKER&amp;" EQUITY",$L38, "BEST_FPERIOD_OVERRIDE", J$31)/100)</f>
        <v>2.0956167571761056E-2</v>
      </c>
      <c r="K38" s="134">
        <f>IF(ISERROR(_xll.BDP(TICKER&amp;" EQUITY",$L38, "BEST_FPERIOD_OVERRIDE", K$31)/100), "-", _xll.BDP(TICKER&amp;" EQUITY",$L38, "BEST_FPERIOD_OVERRIDE", K$31)/100)</f>
        <v>2.2934445306439101E-2</v>
      </c>
      <c r="L38" s="1" t="s">
        <v>395</v>
      </c>
    </row>
    <row r="39" spans="2:23" s="6" customFormat="1" ht="5.0999999999999996" customHeight="1">
      <c r="B39" s="115"/>
      <c r="C39" s="121"/>
      <c r="D39" s="135"/>
      <c r="E39" s="136"/>
      <c r="F39" s="120"/>
      <c r="G39" s="120"/>
      <c r="H39" s="137"/>
      <c r="I39" s="137"/>
      <c r="J39" s="137"/>
      <c r="K39" s="138"/>
    </row>
    <row r="40" spans="2:23" s="1" customFormat="1" ht="15" customHeight="1">
      <c r="B40" s="697" t="str">
        <f>IF(Lang="English","Profitability Ratios %",IF(Lang="中文", "獲利比率 %","利益率％"))</f>
        <v>Profitability Ratios %</v>
      </c>
      <c r="C40" s="698"/>
      <c r="D40" s="698"/>
      <c r="E40" s="698"/>
      <c r="F40" s="698"/>
      <c r="G40" s="698"/>
      <c r="H40" s="698"/>
      <c r="I40" s="698"/>
      <c r="J40" s="698"/>
      <c r="K40" s="699"/>
    </row>
    <row r="41" spans="2:23" s="1" customFormat="1" ht="15" customHeight="1">
      <c r="B41" s="737"/>
      <c r="C41" s="738"/>
      <c r="D41" s="202"/>
      <c r="E41" s="466" t="str">
        <f>E$32</f>
        <v>9/11</v>
      </c>
      <c r="F41" s="466" t="str">
        <f t="shared" ref="F41:K41" si="0">F$32</f>
        <v>9/12</v>
      </c>
      <c r="G41" s="466" t="str">
        <f t="shared" si="0"/>
        <v>9/13</v>
      </c>
      <c r="H41" s="466" t="str">
        <f t="shared" si="0"/>
        <v>9/14</v>
      </c>
      <c r="I41" s="466" t="str">
        <f t="shared" si="0"/>
        <v>9/15E</v>
      </c>
      <c r="J41" s="466" t="str">
        <f t="shared" si="0"/>
        <v>9/16E</v>
      </c>
      <c r="K41" s="467" t="str">
        <f t="shared" si="0"/>
        <v>9/17E</v>
      </c>
    </row>
    <row r="42" spans="2:23" s="1" customFormat="1" ht="15" customHeight="1">
      <c r="B42" s="670" t="str">
        <f>IF(Lang="English","Gross Margin", IF(Lang="中文","毛利率","売上総利益率"))</f>
        <v>Gross Margin</v>
      </c>
      <c r="C42" s="635"/>
      <c r="D42" s="126" t="s">
        <v>402</v>
      </c>
      <c r="E42" s="139">
        <f>_xll.BDP(TICKER&amp;" EQUITY",$D42, "EQY_FUND_RELATIVE_PERIOD", E$31, "EQY_CONSOLIDATED", DataH!$D$18, "Fill=-")</f>
        <v>40.478895878945764</v>
      </c>
      <c r="F42" s="139">
        <f>_xll.BDP(TICKER&amp;" EQUITY",$D42, "EQY_FUND_RELATIVE_PERIOD", F$31, "EQY_CONSOLIDATED", DataH!$D$18, "Fill=-")</f>
        <v>43.871239808827667</v>
      </c>
      <c r="G42" s="139">
        <f>_xll.BDP(TICKER&amp;" EQUITY",$D42, "EQY_FUND_RELATIVE_PERIOD", G$31, "EQY_CONSOLIDATED", DataH!$D$18, "Fill=-")</f>
        <v>37.624480720847231</v>
      </c>
      <c r="H42" s="139">
        <f>_xll.BDP(TICKER&amp;" EQUITY",$D42, "EQY_FUND_RELATIVE_PERIOD", H$31, "EQY_CONSOLIDATED", DataH!$D$18, "Fill=-")</f>
        <v>38.588035777783858</v>
      </c>
      <c r="I42" s="139">
        <f>_xll.BDP(TICKER&amp;" EQUITY",$L42, "BEST_FPERIOD_OVERRIDE", I$31, "BEST_CONSOLIDATED_OVERRIDE", DataH!$D$19, "Fill=-")</f>
        <v>39.975999999999999</v>
      </c>
      <c r="J42" s="139">
        <f>_xll.BDP(TICKER&amp;" EQUITY",$L42, "BEST_FPERIOD_OVERRIDE", J$31, "BEST_CONSOLIDATED_OVERRIDE", DataH!$D$19, "Fill=-")</f>
        <v>39.657000000000004</v>
      </c>
      <c r="K42" s="140">
        <f>_xll.BDP(TICKER&amp;" EQUITY",$L42, "BEST_FPERIOD_OVERRIDE", K$31, "BEST_CONSOLIDATED_OVERRIDE", DataH!$D$19, "Fill=-")</f>
        <v>39.795000000000002</v>
      </c>
      <c r="L42" s="1" t="s">
        <v>408</v>
      </c>
    </row>
    <row r="43" spans="2:23" s="1" customFormat="1" ht="15" customHeight="1">
      <c r="B43" s="605" t="str">
        <f>IF(Lang="English","EBITDA Margin", IF(Lang="中文","EBITDA獲利率","EBITDA　利益率"))</f>
        <v>EBITDA Margin</v>
      </c>
      <c r="C43" s="607"/>
      <c r="D43" s="129" t="s">
        <v>403</v>
      </c>
      <c r="E43" s="141">
        <f>_xll.BDP(TICKER&amp;" EQUITY",$D43, "EQY_FUND_RELATIVE_PERIOD", E$31, "EQY_CONSOLIDATED", DataH!$D$18, "Fill=-")</f>
        <v>32.890835019261146</v>
      </c>
      <c r="F43" s="141">
        <f>_xll.BDP(TICKER&amp;" EQUITY",$D43, "EQY_FUND_RELATIVE_PERIOD", F$31, "EQY_CONSOLIDATED", DataH!$D$18, "Fill=-")</f>
        <v>37.38978199197485</v>
      </c>
      <c r="G43" s="141">
        <f>_xll.BDP(TICKER&amp;" EQUITY",$D43, "EQY_FUND_RELATIVE_PERIOD", G$31, "EQY_CONSOLIDATED", DataH!$D$18, "Fill=-")</f>
        <v>32.62301796267041</v>
      </c>
      <c r="H43" s="141">
        <f>_xll.BDP(TICKER&amp;" EQUITY",$D43, "EQY_FUND_RELATIVE_PERIOD", H$31, "EQY_CONSOLIDATED", DataH!$D$18, "Fill=-")</f>
        <v>33.069285264914249</v>
      </c>
      <c r="I43" s="141">
        <f>IF(ISERROR(_xll.BDP(TICKER&amp;" EQUITY","BEST_EBITDA", "BEST_FPERIOD_OVERRIDE", I$31, "BEST_CONSOLIDATED_OVERRIDE", DataH!$D$19)/_xll.BDP(TICKER&amp;" EQUITY","BEST_SALES", "BEST_FPERIOD_OVERRIDE", I$31, "BEST_CONSOLIDATED_OVERRIDE", DataH!$D$19)*100), "-", _xll.BDP(TICKER&amp;" EQUITY","BEST_EBITDA", "BEST_FPERIOD_OVERRIDE", I$31, "BEST_CONSOLIDATED_OVERRIDE", DataH!$D$19)/_xll.BDP(TICKER&amp;" EQUITY","BEST_SALES", "BEST_FPERIOD_OVERRIDE", I$31, "BEST_CONSOLIDATED_OVERRIDE", DataH!$D$19)*100)</f>
        <v>34.886178586914042</v>
      </c>
      <c r="J43" s="141">
        <f>IF(ISERROR(_xll.BDP(TICKER&amp;" EQUITY","BEST_EBITDA", "BEST_FPERIOD_OVERRIDE", J$31, "BEST_CONSOLIDATED_OVERRIDE", DataH!$D$19)/_xll.BDP(TICKER&amp;" EQUITY","BEST_SALES", "BEST_FPERIOD_OVERRIDE", J$31, "BEST_CONSOLIDATED_OVERRIDE", DataH!$D$19)*100), "-", _xll.BDP(TICKER&amp;" EQUITY","BEST_EBITDA", "BEST_FPERIOD_OVERRIDE", J$31, "BEST_CONSOLIDATED_OVERRIDE", DataH!$D$19)/_xll.BDP(TICKER&amp;" EQUITY","BEST_SALES", "BEST_FPERIOD_OVERRIDE", J$31, "BEST_CONSOLIDATED_OVERRIDE", DataH!$D$19)*100)</f>
        <v>34.654441959228215</v>
      </c>
      <c r="K43" s="142">
        <f>IF(ISERROR(_xll.BDP(TICKER&amp;" EQUITY","BEST_EBITDA", "BEST_FPERIOD_OVERRIDE", K$31, "BEST_CONSOLIDATED_OVERRIDE", DataH!$D$19)/_xll.BDP(TICKER&amp;" EQUITY","BEST_SALES", "BEST_FPERIOD_OVERRIDE", K$31, "BEST_CONSOLIDATED_OVERRIDE", DataH!$D$19)*100), "-", _xll.BDP(TICKER&amp;" EQUITY","BEST_EBITDA", "BEST_FPERIOD_OVERRIDE", K$31, "BEST_CONSOLIDATED_OVERRIDE", DataH!$D$19)/_xll.BDP(TICKER&amp;" EQUITY","BEST_SALES", "BEST_FPERIOD_OVERRIDE", K$31, "BEST_CONSOLIDATED_OVERRIDE", DataH!$D$19)*100)</f>
        <v>34.061048288330547</v>
      </c>
    </row>
    <row r="44" spans="2:23" s="1" customFormat="1" ht="15" customHeight="1">
      <c r="B44" s="670" t="str">
        <f>IF(Lang="English","Operating Margin", IF(Lang="中文","營利率","営業利益率"))</f>
        <v>Operating Margin</v>
      </c>
      <c r="C44" s="635"/>
      <c r="D44" s="126" t="s">
        <v>404</v>
      </c>
      <c r="E44" s="139">
        <f>_xll.BDP(TICKER&amp;" EQUITY",$D44, "EQY_FUND_RELATIVE_PERIOD", E$31, "EQY_CONSOLIDATED", DataH!$D$18, "Fill=-")</f>
        <v>31.215068961376087</v>
      </c>
      <c r="F44" s="139">
        <f>_xll.BDP(TICKER&amp;" EQUITY",$D44, "EQY_FUND_RELATIVE_PERIOD", F$31, "EQY_CONSOLIDATED", DataH!$D$18, "Fill=-")</f>
        <v>35.295959311984056</v>
      </c>
      <c r="G44" s="139">
        <f>_xll.BDP(TICKER&amp;" EQUITY",$D44, "EQY_FUND_RELATIVE_PERIOD", G$31, "EQY_CONSOLIDATED", DataH!$D$18, "Fill=-")</f>
        <v>28.669475162366158</v>
      </c>
      <c r="H44" s="139">
        <f>_xll.BDP(TICKER&amp;" EQUITY",$D44, "EQY_FUND_RELATIVE_PERIOD", H$31, "EQY_CONSOLIDATED", DataH!$D$18, "Fill=-")</f>
        <v>28.722339232473537</v>
      </c>
      <c r="I44" s="139">
        <f>IF(ISERROR(_xll.BDP(TICKER&amp;" EQUITY",$L44, "BEST_FPERIOD_OVERRIDE", I$31, "BEST_CONSOLIDATED_OVERRIDE", DataH!$D$19)*100), "-", _xll.BDP(TICKER&amp;" EQUITY",$L44, "BEST_FPERIOD_OVERRIDE", I$31, "BEST_CONSOLIDATED_OVERRIDE", DataH!$D$19)*100)</f>
        <v>30.335854031511317</v>
      </c>
      <c r="J44" s="139">
        <f>IF(ISERROR(_xll.BDP(TICKER&amp;" EQUITY",$L44, "BEST_FPERIOD_OVERRIDE", J$31, "BEST_CONSOLIDATED_OVERRIDE", DataH!$D$19)*100), "-", _xll.BDP(TICKER&amp;" EQUITY",$L44, "BEST_FPERIOD_OVERRIDE", J$31, "BEST_CONSOLIDATED_OVERRIDE", DataH!$D$19)*100)</f>
        <v>29.726500113125148</v>
      </c>
      <c r="K44" s="140">
        <f>IF(ISERROR(_xll.BDP(TICKER&amp;" EQUITY",$L44, "BEST_FPERIOD_OVERRIDE", K$31, "BEST_CONSOLIDATED_OVERRIDE", DataH!$D$19)*100), "-", _xll.BDP(TICKER&amp;" EQUITY",$L44, "BEST_FPERIOD_OVERRIDE", K$31, "BEST_CONSOLIDATED_OVERRIDE", DataH!$D$19)*100)</f>
        <v>30.652089330965214</v>
      </c>
      <c r="L44" s="1" t="s">
        <v>409</v>
      </c>
    </row>
    <row r="45" spans="2:23" s="1" customFormat="1" ht="15" customHeight="1">
      <c r="B45" s="605" t="str">
        <f>IF(Lang="English","Profit Margin", IF(Lang="中文","獲利率","利益率"))</f>
        <v>Profit Margin</v>
      </c>
      <c r="C45" s="607"/>
      <c r="D45" s="129" t="s">
        <v>405</v>
      </c>
      <c r="E45" s="141">
        <f>_xll.BDP(TICKER&amp;" EQUITY",$D45, "EQY_FUND_RELATIVE_PERIOD", E$31, "EQY_CONSOLIDATED", DataH!$D$18, "Fill=-")</f>
        <v>23.946641539413761</v>
      </c>
      <c r="F45" s="141">
        <f>_xll.BDP(TICKER&amp;" EQUITY",$D45, "EQY_FUND_RELATIVE_PERIOD", F$31, "EQY_CONSOLIDATED", DataH!$D$18, "Fill=-")</f>
        <v>26.665090602397324</v>
      </c>
      <c r="G45" s="141">
        <f>_xll.BDP(TICKER&amp;" EQUITY",$D45, "EQY_FUND_RELATIVE_PERIOD", G$31, "EQY_CONSOLIDATED", DataH!$D$18, "Fill=-")</f>
        <v>21.670469837926394</v>
      </c>
      <c r="H45" s="141">
        <f>_xll.BDP(TICKER&amp;" EQUITY",$D45, "EQY_FUND_RELATIVE_PERIOD", H$31, "EQY_CONSOLIDATED", DataH!$D$18, "Fill=-")</f>
        <v>21.614376760852323</v>
      </c>
      <c r="I45" s="141">
        <f>IF(ISERROR(_xll.BDP(TICKER&amp;" EQUITY",$L45, "BEST_FPERIOD_OVERRIDE", I$31, "BEST_CONSOLIDATED_OVERRIDE", DataH!$D$19)*100), "-", _xll.BDP(TICKER&amp;" EQUITY",$L45, "BEST_FPERIOD_OVERRIDE", I$31, "BEST_CONSOLIDATED_OVERRIDE", DataH!$D$19)*100)</f>
        <v>22.773483929603593</v>
      </c>
      <c r="J45" s="141">
        <f>IF(ISERROR(_xll.BDP(TICKER&amp;" EQUITY",$L45, "BEST_FPERIOD_OVERRIDE", J$31, "BEST_CONSOLIDATED_OVERRIDE", DataH!$D$19)*100), "-", _xll.BDP(TICKER&amp;" EQUITY",$L45, "BEST_FPERIOD_OVERRIDE", J$31, "BEST_CONSOLIDATED_OVERRIDE", DataH!$D$19)*100)</f>
        <v>22.197227811086623</v>
      </c>
      <c r="K45" s="142">
        <f>IF(ISERROR(_xll.BDP(TICKER&amp;" EQUITY",$L45, "BEST_FPERIOD_OVERRIDE", K$31, "BEST_CONSOLIDATED_OVERRIDE", DataH!$D$19)*100), "-", _xll.BDP(TICKER&amp;" EQUITY",$L45, "BEST_FPERIOD_OVERRIDE", K$31, "BEST_CONSOLIDATED_OVERRIDE", DataH!$D$19)*100)</f>
        <v>22.441163473926757</v>
      </c>
      <c r="L45" s="1" t="s">
        <v>410</v>
      </c>
    </row>
    <row r="46" spans="2:23" s="1" customFormat="1" ht="15" customHeight="1">
      <c r="B46" s="670" t="str">
        <f>IF(Lang="English","Return on Assets", IF(Lang="中文","資產報酬率","総資産利益率"))</f>
        <v>Return on Assets</v>
      </c>
      <c r="C46" s="635"/>
      <c r="D46" s="126" t="s">
        <v>400</v>
      </c>
      <c r="E46" s="139">
        <f>_xll.BDP(TICKER&amp;" EQUITY",$D46, "EQY_FUND_RELATIVE_PERIOD", E$31, "EQY_CONSOLIDATED", DataH!$D$18, "Fill=-")</f>
        <v>27.064952963655159</v>
      </c>
      <c r="F46" s="139">
        <f>_xll.BDP(TICKER&amp;" EQUITY",$D46, "EQY_FUND_RELATIVE_PERIOD", F$31, "EQY_CONSOLIDATED", DataH!$D$18, "Fill=-")</f>
        <v>28.54172722143382</v>
      </c>
      <c r="G46" s="139">
        <f>_xll.BDP(TICKER&amp;" EQUITY",$D46, "EQY_FUND_RELATIVE_PERIOD", G$31, "EQY_CONSOLIDATED", DataH!$D$18, "Fill=-")</f>
        <v>19.337238685963705</v>
      </c>
      <c r="H46" s="139">
        <f>_xll.BDP(TICKER&amp;" EQUITY",$D46, "EQY_FUND_RELATIVE_PERIOD", H$31, "EQY_CONSOLIDATED", DataH!$D$18, "Fill=-")</f>
        <v>18.006603788633189</v>
      </c>
      <c r="I46" s="139">
        <f>_xll.BDP(TICKER&amp;" EQUITY",$L46, "BEST_FPERIOD_OVERRIDE", I$31, "BEST_CONSOLIDATED_OVERRIDE", DataH!$D$19, "Fill=-")</f>
        <v>20.016000000000002</v>
      </c>
      <c r="J46" s="139">
        <f>_xll.BDP(TICKER&amp;" EQUITY",$L46, "BEST_FPERIOD_OVERRIDE", J$31, "BEST_CONSOLIDATED_OVERRIDE", DataH!$D$19, "Fill=-")</f>
        <v>18.327000000000002</v>
      </c>
      <c r="K46" s="140">
        <f>_xll.BDP(TICKER&amp;" EQUITY",$L46, "BEST_FPERIOD_OVERRIDE", K$31, "BEST_CONSOLIDATED_OVERRIDE", DataH!$D$19, "Fill=-")</f>
        <v>17.148</v>
      </c>
      <c r="L46" s="1" t="s">
        <v>411</v>
      </c>
    </row>
    <row r="47" spans="2:23" s="1" customFormat="1" ht="15" customHeight="1">
      <c r="B47" s="746" t="str">
        <f>IF(Lang="English","Return on Equity", IF(Lang="中文","股本回報率","ROE"))</f>
        <v>Return on Equity</v>
      </c>
      <c r="C47" s="747"/>
      <c r="D47" s="132" t="s">
        <v>401</v>
      </c>
      <c r="E47" s="143">
        <f>_xll.BDP(TICKER&amp;" EQUITY",$D47, "EQY_FUND_RELATIVE_PERIOD", E$31, "EQY_CONSOLIDATED", DataH!$D$18, "Fill=-")</f>
        <v>41.673231194636919</v>
      </c>
      <c r="F47" s="143">
        <f>_xll.BDP(TICKER&amp;" EQUITY",$D47, "EQY_FUND_RELATIVE_PERIOD", F$31, "EQY_CONSOLIDATED", DataH!$D$18, "Fill=-")</f>
        <v>42.841524445014755</v>
      </c>
      <c r="G47" s="143">
        <f>_xll.BDP(TICKER&amp;" EQUITY",$D47, "EQY_FUND_RELATIVE_PERIOD", G$31, "EQY_CONSOLIDATED", DataH!$D$18, "Fill=-")</f>
        <v>30.639603903060486</v>
      </c>
      <c r="H47" s="143">
        <f>_xll.BDP(TICKER&amp;" EQUITY",$D47, "EQY_FUND_RELATIVE_PERIOD", H$31, "EQY_CONSOLIDATED", DataH!$D$18, "Fill=-")</f>
        <v>33.611801136556977</v>
      </c>
      <c r="I47" s="143">
        <f>_xll.BDP(TICKER&amp;" EQUITY",$L47, "BEST_FPERIOD_OVERRIDE", I$31, "BEST_CONSOLIDATED_OVERRIDE", DataH!$D$19, "Fill=-")</f>
        <v>38.805</v>
      </c>
      <c r="J47" s="143">
        <f>_xll.BDP(TICKER&amp;" EQUITY",$L47, "BEST_FPERIOD_OVERRIDE", J$31, "BEST_CONSOLIDATED_OVERRIDE", DataH!$D$19, "Fill=-")</f>
        <v>38.157000000000004</v>
      </c>
      <c r="K47" s="144">
        <f>_xll.BDP(TICKER&amp;" EQUITY",$L47, "BEST_FPERIOD_OVERRIDE", K$31, "BEST_CONSOLIDATED_OVERRIDE", DataH!$D$19, "Fill=-")</f>
        <v>34.683</v>
      </c>
      <c r="L47" s="1" t="s">
        <v>412</v>
      </c>
    </row>
    <row r="48" spans="2:23" s="48" customFormat="1" ht="5.0999999999999996" customHeight="1">
      <c r="B48" s="145"/>
      <c r="C48" s="146"/>
      <c r="D48" s="146"/>
      <c r="E48" s="135"/>
      <c r="F48" s="120"/>
      <c r="G48" s="120"/>
      <c r="H48" s="120"/>
      <c r="I48" s="120"/>
      <c r="J48" s="120"/>
      <c r="K48" s="147"/>
      <c r="N48" s="6"/>
      <c r="O48" s="6"/>
      <c r="P48" s="6"/>
      <c r="Q48" s="6"/>
      <c r="R48" s="6"/>
      <c r="S48" s="6"/>
      <c r="T48" s="6"/>
      <c r="U48" s="6"/>
      <c r="V48" s="6"/>
      <c r="W48" s="6"/>
    </row>
    <row r="49" spans="2:24" ht="15" customHeight="1">
      <c r="B49" s="697" t="str">
        <f>IF(Lang="English","Leverage and Coverage Ratios", IF(Lang="中文","槓桿和覆蓋率","レバレッジ・カバレッジ比率"))</f>
        <v>Leverage and Coverage Ratios</v>
      </c>
      <c r="C49" s="698"/>
      <c r="D49" s="698"/>
      <c r="E49" s="698"/>
      <c r="F49" s="698"/>
      <c r="G49" s="698"/>
      <c r="H49" s="698"/>
      <c r="I49" s="698"/>
      <c r="J49" s="698"/>
      <c r="K49" s="699"/>
      <c r="N49" s="722" t="str">
        <f>IF(Lang="English","Current Capitalization in " &amp;CURRENCY,IF(Lang="中文","目前資本市值"&amp;"("&amp;CURRENCY&amp;")","直近資本 ("&amp;CURRENCY&amp;")"))</f>
        <v>Current Capitalization in USD</v>
      </c>
      <c r="O49" s="723"/>
      <c r="P49" s="723"/>
      <c r="Q49" s="723"/>
      <c r="R49" s="723"/>
      <c r="S49" s="723"/>
      <c r="T49" s="723"/>
      <c r="U49" s="723"/>
      <c r="V49" s="723"/>
      <c r="W49" s="723"/>
      <c r="X49" s="724"/>
    </row>
    <row r="50" spans="2:24" s="1" customFormat="1" ht="15" customHeight="1">
      <c r="B50" s="737"/>
      <c r="C50" s="738"/>
      <c r="D50" s="202"/>
      <c r="E50" s="466" t="str">
        <f>E$32</f>
        <v>9/11</v>
      </c>
      <c r="F50" s="466" t="str">
        <f>F$32</f>
        <v>9/12</v>
      </c>
      <c r="G50" s="466" t="str">
        <f>G$32</f>
        <v>9/13</v>
      </c>
      <c r="H50" s="466" t="str">
        <f>H$32</f>
        <v>9/14</v>
      </c>
      <c r="I50" s="466"/>
      <c r="J50" s="468"/>
      <c r="K50" s="469"/>
      <c r="N50" s="725" t="str">
        <f>IF(Lang="English","Common Shares Outstanding (M)", IF(Lang="中文","在外流通普通股","発行済み株式数"))</f>
        <v>Common Shares Outstanding (M)</v>
      </c>
      <c r="O50" s="726"/>
      <c r="P50" s="726"/>
      <c r="Q50" s="726"/>
      <c r="R50" s="726"/>
      <c r="S50" s="665"/>
      <c r="T50" s="728">
        <f>_xll.BDP(TICKER &amp; " EQUITY", $L52, "EQY_CONSOLIDATED", DataH!$D$18, "Fill=B")</f>
        <v>5866.1610000000001</v>
      </c>
      <c r="U50" s="729"/>
      <c r="V50" s="729"/>
      <c r="W50" s="729"/>
      <c r="X50" s="730"/>
    </row>
    <row r="51" spans="2:24" s="1" customFormat="1" ht="15" customHeight="1">
      <c r="B51" s="670" t="str">
        <f>IF(Lang="English","Current Ratio", IF(Lang="中文","流動比率","流動比率"))</f>
        <v>Current Ratio</v>
      </c>
      <c r="C51" s="635"/>
      <c r="D51" s="126" t="s">
        <v>606</v>
      </c>
      <c r="E51" s="139">
        <f>_xll.BDP(TICKER&amp;" EQUITY",$D51, "EQY_FUND_RELATIVE_PERIOD", E$31, "EQY_CONSOLIDATED", DataH!$D$18, "Fill=-")</f>
        <v>1.6084376117268502</v>
      </c>
      <c r="F51" s="139">
        <f>_xll.BDP(TICKER&amp;" EQUITY",$D51, "EQY_FUND_RELATIVE_PERIOD", F$31, "EQY_CONSOLIDATED", DataH!$D$18, "Fill=-")</f>
        <v>1.4958486845519174</v>
      </c>
      <c r="G51" s="139">
        <f>_xll.BDP(TICKER&amp;" EQUITY",$D51, "EQY_FUND_RELATIVE_PERIOD", G$31, "EQY_CONSOLIDATED", DataH!$D$18, "Fill=-")</f>
        <v>1.6786385084062485</v>
      </c>
      <c r="H51" s="139">
        <f>_xll.BDP(TICKER&amp;" EQUITY",$D51, "EQY_FUND_RELATIVE_PERIOD", H$31, "EQY_CONSOLIDATED", DataH!$D$18, "Fill=-")</f>
        <v>1.0801128483167317</v>
      </c>
      <c r="I51" s="126"/>
      <c r="J51" s="139"/>
      <c r="K51" s="140"/>
      <c r="N51" s="670" t="str">
        <f>IF(Lang="English","Market Capitalization (M)", IF(Lang="中文","資本市值","時価総額"))</f>
        <v>Market Capitalization (M)</v>
      </c>
      <c r="O51" s="727"/>
      <c r="P51" s="727"/>
      <c r="Q51" s="727"/>
      <c r="R51" s="727"/>
      <c r="S51" s="635"/>
      <c r="T51" s="731">
        <f>_xll.BDP(TICKER &amp; " EQUITY", $L53, "EQY_FUND_CRNCY", CURRENCY, "EQY_CONSOLIDATED", DataH!$D$18, "Fill=0")</f>
        <v>588064.69264000002</v>
      </c>
      <c r="U51" s="732"/>
      <c r="V51" s="732"/>
      <c r="W51" s="732"/>
      <c r="X51" s="733"/>
    </row>
    <row r="52" spans="2:24" s="1" customFormat="1" ht="15" customHeight="1">
      <c r="B52" s="605" t="str">
        <f>IF(Lang="English","Quick Ratio", IF(Lang="中文","速動比率","当座比率"))</f>
        <v>Quick Ratio</v>
      </c>
      <c r="C52" s="607"/>
      <c r="D52" s="129" t="s">
        <v>607</v>
      </c>
      <c r="E52" s="141">
        <f>_xll.BDP(TICKER&amp;" EQUITY",$D52, "EQY_FUND_RELATIVE_PERIOD", E$31, "EQY_CONSOLIDATED", DataH!$D$18, "Fill=-")</f>
        <v>1.1198069360028602</v>
      </c>
      <c r="F52" s="141">
        <f>_xll.BDP(TICKER&amp;" EQUITY",$D52, "EQY_FUND_RELATIVE_PERIOD", F$31, "EQY_CONSOLIDATED", DataH!$D$18, "Fill=-")</f>
        <v>1.0393596595921333</v>
      </c>
      <c r="G52" s="141">
        <f>_xll.BDP(TICKER&amp;" EQUITY",$D52, "EQY_FUND_RELATIVE_PERIOD", G$31, "EQY_CONSOLIDATED", DataH!$D$18, "Fill=-")</f>
        <v>1.2288240414127996</v>
      </c>
      <c r="H52" s="141">
        <f>_xll.BDP(TICKER&amp;" EQUITY",$D52, "EQY_FUND_RELATIVE_PERIOD", H$31, "EQY_CONSOLIDATED", DataH!$D$18, "Fill=-")</f>
        <v>0.67042302357836336</v>
      </c>
      <c r="I52" s="129"/>
      <c r="J52" s="141"/>
      <c r="K52" s="142"/>
      <c r="L52" s="1" t="s">
        <v>503</v>
      </c>
      <c r="N52" s="605" t="str">
        <f>IF(Lang="English","Cash and Equivalents (M)", IF(Lang="中文","現金和短期投資","現金及び現金同等物"))</f>
        <v>Cash and Equivalents (M)</v>
      </c>
      <c r="O52" s="606"/>
      <c r="P52" s="606"/>
      <c r="Q52" s="606"/>
      <c r="R52" s="606"/>
      <c r="S52" s="607"/>
      <c r="T52" s="734">
        <f>_xll.BDP(TICKER &amp; " EQUITY", $L54, "FUND_PER", DataH!$A$13, "EQY_FUND_CRNCY", CURRENCY, "EQY_CONSOLIDATED", DataH!$D$18, "Fill=0")</f>
        <v>202848</v>
      </c>
      <c r="U52" s="735"/>
      <c r="V52" s="735"/>
      <c r="W52" s="735"/>
      <c r="X52" s="736"/>
    </row>
    <row r="53" spans="2:24" s="1" customFormat="1" ht="15" customHeight="1">
      <c r="B53" s="670" t="str">
        <f>IF(Lang="English","EBIT/Interest", IF(Lang="中文","EBIT/利息","EBIT/利息"))</f>
        <v>EBIT/Interest</v>
      </c>
      <c r="C53" s="635"/>
      <c r="D53" s="126" t="s">
        <v>611</v>
      </c>
      <c r="E53" s="139" t="str">
        <f>_xll.BDP(TICKER&amp;" EQUITY",$D53, "EQY_FUND_RELATIVE_PERIOD", E$31, "EQY_CONSOLIDATED", DataH!$D$18, "Fill=-")</f>
        <v>-</v>
      </c>
      <c r="F53" s="139" t="str">
        <f>_xll.BDP(TICKER&amp;" EQUITY",$D53, "EQY_FUND_RELATIVE_PERIOD", F$31, "EQY_CONSOLIDATED", DataH!$D$18, "Fill=-")</f>
        <v>-</v>
      </c>
      <c r="G53" s="139">
        <f>_xll.BDP(TICKER&amp;" EQUITY",$D53, "EQY_FUND_RELATIVE_PERIOD", G$31, "EQY_CONSOLIDATED", DataH!$D$18, "Fill=-")</f>
        <v>360.28676470588238</v>
      </c>
      <c r="H53" s="139">
        <f>_xll.BDP(TICKER&amp;" EQUITY",$D53, "EQY_FUND_RELATIVE_PERIOD", H$31, "EQY_CONSOLIDATED", DataH!$D$18, "Fill=-")</f>
        <v>136.7265625</v>
      </c>
      <c r="I53" s="126"/>
      <c r="J53" s="139"/>
      <c r="K53" s="140"/>
      <c r="L53" s="1" t="s">
        <v>646</v>
      </c>
      <c r="N53" s="670" t="str">
        <f>IF(Lang="English","Total Debt (M)", IF(Lang="中文","總債務","総債務"))</f>
        <v>Total Debt (M)</v>
      </c>
      <c r="O53" s="727"/>
      <c r="P53" s="727"/>
      <c r="Q53" s="727"/>
      <c r="R53" s="727"/>
      <c r="S53" s="635"/>
      <c r="T53" s="731">
        <f>_xll.BDP(TICKER &amp; " EQUITY", $L55, "FUND_PER", DataH!$A$13, "EQY_FUND_CRNCY", CURRENCY, "EQY_CONSOLIDATED", DataH!$D$18, "Fill=0")</f>
        <v>54418</v>
      </c>
      <c r="U53" s="732"/>
      <c r="V53" s="732"/>
      <c r="W53" s="732"/>
      <c r="X53" s="733"/>
    </row>
    <row r="54" spans="2:24" s="1" customFormat="1" ht="15" customHeight="1">
      <c r="B54" s="605" t="str">
        <f>IF(Lang="English","Tot Debt/Capital", IF(Lang="中文","總債務/資本","総債務/総資本比率"))</f>
        <v>Tot Debt/Capital</v>
      </c>
      <c r="C54" s="607"/>
      <c r="D54" s="129" t="s">
        <v>608</v>
      </c>
      <c r="E54" s="141">
        <f>IF(ISERROR(_xll.BDP(TICKER&amp;" EQUITY",$D54, "EQY_FUND_RELATIVE_PERIOD", E$31, "EQY_CONSOLIDATED", DataH!$D$18)*1), "-", _xll.BDP(TICKER&amp;" EQUITY",$D54, "EQY_FUND_RELATIVE_PERIOD", E$31, "EQY_CONSOLIDATED", DataH!$D$18)/100)</f>
        <v>0</v>
      </c>
      <c r="F54" s="141">
        <f>IF(ISERROR(_xll.BDP(TICKER&amp;" EQUITY",$D54, "EQY_FUND_RELATIVE_PERIOD", F$31, "EQY_CONSOLIDATED", DataH!$D$18)*1), "-", _xll.BDP(TICKER&amp;" EQUITY",$D54, "EQY_FUND_RELATIVE_PERIOD", F$31, "EQY_CONSOLIDATED", DataH!$D$18)/100)</f>
        <v>0</v>
      </c>
      <c r="G54" s="141">
        <f>IF(ISERROR(_xll.BDP(TICKER&amp;" EQUITY",$D54, "EQY_FUND_RELATIVE_PERIOD", G$31, "EQY_CONSOLIDATED", DataH!$D$18)*1), "-", _xll.BDP(TICKER&amp;" EQUITY",$D54, "EQY_FUND_RELATIVE_PERIOD", G$31, "EQY_CONSOLIDATED", DataH!$D$18)/100)</f>
        <v>0.12070401184265776</v>
      </c>
      <c r="H54" s="141">
        <f>IF(ISERROR(_xll.BDP(TICKER&amp;" EQUITY",$D54, "EQY_FUND_RELATIVE_PERIOD", H$31, "EQY_CONSOLIDATED", DataH!$D$18)*1), "-", _xll.BDP(TICKER&amp;" EQUITY",$D54, "EQY_FUND_RELATIVE_PERIOD", H$31, "EQY_CONSOLIDATED", DataH!$D$18)/100)</f>
        <v>0.24036038735511639</v>
      </c>
      <c r="I54" s="129"/>
      <c r="J54" s="141"/>
      <c r="K54" s="142"/>
      <c r="L54" s="1" t="s">
        <v>647</v>
      </c>
      <c r="N54" s="605" t="str">
        <f>IF(Lang="English","Preferred Equity (M)", IF(Lang="中文","特別股","優先株式"))</f>
        <v>Preferred Equity (M)</v>
      </c>
      <c r="O54" s="606"/>
      <c r="P54" s="606"/>
      <c r="Q54" s="606"/>
      <c r="R54" s="606"/>
      <c r="S54" s="607"/>
      <c r="T54" s="734">
        <f>_xll.BDP(TICKER &amp; " EQUITY", $L56, "FUND_PER", DataH!$A$13, "EQY_FUND_CRNCY", CURRENCY, "EQY_CONSOLIDATED", DataH!$D$18, "Fill=0")</f>
        <v>0</v>
      </c>
      <c r="U54" s="735"/>
      <c r="V54" s="735"/>
      <c r="W54" s="735"/>
      <c r="X54" s="736"/>
    </row>
    <row r="55" spans="2:24" s="1" customFormat="1" ht="15" customHeight="1">
      <c r="B55" s="670" t="str">
        <f>IF(Lang="English","Tot Debt/Equity", IF(Lang="中文","總債務/權益","総債務･株主資本合計比率"))</f>
        <v>Tot Debt/Equity</v>
      </c>
      <c r="C55" s="635"/>
      <c r="D55" s="126" t="s">
        <v>609</v>
      </c>
      <c r="E55" s="139">
        <f>IF(ISERROR(_xll.BDP(TICKER&amp;" EQUITY",$D55, "EQY_FUND_RELATIVE_PERIOD", E$31, "EQY_CONSOLIDATED", DataH!$D$18)*1), "-", _xll.BDP(TICKER&amp;" EQUITY",$D55, "EQY_FUND_RELATIVE_PERIOD", E$31, "EQY_CONSOLIDATED", DataH!$D$18)/100)</f>
        <v>0</v>
      </c>
      <c r="F55" s="139">
        <f>IF(ISERROR(_xll.BDP(TICKER&amp;" EQUITY",$D55, "EQY_FUND_RELATIVE_PERIOD", F$31, "EQY_CONSOLIDATED", DataH!$D$18)*1), "-", _xll.BDP(TICKER&amp;" EQUITY",$D55, "EQY_FUND_RELATIVE_PERIOD", F$31, "EQY_CONSOLIDATED", DataH!$D$18)/100)</f>
        <v>0</v>
      </c>
      <c r="G55" s="139">
        <f>IF(ISERROR(_xll.BDP(TICKER&amp;" EQUITY",$D55, "EQY_FUND_RELATIVE_PERIOD", G$31, "EQY_CONSOLIDATED", DataH!$D$18)*1), "-", _xll.BDP(TICKER&amp;" EQUITY",$D55, "EQY_FUND_RELATIVE_PERIOD", G$31, "EQY_CONSOLIDATED", DataH!$D$18)/100)</f>
        <v>0.13727347044492469</v>
      </c>
      <c r="H55" s="139">
        <f>IF(ISERROR(_xll.BDP(TICKER&amp;" EQUITY",$D55, "EQY_FUND_RELATIVE_PERIOD", H$31, "EQY_CONSOLIDATED", DataH!$D$18)*1), "-", _xll.BDP(TICKER&amp;" EQUITY",$D55, "EQY_FUND_RELATIVE_PERIOD", H$31, "EQY_CONSOLIDATED", DataH!$D$18)/100)</f>
        <v>0.31641370901951643</v>
      </c>
      <c r="I55" s="126"/>
      <c r="J55" s="139"/>
      <c r="K55" s="140"/>
      <c r="L55" s="1" t="s">
        <v>648</v>
      </c>
      <c r="N55" s="670" t="str">
        <f>IF(Lang="English","Minority Interest (M)", IF(Lang="中文","關聯公司的長期投資(百萬)","少数株主損益(M)"))</f>
        <v>Minority Interest (M)</v>
      </c>
      <c r="O55" s="727"/>
      <c r="P55" s="727"/>
      <c r="Q55" s="727"/>
      <c r="R55" s="727"/>
      <c r="S55" s="635"/>
      <c r="T55" s="731">
        <f>_xll.BDP(TICKER &amp; " EQUITY", $L57, "FUND_PER", DataH!$A$13, "EQY_FUND_CRNCY", CURRENCY, "EQY_CONSOLIDATED", DataH!$D$18, "Fill=0")</f>
        <v>0</v>
      </c>
      <c r="U55" s="732"/>
      <c r="V55" s="732"/>
      <c r="W55" s="732"/>
      <c r="X55" s="733"/>
    </row>
    <row r="56" spans="2:24" s="1" customFormat="1" ht="15" customHeight="1">
      <c r="B56" s="595" t="str">
        <f>IF(Lang="English","Eff Tax Rate %", IF(Lang="中文","有效稅率 %","実効税率"))</f>
        <v>Eff Tax Rate %</v>
      </c>
      <c r="C56" s="597"/>
      <c r="D56" s="148" t="s">
        <v>612</v>
      </c>
      <c r="E56" s="149">
        <f>_xll.BDP(TICKER&amp;" EQUITY",$D56, "EQY_FUND_RELATIVE_PERIOD", E$31, "EQY_CONSOLIDATED", DataH!$D$18, "Fill=-")</f>
        <v>24.215757930127175</v>
      </c>
      <c r="F56" s="149">
        <f>_xll.BDP(TICKER&amp;" EQUITY",$D56, "EQY_FUND_RELATIVE_PERIOD", F$31, "EQY_CONSOLIDATED", DataH!$D$18, "Fill=-")</f>
        <v>25.160052364471063</v>
      </c>
      <c r="G56" s="149">
        <f>_xll.BDP(TICKER&amp;" EQUITY",$D56, "EQY_FUND_RELATIVE_PERIOD", G$31, "EQY_CONSOLIDATED", DataH!$D$18, "Fill=-")</f>
        <v>26.154919748778788</v>
      </c>
      <c r="H56" s="149">
        <f>_xll.BDP(TICKER&amp;" EQUITY",$D56, "EQY_FUND_RELATIVE_PERIOD", H$31, "EQY_CONSOLIDATED", DataH!$D$18, "Fill=-")</f>
        <v>26.126058747639437</v>
      </c>
      <c r="I56" s="148"/>
      <c r="J56" s="149"/>
      <c r="K56" s="150"/>
      <c r="L56" s="1" t="s">
        <v>478</v>
      </c>
      <c r="N56" s="595" t="str">
        <f>IF(Lang="English","Enterprise Value (M)", IF(Lang="中文","企業價值(百萬)","直近企業価値(M)"))</f>
        <v>Enterprise Value (M)</v>
      </c>
      <c r="O56" s="596"/>
      <c r="P56" s="596"/>
      <c r="Q56" s="596"/>
      <c r="R56" s="596"/>
      <c r="S56" s="597"/>
      <c r="T56" s="719">
        <f>_xll.BDP(TICKER &amp; " EQUITY", $L58, "EQY_FUND_CRNCY", CURRENCY, "EQY_CONSOLIDATED", DataH!$D$18, "Fill=0")</f>
        <v>439634.69264000002</v>
      </c>
      <c r="U56" s="720"/>
      <c r="V56" s="720"/>
      <c r="W56" s="720"/>
      <c r="X56" s="721"/>
    </row>
    <row r="57" spans="2:24" s="1" customFormat="1" ht="15" customHeight="1">
      <c r="B57" s="151"/>
      <c r="C57" s="152"/>
      <c r="D57" s="152"/>
      <c r="E57" s="153"/>
      <c r="F57" s="153"/>
      <c r="G57" s="153"/>
      <c r="H57" s="153"/>
      <c r="I57" s="152"/>
      <c r="J57" s="593"/>
      <c r="K57" s="594"/>
      <c r="L57" s="1" t="s">
        <v>479</v>
      </c>
    </row>
    <row r="58" spans="2:24" s="1" customFormat="1" ht="15" customHeight="1">
      <c r="B58" s="151"/>
      <c r="C58" s="154"/>
      <c r="D58" s="154"/>
      <c r="E58" s="154"/>
      <c r="F58" s="154"/>
      <c r="G58" s="154"/>
      <c r="H58" s="154"/>
      <c r="I58" s="154"/>
      <c r="J58" s="154"/>
      <c r="K58" s="154"/>
      <c r="L58" s="1" t="s">
        <v>649</v>
      </c>
    </row>
    <row r="59" spans="2:24" s="1" customFormat="1" ht="15" customHeight="1">
      <c r="B59" s="53"/>
      <c r="C59" s="154"/>
      <c r="D59" s="154"/>
      <c r="E59" s="154"/>
      <c r="F59" s="154"/>
      <c r="G59" s="154"/>
      <c r="H59" s="154"/>
      <c r="I59" s="154"/>
      <c r="J59" s="154"/>
      <c r="K59" s="154"/>
      <c r="N59" s="49"/>
      <c r="O59" s="49"/>
      <c r="P59" s="49"/>
      <c r="Q59" s="49"/>
      <c r="R59" s="6"/>
      <c r="S59" s="6"/>
      <c r="T59" s="203"/>
      <c r="U59" s="203"/>
      <c r="V59" s="203"/>
      <c r="W59" s="6"/>
      <c r="X59" s="6"/>
    </row>
    <row r="60" spans="2:24" s="1" customFormat="1" ht="15" customHeight="1">
      <c r="B60" s="53"/>
      <c r="C60" s="154"/>
      <c r="D60" s="154"/>
      <c r="E60" s="154"/>
      <c r="F60" s="154"/>
      <c r="G60" s="154"/>
      <c r="H60" s="154"/>
      <c r="I60" s="154"/>
      <c r="J60" s="154"/>
      <c r="K60" s="154"/>
    </row>
    <row r="61" spans="2:24" ht="15" customHeight="1">
      <c r="B61" s="5"/>
      <c r="C61" s="5"/>
      <c r="D61" s="5"/>
      <c r="E61" s="5"/>
      <c r="F61" s="5"/>
      <c r="G61" s="5"/>
      <c r="H61" s="5"/>
      <c r="I61" s="5"/>
      <c r="J61" s="5"/>
      <c r="K61" s="5"/>
    </row>
    <row r="62" spans="2:24" ht="15" customHeight="1">
      <c r="B62" s="5"/>
      <c r="C62" s="5"/>
      <c r="D62" s="5"/>
      <c r="E62" s="5"/>
      <c r="F62" s="5"/>
      <c r="G62" s="5"/>
      <c r="H62" s="5"/>
      <c r="I62" s="5"/>
      <c r="J62" s="5"/>
      <c r="K62" s="5"/>
    </row>
    <row r="63" spans="2:24" ht="15" customHeight="1">
      <c r="B63" s="5"/>
      <c r="C63" s="5"/>
      <c r="D63" s="5"/>
      <c r="E63" s="5"/>
      <c r="F63" s="5"/>
      <c r="G63" s="5"/>
      <c r="H63" s="5"/>
      <c r="I63" s="5"/>
      <c r="J63" s="5"/>
      <c r="K63" s="5"/>
    </row>
    <row r="64" spans="2:24" ht="15" customHeight="1">
      <c r="B64" s="5"/>
      <c r="C64" s="5"/>
      <c r="D64" s="5"/>
      <c r="E64" s="5"/>
      <c r="F64" s="5"/>
      <c r="G64" s="5"/>
      <c r="H64" s="5"/>
      <c r="I64" s="5"/>
      <c r="J64" s="5"/>
      <c r="K64" s="5"/>
    </row>
    <row r="65" spans="2:11" ht="15" customHeight="1">
      <c r="B65" s="5"/>
      <c r="C65" s="5"/>
      <c r="D65" s="5"/>
      <c r="E65" s="5"/>
      <c r="F65" s="5"/>
      <c r="G65" s="5"/>
      <c r="H65" s="5"/>
      <c r="I65" s="5"/>
      <c r="J65" s="5"/>
      <c r="K65" s="5"/>
    </row>
  </sheetData>
  <mergeCells count="107">
    <mergeCell ref="B45:C45"/>
    <mergeCell ref="B54:C54"/>
    <mergeCell ref="T55:X55"/>
    <mergeCell ref="B46:C46"/>
    <mergeCell ref="T22:W22"/>
    <mergeCell ref="B32:D32"/>
    <mergeCell ref="B21:E21"/>
    <mergeCell ref="B43:C43"/>
    <mergeCell ref="N21:Q21"/>
    <mergeCell ref="B47:C47"/>
    <mergeCell ref="N22:Q22"/>
    <mergeCell ref="B37:C37"/>
    <mergeCell ref="F22:G22"/>
    <mergeCell ref="B22:E22"/>
    <mergeCell ref="B44:C44"/>
    <mergeCell ref="B38:C38"/>
    <mergeCell ref="B42:C42"/>
    <mergeCell ref="B41:C41"/>
    <mergeCell ref="B26:D26"/>
    <mergeCell ref="B34:C34"/>
    <mergeCell ref="B40:K40"/>
    <mergeCell ref="B35:C35"/>
    <mergeCell ref="B36:C36"/>
    <mergeCell ref="B30:C30"/>
    <mergeCell ref="T56:X56"/>
    <mergeCell ref="B56:C56"/>
    <mergeCell ref="N49:X49"/>
    <mergeCell ref="N50:S50"/>
    <mergeCell ref="N51:S51"/>
    <mergeCell ref="N55:S55"/>
    <mergeCell ref="T50:X50"/>
    <mergeCell ref="T51:X51"/>
    <mergeCell ref="T53:X53"/>
    <mergeCell ref="T52:X52"/>
    <mergeCell ref="B53:C53"/>
    <mergeCell ref="N53:S53"/>
    <mergeCell ref="B49:K49"/>
    <mergeCell ref="B50:C50"/>
    <mergeCell ref="B51:C51"/>
    <mergeCell ref="B52:C52"/>
    <mergeCell ref="T54:X54"/>
    <mergeCell ref="N54:S54"/>
    <mergeCell ref="B55:C55"/>
    <mergeCell ref="B33:C33"/>
    <mergeCell ref="E30:F30"/>
    <mergeCell ref="B27:D27"/>
    <mergeCell ref="B28:D28"/>
    <mergeCell ref="B19:E19"/>
    <mergeCell ref="F28:G28"/>
    <mergeCell ref="N7:X11"/>
    <mergeCell ref="B7:F7"/>
    <mergeCell ref="F26:G26"/>
    <mergeCell ref="F27:G27"/>
    <mergeCell ref="E8:F8"/>
    <mergeCell ref="E10:F10"/>
    <mergeCell ref="E16:G16"/>
    <mergeCell ref="E17:K17"/>
    <mergeCell ref="B20:E20"/>
    <mergeCell ref="B24:K24"/>
    <mergeCell ref="E15:G15"/>
    <mergeCell ref="B18:K18"/>
    <mergeCell ref="B25:D25"/>
    <mergeCell ref="F21:G21"/>
    <mergeCell ref="H15:I15"/>
    <mergeCell ref="H22:J22"/>
    <mergeCell ref="F19:G19"/>
    <mergeCell ref="H25:I25"/>
    <mergeCell ref="J15:K15"/>
    <mergeCell ref="H20:J20"/>
    <mergeCell ref="E11:F11"/>
    <mergeCell ref="H26:I26"/>
    <mergeCell ref="N24:P24"/>
    <mergeCell ref="T21:W21"/>
    <mergeCell ref="H21:J21"/>
    <mergeCell ref="B8:D8"/>
    <mergeCell ref="B11:D11"/>
    <mergeCell ref="B10:D10"/>
    <mergeCell ref="B15:D15"/>
    <mergeCell ref="B16:D16"/>
    <mergeCell ref="B17:D17"/>
    <mergeCell ref="B9:D9"/>
    <mergeCell ref="H19:J19"/>
    <mergeCell ref="F20:G20"/>
    <mergeCell ref="J57:K57"/>
    <mergeCell ref="N56:S56"/>
    <mergeCell ref="H11:I11"/>
    <mergeCell ref="P13:Q13"/>
    <mergeCell ref="V13:W13"/>
    <mergeCell ref="H27:I27"/>
    <mergeCell ref="H28:I28"/>
    <mergeCell ref="N52:S52"/>
    <mergeCell ref="T13:U13"/>
    <mergeCell ref="N13:O13"/>
    <mergeCell ref="N16:Q16"/>
    <mergeCell ref="N17:Q17"/>
    <mergeCell ref="N18:Q18"/>
    <mergeCell ref="N23:P23"/>
    <mergeCell ref="N19:Q19"/>
    <mergeCell ref="T15:W15"/>
    <mergeCell ref="T16:W16"/>
    <mergeCell ref="T17:W17"/>
    <mergeCell ref="N20:Q20"/>
    <mergeCell ref="T19:W19"/>
    <mergeCell ref="T20:W20"/>
    <mergeCell ref="T18:W18"/>
    <mergeCell ref="N15:Q15"/>
    <mergeCell ref="J16:K16"/>
  </mergeCells>
  <phoneticPr fontId="16" type="noConversion"/>
  <conditionalFormatting sqref="X16 R16:R22">
    <cfRule type="cellIs" dxfId="10" priority="1" stopIfTrue="1" operator="equal">
      <formula>1</formula>
    </cfRule>
  </conditionalFormatting>
  <conditionalFormatting sqref="N16 T16">
    <cfRule type="cellIs" dxfId="9" priority="2" stopIfTrue="1" operator="equal">
      <formula>"Unallocated Sales"</formula>
    </cfRule>
  </conditionalFormatting>
  <dataValidations count="5">
    <dataValidation type="list" allowBlank="1" showInputMessage="1" showErrorMessage="1" sqref="E11">
      <formula1>"English,中文,日本語"</formula1>
    </dataValidation>
    <dataValidation type="list" allowBlank="1" showInputMessage="1" showErrorMessage="1" sqref="E10:F10">
      <formula1>newCrncy</formula1>
    </dataValidation>
    <dataValidation type="list" allowBlank="1" showInputMessage="1" showErrorMessage="1" sqref="E30:F30">
      <formula1>newPeriod</formula1>
    </dataValidation>
    <dataValidation type="list" allowBlank="1" showInputMessage="1" showErrorMessage="1" sqref="V13:W13">
      <formula1>newOverviewYear</formula1>
    </dataValidation>
    <dataValidation type="list" allowBlank="1" showInputMessage="1" showErrorMessage="1" sqref="P13:Q13">
      <formula1>newOverviewCon</formula1>
    </dataValidation>
  </dataValidations>
  <pageMargins left="0.7" right="0.7" top="0.75" bottom="0.75" header="0.3" footer="0.3"/>
  <pageSetup orientation="portrait" r:id="rId1"/>
  <cellWatches>
    <cellWatch r="R15"/>
  </cellWatche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eers"/>
  <dimension ref="A1:AC199"/>
  <sheetViews>
    <sheetView showGridLines="0" showRowColHeaders="0" topLeftCell="B1" zoomScaleNormal="100" workbookViewId="0">
      <pane ySplit="5" topLeftCell="A6" activePane="bottomLeft" state="frozen"/>
      <selection activeCell="B1" sqref="B1"/>
      <selection pane="bottomLeft" activeCell="U9" sqref="U9:V9"/>
    </sheetView>
  </sheetViews>
  <sheetFormatPr defaultRowHeight="15" customHeight="1"/>
  <cols>
    <col min="1" max="1" width="9.140625" style="164" hidden="1" customWidth="1"/>
    <col min="2" max="2" width="1.7109375" style="5" customWidth="1"/>
    <col min="3" max="3" width="17.5703125" style="5" customWidth="1"/>
    <col min="4" max="4" width="9.140625" style="5" hidden="1" customWidth="1"/>
    <col min="5" max="11" width="9.140625" style="5" customWidth="1"/>
    <col min="12" max="12" width="1.7109375" style="5" customWidth="1"/>
    <col min="13" max="13" width="11.5703125" style="5" customWidth="1"/>
    <col min="14" max="14" width="9.7109375" style="5" customWidth="1"/>
    <col min="15" max="15" width="1.7109375" style="213" customWidth="1"/>
    <col min="16" max="17" width="9.140625" style="5" customWidth="1"/>
    <col min="18" max="18" width="1.7109375" style="5" customWidth="1"/>
    <col min="19" max="28" width="9.140625" style="5" customWidth="1"/>
    <col min="29" max="29" width="9.140625" style="5" hidden="1" customWidth="1"/>
    <col min="30" max="16384" width="9.140625" style="5"/>
  </cols>
  <sheetData>
    <row r="1" spans="1:29" ht="5.0999999999999996" customHeight="1"/>
    <row r="5" spans="1:29" ht="5.0999999999999996" customHeight="1"/>
    <row r="6" spans="1:29" ht="5.0999999999999996" customHeight="1"/>
    <row r="7" spans="1:29" ht="15" customHeight="1">
      <c r="B7" s="123"/>
      <c r="C7" s="79" t="str">
        <f>compNAME</f>
        <v>APPLE INC</v>
      </c>
      <c r="D7" s="163"/>
      <c r="E7" s="214"/>
      <c r="F7" s="214"/>
      <c r="G7" s="214"/>
      <c r="H7" s="214"/>
      <c r="I7" s="214"/>
      <c r="J7" s="214"/>
      <c r="K7" s="123"/>
      <c r="M7" s="783" t="str">
        <f>" * "&amp;IF(Lang="English", "All Pricing data as of",IF(Lang="中文", "數據定價時間","データ取得日")) &amp;" " &amp;TEXT(_xll.BToday(),"MM/DD/YYYY")</f>
        <v xml:space="preserve"> * All Pricing data as of 08/24/2015</v>
      </c>
      <c r="N7" s="783"/>
      <c r="O7" s="783"/>
      <c r="P7" s="783"/>
      <c r="Q7" s="783"/>
    </row>
    <row r="8" spans="1:29" s="216" customFormat="1" ht="5.0999999999999996" customHeight="1">
      <c r="A8" s="215"/>
      <c r="C8" s="217"/>
      <c r="D8" s="217"/>
      <c r="E8" s="218"/>
      <c r="F8" s="218"/>
      <c r="G8" s="218"/>
      <c r="H8" s="218"/>
      <c r="I8" s="218"/>
      <c r="J8" s="218"/>
      <c r="K8" s="218"/>
      <c r="L8" s="219"/>
      <c r="W8" s="219"/>
      <c r="X8" s="219"/>
      <c r="Y8" s="219"/>
      <c r="AA8" s="51"/>
      <c r="AB8" s="51"/>
      <c r="AC8" s="222"/>
    </row>
    <row r="9" spans="1:29" s="216" customFormat="1" ht="15" customHeight="1">
      <c r="A9" s="215"/>
      <c r="L9" s="223"/>
      <c r="M9" s="775" t="str">
        <f>IF(Lang="English","Pricing",IF(Lang="中文", "定價","価格"))</f>
        <v>Pricing</v>
      </c>
      <c r="N9" s="776"/>
      <c r="P9" s="775" t="str">
        <f>IF(Lang="English","Performance",IF(Lang="中文","表現","パフォーマンス"))</f>
        <v>Performance</v>
      </c>
      <c r="Q9" s="776"/>
      <c r="S9" s="485" t="str">
        <f>IF(Lang="English","Valuation Ratio:",IF(Lang="中文","評價比率","評価比率"))</f>
        <v>Valuation Ratio:</v>
      </c>
      <c r="T9" s="478"/>
      <c r="U9" s="769" t="s">
        <v>423</v>
      </c>
      <c r="V9" s="770"/>
      <c r="W9" s="219"/>
      <c r="X9" s="219"/>
      <c r="Y9" s="219"/>
      <c r="AA9" s="224"/>
      <c r="AB9" s="50"/>
      <c r="AC9" s="219"/>
    </row>
    <row r="10" spans="1:29" s="216" customFormat="1" ht="15" customHeight="1">
      <c r="A10" s="215"/>
      <c r="C10" s="225"/>
      <c r="D10" s="225"/>
      <c r="E10" s="784" t="str">
        <f>IF(Lang="English","Press Buttons to Toggle Between Bloomberg and Custom Peers. Enter Custom Peer Tickers for Analysis and Index Calculations.",IF(Lang="中文", "按按鈕切換彭博(Bloomberg Peers)和自設(My Peers)同行。輸入自定義的同行代號進行分析和指數計算","左の選択ボタンでBloomberg同業種リストとカスタマイズの業種の切り替えができます。カスタマイズする際は同業種ティッカーを入力して下さい。"))</f>
        <v>Press Buttons to Toggle Between Bloomberg and Custom Peers. Enter Custom Peer Tickers for Analysis and Index Calculations.</v>
      </c>
      <c r="F10" s="784"/>
      <c r="G10" s="784"/>
      <c r="H10" s="785"/>
      <c r="I10" s="785"/>
      <c r="J10" s="785"/>
      <c r="K10" s="785"/>
      <c r="L10" s="226"/>
      <c r="M10" s="483" t="str">
        <f>IF(Lang="English","Mcap (M)",IF(Lang="中文","市值(百萬)","時価総額(M)"))</f>
        <v>Mcap (M)</v>
      </c>
      <c r="N10" s="484" t="str">
        <f>IF(Lang="English","Mcap (M)",IF(Lang="中文","市值(百萬)","時価総額(M)"))</f>
        <v>Mcap (M)</v>
      </c>
      <c r="O10" s="220"/>
      <c r="P10" s="483" t="str">
        <f>IF(Lang="English","1M Ret",IF(Lang="中文","1月報酬","１か月リターン"))</f>
        <v>1M Ret</v>
      </c>
      <c r="Q10" s="484" t="str">
        <f>IF(Lang="English","6M Ret",IF(Lang="中文","6月報酬","６か月リターン"))</f>
        <v>6M Ret</v>
      </c>
      <c r="S10" s="771" t="str">
        <f>IF(Lang="English","Calendarized",IF(Lang="中文","日曆化","年"))</f>
        <v>Calendarized</v>
      </c>
      <c r="T10" s="772"/>
      <c r="U10" s="772"/>
      <c r="V10" s="772"/>
      <c r="W10" s="773"/>
      <c r="X10" s="773"/>
      <c r="Y10" s="774"/>
      <c r="AA10" s="222"/>
      <c r="AB10" s="227"/>
      <c r="AC10" s="227"/>
    </row>
    <row r="11" spans="1:29" ht="15" customHeight="1" thickBot="1">
      <c r="C11" s="228"/>
      <c r="D11" s="229"/>
      <c r="E11" s="785"/>
      <c r="F11" s="785"/>
      <c r="G11" s="785"/>
      <c r="H11" s="785"/>
      <c r="I11" s="785"/>
      <c r="J11" s="785"/>
      <c r="K11" s="785"/>
      <c r="L11" s="230"/>
      <c r="M11" s="471" t="str">
        <f>IF(Lang="English","(Loc)",IF(Lang="中文","(當地)","(現地通貨)"))</f>
        <v>(Loc)</v>
      </c>
      <c r="N11" s="472" t="str">
        <f>"("&amp;CURRENCY&amp;")"</f>
        <v>(USD)</v>
      </c>
      <c r="O11" s="231"/>
      <c r="P11" s="471" t="str">
        <f>"("&amp;CURRENCY&amp;")"</f>
        <v>(USD)</v>
      </c>
      <c r="Q11" s="472" t="str">
        <f>"("&amp;CURRENCY&amp;")"</f>
        <v>(USD)</v>
      </c>
      <c r="R11" s="232"/>
      <c r="S11" s="233">
        <f>DataH!H$22</f>
        <v>2011</v>
      </c>
      <c r="T11" s="234">
        <f>DataH!I$22</f>
        <v>2012</v>
      </c>
      <c r="U11" s="234">
        <f>DataH!J$22</f>
        <v>2013</v>
      </c>
      <c r="V11" s="234">
        <f>DataH!K$22</f>
        <v>2014</v>
      </c>
      <c r="W11" s="486">
        <f>DataH!L$22</f>
        <v>2015</v>
      </c>
      <c r="X11" s="487">
        <f>DataH!M$22</f>
        <v>2016</v>
      </c>
      <c r="Y11" s="488">
        <f>DataH!N$22</f>
        <v>2017</v>
      </c>
      <c r="AA11" s="235"/>
      <c r="AB11" s="235"/>
      <c r="AC11" s="235"/>
    </row>
    <row r="12" spans="1:29" ht="5.0999999999999996" customHeight="1">
      <c r="E12" s="216"/>
      <c r="F12" s="216"/>
      <c r="G12" s="216"/>
      <c r="H12" s="216"/>
      <c r="I12" s="216"/>
      <c r="J12" s="216"/>
      <c r="K12" s="220"/>
      <c r="L12" s="231"/>
      <c r="M12" s="236"/>
      <c r="N12" s="237"/>
      <c r="O12" s="231"/>
      <c r="P12" s="238"/>
      <c r="Q12" s="231"/>
      <c r="R12" s="239"/>
      <c r="S12" s="240"/>
      <c r="T12" s="240"/>
      <c r="U12" s="240"/>
      <c r="V12" s="240"/>
      <c r="W12" s="240"/>
      <c r="X12" s="240"/>
      <c r="Y12" s="240"/>
      <c r="AA12" s="240"/>
      <c r="AB12" s="240"/>
      <c r="AC12" s="240"/>
    </row>
    <row r="13" spans="1:29" s="216" customFormat="1" ht="15" customHeight="1">
      <c r="A13" s="215"/>
      <c r="C13" s="622" t="str">
        <f>IF(Lang="English","Ticker", IF(Lang="中文","代碼","ティッカー"))</f>
        <v>Ticker</v>
      </c>
      <c r="D13" s="624"/>
      <c r="E13" s="755" t="str">
        <f>IF(Lang="English","Company Name", IF(Lang="中文","公司名稱","企業名"))</f>
        <v>Company Name</v>
      </c>
      <c r="F13" s="623"/>
      <c r="G13" s="624"/>
      <c r="H13" s="755" t="str">
        <f>IF(Lang="English","Sub-Industry", IF(Lang="中文","次產業","産業サブグループ"))</f>
        <v>Sub-Industry</v>
      </c>
      <c r="I13" s="623"/>
      <c r="J13" s="624"/>
      <c r="K13" s="777" t="str">
        <f>IF(Lang="English","Curr (Loc)",IF(Lang="中文","貨幣 (當地)","通貨(現地)"))</f>
        <v>Curr (Loc)</v>
      </c>
      <c r="L13" s="241"/>
      <c r="M13" s="242" t="str">
        <f>IF(Lang="English","Min", "最小")</f>
        <v>Min</v>
      </c>
      <c r="N13" s="243">
        <f>IF(OR(MIN(N$18:N$199)=0, ISERROR(MIN(N$18:N$199))), "", MIN(N$18:N$199))</f>
        <v>3708.7257234002586</v>
      </c>
      <c r="O13" s="220"/>
      <c r="P13" s="244">
        <f>IF(OR(MIN(P$18:P$199)=0, ISERROR(MIN(P$18:P$199))), "", MIN(P$18:P$199))</f>
        <v>-0.20096119999999998</v>
      </c>
      <c r="Q13" s="245">
        <f>IF(OR(MIN(Q$18:Q$199)=0, ISERROR(MIN(Q$18:Q$199))), "", MIN(Q$18:Q$199))</f>
        <v>-0.3885555</v>
      </c>
      <c r="S13" s="246">
        <f t="shared" ref="S13:Y13" si="0">IF(OR(MIN(S$18:S$199)=0, ISERROR(MIN(S$18:S$199))), "", MIN(S$18:S$199))</f>
        <v>0.12426675834463227</v>
      </c>
      <c r="T13" s="247">
        <f t="shared" si="0"/>
        <v>0.13230558962957167</v>
      </c>
      <c r="U13" s="247">
        <f t="shared" si="0"/>
        <v>0.11596570921385167</v>
      </c>
      <c r="V13" s="247">
        <f t="shared" si="0"/>
        <v>0.11419719432838098</v>
      </c>
      <c r="W13" s="493">
        <f t="shared" si="0"/>
        <v>0.11824899650905833</v>
      </c>
      <c r="X13" s="248">
        <f t="shared" si="0"/>
        <v>0.11415445542452772</v>
      </c>
      <c r="Y13" s="249">
        <f t="shared" si="0"/>
        <v>0.1100265029289621</v>
      </c>
      <c r="AA13" s="250"/>
      <c r="AB13" s="250"/>
      <c r="AC13" s="250" t="str">
        <f>IF(ISERROR(_xll.BDP(TICKER&amp;" EQUITY",#REF!,"BEST_FPERIOD_OVERRIDE",MID(AC$11, 3, 2)&amp;"BC")*#REF!), "", _xll.BDP(TICKER&amp;" EQUITY",#REF!,"BEST_FPERIOD_OVERRIDE",MID(AC$11, 3, 2)&amp;"BC")*#REF!)</f>
        <v/>
      </c>
    </row>
    <row r="14" spans="1:29" s="216" customFormat="1" ht="15" customHeight="1">
      <c r="A14" s="215"/>
      <c r="C14" s="751"/>
      <c r="D14" s="752"/>
      <c r="E14" s="756"/>
      <c r="F14" s="757"/>
      <c r="G14" s="752"/>
      <c r="H14" s="756"/>
      <c r="I14" s="757"/>
      <c r="J14" s="752"/>
      <c r="K14" s="778"/>
      <c r="L14" s="220"/>
      <c r="M14" s="251" t="str">
        <f>IF(Lang="English","Max", "最大")</f>
        <v>Max</v>
      </c>
      <c r="N14" s="252">
        <f>IF(OR(MAX(N$18:N$199)=0, ISERROR(MAX(N$18:N$199))), "", MAX(N$18:N$199))</f>
        <v>136590.45360425272</v>
      </c>
      <c r="O14" s="220"/>
      <c r="P14" s="253">
        <f>IF(OR(MAX(P$18:P$199)=0, ISERROR(MAX(P$18:P$199))), "", MAX(P$18:P$199))</f>
        <v>-3.8156259999999997E-2</v>
      </c>
      <c r="Q14" s="254">
        <f>IF(OR(MAX(Q$18:Q$199)=0, ISERROR(MAX(Q$18:Q$199))), "", MAX(Q$18:Q$199))</f>
        <v>-0.13413259999999999</v>
      </c>
      <c r="S14" s="255">
        <f t="shared" ref="S14:Y14" si="1">IF(OR(MAX(S$18:S$199)=0, ISERROR(MAX(S$18:S$199))), "", MAX(S$18:S$199))</f>
        <v>2.8808548805662162</v>
      </c>
      <c r="T14" s="206">
        <f t="shared" si="1"/>
        <v>2.72224819439813</v>
      </c>
      <c r="U14" s="206">
        <f t="shared" si="1"/>
        <v>2.6586558800106532</v>
      </c>
      <c r="V14" s="477">
        <f t="shared" si="1"/>
        <v>2.6789291781170714</v>
      </c>
      <c r="W14" s="494">
        <f t="shared" si="1"/>
        <v>2.5636022087985242</v>
      </c>
      <c r="X14" s="256">
        <f t="shared" si="1"/>
        <v>2.4762375019826166</v>
      </c>
      <c r="Y14" s="257">
        <f t="shared" si="1"/>
        <v>2.3933255411996384</v>
      </c>
      <c r="AA14" s="258"/>
      <c r="AB14" s="258"/>
      <c r="AC14" s="258"/>
    </row>
    <row r="15" spans="1:29" s="216" customFormat="1" ht="15" customHeight="1">
      <c r="A15" s="215"/>
      <c r="C15" s="753"/>
      <c r="D15" s="754"/>
      <c r="E15" s="758"/>
      <c r="F15" s="759"/>
      <c r="G15" s="754"/>
      <c r="H15" s="758"/>
      <c r="I15" s="759"/>
      <c r="J15" s="754"/>
      <c r="K15" s="779"/>
      <c r="L15" s="220"/>
      <c r="M15" s="259" t="str">
        <f>IF(Lang="English","Mean", "平均")</f>
        <v>Mean</v>
      </c>
      <c r="N15" s="260">
        <f>IF(ISERROR(AVERAGE(N$18:N$199)), "", AVERAGE(N$18:N$199))</f>
        <v>49272.104769968872</v>
      </c>
      <c r="O15" s="220"/>
      <c r="P15" s="261">
        <f>IF(ISERROR(AVERAGE(P$18:P$199)), "", AVERAGE(P$18:P$199))</f>
        <v>-0.11601686250000001</v>
      </c>
      <c r="Q15" s="262">
        <f>IF(ISERROR(AVERAGE(Q$18:Q$199)), "", AVERAGE(Q$18:Q$199))</f>
        <v>-0.24644851250000002</v>
      </c>
      <c r="S15" s="263">
        <f t="shared" ref="S15:Y15" si="2">IF(ISERROR(AVERAGE(S$18:S$199)), "", AVERAGE(S$18:S$199))</f>
        <v>0.84850847401981844</v>
      </c>
      <c r="T15" s="264">
        <f t="shared" si="2"/>
        <v>0.82741338519333907</v>
      </c>
      <c r="U15" s="264">
        <f t="shared" si="2"/>
        <v>0.81988227230811728</v>
      </c>
      <c r="V15" s="264">
        <f t="shared" si="2"/>
        <v>0.90713176288845099</v>
      </c>
      <c r="W15" s="495">
        <f t="shared" si="2"/>
        <v>0.93670232576982504</v>
      </c>
      <c r="X15" s="265">
        <f t="shared" si="2"/>
        <v>0.9168522343969816</v>
      </c>
      <c r="Y15" s="266">
        <f t="shared" si="2"/>
        <v>0.92633399422876628</v>
      </c>
      <c r="AA15" s="267"/>
      <c r="AB15" s="267"/>
      <c r="AC15" s="267"/>
    </row>
    <row r="16" spans="1:29" s="216" customFormat="1" ht="5.0999999999999996" customHeight="1">
      <c r="A16" s="215"/>
      <c r="C16" s="268"/>
      <c r="D16" s="268"/>
      <c r="E16" s="269"/>
      <c r="F16" s="269"/>
      <c r="G16" s="269"/>
      <c r="H16" s="269"/>
      <c r="I16" s="269"/>
      <c r="J16" s="269"/>
      <c r="K16" s="222"/>
      <c r="L16" s="220"/>
      <c r="M16" s="270"/>
      <c r="N16" s="470"/>
      <c r="O16" s="220"/>
      <c r="P16" s="271"/>
      <c r="Q16" s="271"/>
      <c r="R16" s="268"/>
      <c r="S16" s="267"/>
      <c r="T16" s="267"/>
      <c r="U16" s="267"/>
      <c r="V16" s="267"/>
      <c r="W16" s="267"/>
      <c r="X16" s="267"/>
      <c r="Y16" s="267"/>
      <c r="AA16" s="267"/>
      <c r="AB16" s="267"/>
      <c r="AC16" s="267"/>
    </row>
    <row r="17" spans="1:29" s="53" customFormat="1" ht="15" customHeight="1">
      <c r="A17" s="272"/>
      <c r="C17" s="588" t="str">
        <f>UPPER(TICKER)</f>
        <v>AAPL US</v>
      </c>
      <c r="D17" s="570"/>
      <c r="E17" s="760" t="str">
        <f>compNAME</f>
        <v>APPLE INC</v>
      </c>
      <c r="F17" s="761"/>
      <c r="G17" s="762"/>
      <c r="H17" s="760" t="str">
        <f>_xll.BDP(TICKER &amp; " EQUITY", "GICS_SUB_INDUSTRY_NAME")</f>
        <v>Technology Hardware, Storage &amp;</v>
      </c>
      <c r="I17" s="761"/>
      <c r="J17" s="762"/>
      <c r="K17" s="508" t="str">
        <f>_xll.BDP(TICKER &amp; " EQUITY", "CRNCY")</f>
        <v>USD</v>
      </c>
      <c r="L17" s="225"/>
      <c r="M17" s="514">
        <f>_xll.BDP(TICKER &amp; " EQUITY", "CRNCY_ADJ_MKT_CAP")</f>
        <v>588064.69264000002</v>
      </c>
      <c r="N17" s="515">
        <f>_xll.BDP(TICKER &amp; " EQUITY", "CRNCY_ADJ_MKT_CAP", "EQY_FUND_CRNCY", CURRENCY)</f>
        <v>588064.69264000002</v>
      </c>
      <c r="O17" s="273"/>
      <c r="P17" s="516">
        <f>_xll.BDP(TICKER &amp;" EQUITY", "CUST_TRR_RETURN_HOLDING_PER", "CUST_TRR_START_DT", ControlsH!D23, "CUST_TRR_END_DT", ControlsH!D20, "CUST_TRR_CRNCY", CURRENCY)/100</f>
        <v>-0.16798590000000002</v>
      </c>
      <c r="Q17" s="517">
        <f>_xll.BDP(TICKER &amp;" EQUITY", "CUST_TRR_RETURN_HOLDING_PER", "CUST_TRR_START_DT", ControlsH!D24, "CUST_TRR_END_DT", ControlsH!D20, "CUST_TRR_CRNCY", CURRENCY)/100</f>
        <v>-0.21301519999999999</v>
      </c>
      <c r="R17" s="218"/>
      <c r="S17" s="518">
        <f>IF(ISERROR(_xll.BDP(TICKER &amp;" EQUITY",DataH!$C$23, "BEST_FPERIOD_OVERRIDE", MID(S$11, 3, 2)&amp;"BC")*DataH!$D$23), "", _xll.BDP(TICKER &amp;" EQUITY",DataH!$C$23, "BEST_FPERIOD_OVERRIDE", MID(S$11, 3, 2)&amp;"BC")*DataH!$D$23)</f>
        <v>4.5999694357835121</v>
      </c>
      <c r="T17" s="519">
        <f>IF(ISERROR(_xll.BDP(TICKER &amp;" EQUITY",DataH!$C$23, "BEST_FPERIOD_OVERRIDE", MID(T$11, 3, 2)&amp;"BC")*DataH!$D$23), "", _xll.BDP(TICKER &amp;" EQUITY",DataH!$C$23, "BEST_FPERIOD_OVERRIDE", MID(T$11, 3, 2)&amp;"BC")*DataH!$D$23)</f>
        <v>3.5708021437029034</v>
      </c>
      <c r="U17" s="519">
        <f>IF(ISERROR(_xll.BDP(TICKER &amp;" EQUITY",DataH!$C$23, "BEST_FPERIOD_OVERRIDE", MID(U$11, 3, 2)&amp;"BC")*DataH!$D$23), "", _xll.BDP(TICKER &amp;" EQUITY",DataH!$C$23, "BEST_FPERIOD_OVERRIDE", MID(U$11, 3, 2)&amp;"BC")*DataH!$D$23)</f>
        <v>3.379837536438457</v>
      </c>
      <c r="V17" s="519">
        <f>IF(ISERROR(_xll.BDP(TICKER &amp;" EQUITY",DataH!$C$23, "BEST_FPERIOD_OVERRIDE", MID(V$11, 3, 2)&amp;"BC")*DataH!$D$23), "", _xll.BDP(TICKER &amp;" EQUITY",DataH!$C$23, "BEST_FPERIOD_OVERRIDE", MID(V$11, 3, 2)&amp;"BC")*DataH!$D$23)</f>
        <v>2.9432667299299302</v>
      </c>
      <c r="W17" s="520">
        <f>IF(ISERROR(_xll.BDP(TICKER &amp;" EQUITY",DataH!$C$23, "BEST_FPERIOD_OVERRIDE", MID(W$11, 3, 2)&amp;"BC")*DataH!$D$23), "", _xll.BDP(TICKER &amp;" EQUITY",DataH!$C$23, "BEST_FPERIOD_OVERRIDE", MID(W$11, 3, 2)&amp;"BC")*DataH!$D$23)</f>
        <v>2.5011180964304796</v>
      </c>
      <c r="X17" s="521">
        <f>IF(ISERROR(_xll.BDP(TICKER &amp;" EQUITY",DataH!$C$23, "BEST_FPERIOD_OVERRIDE", MID(X$11, 3, 2)&amp;"BC")*DataH!$D$23), "", _xll.BDP(TICKER &amp;" EQUITY",DataH!$C$23, "BEST_FPERIOD_OVERRIDE", MID(X$11, 3, 2)&amp;"BC")*DataH!$D$23)</f>
        <v>2.3569460385746974</v>
      </c>
      <c r="Y17" s="522">
        <f>IF(ISERROR(_xll.BDP(TICKER &amp;" EQUITY",DataH!$C$23, "BEST_FPERIOD_OVERRIDE", MID(Y$11, 3, 2)&amp;"BC")*DataH!$D$23), "", _xll.BDP(TICKER &amp;" EQUITY",DataH!$C$23, "BEST_FPERIOD_OVERRIDE", MID(Y$11, 3, 2)&amp;"BC")*DataH!$D$23)</f>
        <v>2.3154227106561707</v>
      </c>
      <c r="AA17" s="274"/>
      <c r="AB17" s="274"/>
      <c r="AC17" s="80">
        <f>IF(YEAR(_xll.BToday())-YEAR(_xll.BDP(TICKER &amp; " EQUITY", "EQY_FISCAL_YR_END"))&gt;=2, YEAR(_xll.BToday())-1, YEAR(_xll.BToday()))</f>
        <v>2015</v>
      </c>
    </row>
    <row r="18" spans="1:29" s="216" customFormat="1" ht="15" customHeight="1">
      <c r="A18" s="215" t="str">
        <f>IF(C18&lt;&gt;"", IF(ISNUMBER(FIND("EQUITY", UPPER(C18), 1)), _xll.BDP(C18, "TICKER_AND_EXCH_CODE"), C18), "")</f>
        <v>005930 KS</v>
      </c>
      <c r="C18" s="589" t="str">
        <f>_xll.BDS(TICKER &amp; " EQUITY","BLOOMBERG_PEERS","StartRow=1","EndRow=180","cols=1;rows=8")</f>
        <v>005930 KS</v>
      </c>
      <c r="D18" s="568"/>
      <c r="E18" s="763" t="str">
        <f>IF(A18="","",IF(Lang="English",_xll.BDP(A18&amp;" EQUITY","NAME"),IF(Lang="中文",_xll.BDP(A18&amp;" EQUITY","NAME_CHINESE_TRADITIONAL"),_xll.BDP(A18&amp;" EQUITY","NAME_KANJI"))))</f>
        <v>SAMSUNG ELECTRONICS CO LTD</v>
      </c>
      <c r="F18" s="764"/>
      <c r="G18" s="765"/>
      <c r="H18" s="763" t="str">
        <f>IF(A18="", "", _xll.BDP(A18 &amp; " EQUITY", "GICS_SUB_INDUSTRY_NAME"))</f>
        <v>Technology Hardware, Storage &amp;</v>
      </c>
      <c r="I18" s="764"/>
      <c r="J18" s="765"/>
      <c r="K18" s="509" t="str">
        <f>IF($A18="", "", _xll.BDP($A18 &amp; " EQUITY", "CRNCY"))</f>
        <v>KRW</v>
      </c>
      <c r="L18" s="276"/>
      <c r="M18" s="277">
        <f>IF(OR($A18="", ISERROR(_xll.BDP($A18 &amp; " EQUITY", "CRNCY_ADJ_MKT_CAP")*1)), "", _xll.BDP($A18 &amp; " EQUITY", "CRNCY_ADJ_MKT_CAP"))</f>
        <v>162176570.037</v>
      </c>
      <c r="N18" s="278">
        <f>IF(OR($A18="", ISERROR(_xll.BDP($A18 &amp; " EQUITY", "CRNCY_ADJ_MKT_CAP", "EQY_FUND_CRNCY", CURRENCY)*1)), "", _xll.BDP($A18 &amp; " EQUITY", "CRNCY_ADJ_MKT_CAP", "EQY_FUND_CRNCY", CURRENCY))</f>
        <v>136590.45360425272</v>
      </c>
      <c r="O18" s="146"/>
      <c r="P18" s="279">
        <f>IF(ISERROR(DataH!F23), "", DataH!F23)</f>
        <v>-0.13451730000000001</v>
      </c>
      <c r="Q18" s="102">
        <f>IF(ISERROR(DataH!G23), "", DataH!G23)</f>
        <v>-0.2637679</v>
      </c>
      <c r="S18" s="280">
        <f>IF(ISERROR(DataH!H23), "", DataH!H23)</f>
        <v>0.98287775369998909</v>
      </c>
      <c r="T18" s="127">
        <f>IF(ISERROR(DataH!I23), "", DataH!I23)</f>
        <v>0.80643290101903842</v>
      </c>
      <c r="U18" s="127">
        <f>IF(ISERROR(DataH!J23), "", DataH!J23)</f>
        <v>0.70999286418439711</v>
      </c>
      <c r="V18" s="127">
        <f>IF(ISERROR(DataH!K23), "", DataH!K23)</f>
        <v>0.78647847425011963</v>
      </c>
      <c r="W18" s="496">
        <f>IF(ISERROR(DataH!L23), "", DataH!L23)</f>
        <v>0.80444672267476702</v>
      </c>
      <c r="X18" s="489">
        <f>IF(ISERROR(DataH!M23), "", DataH!M23)</f>
        <v>0.77549402406081114</v>
      </c>
      <c r="Y18" s="490">
        <f>IF(ISERROR(DataH!N23), "", DataH!N23)</f>
        <v>0.75497139210770581</v>
      </c>
      <c r="Z18" s="281"/>
      <c r="AA18" s="267"/>
      <c r="AB18" s="267"/>
      <c r="AC18" s="5">
        <f>IF(YEAR(_xll.BToday())-YEAR(_xll.BDP($A18 &amp;" EQUITY", "EQY_FISCAL_YR_END"))&gt;=2, YEAR(_xll.BToday())-1, YEAR(_xll.BToday()))</f>
        <v>2015</v>
      </c>
    </row>
    <row r="19" spans="1:29" s="216" customFormat="1" ht="15" customHeight="1">
      <c r="A19" s="215" t="str">
        <f>IF(C19&lt;&gt;"", IF(ISNUMBER(FIND("EQUITY", UPPER(C19), 1)), _xll.BDP(C19, "TICKER_AND_EXCH_CODE"), C19), "")</f>
        <v>BB CN</v>
      </c>
      <c r="C19" s="590" t="s">
        <v>804</v>
      </c>
      <c r="D19" s="567"/>
      <c r="E19" s="766" t="str">
        <f>IF(A19="","",IF(Lang="English",_xll.BDP(A19&amp;" EQUITY","NAME"),IF(Lang="中文",_xll.BDP(A19&amp;" EQUITY","NAME_CHINESE_TRADITIONAL"),_xll.BDP(A19&amp;" EQUITY","NAME_KANJI"))))</f>
        <v>BLACKBERRY LTD</v>
      </c>
      <c r="F19" s="767"/>
      <c r="G19" s="768"/>
      <c r="H19" s="766" t="str">
        <f>IF(A19="", "", _xll.BDP(A19 &amp; " EQUITY", "GICS_SUB_INDUSTRY_NAME"))</f>
        <v>Technology Hardware, Storage &amp;</v>
      </c>
      <c r="I19" s="767"/>
      <c r="J19" s="768"/>
      <c r="K19" s="510" t="str">
        <f>IF($A19="", "", _xll.BDP($A19 &amp; " EQUITY", "CRNCY"))</f>
        <v>CAD</v>
      </c>
      <c r="L19" s="276"/>
      <c r="M19" s="165">
        <f>IF(OR($A19="", ISERROR(_xll.BDP($A19 &amp; " EQUITY", "CRNCY_ADJ_MKT_CAP")*1)), "", _xll.BDP($A19 &amp; " EQUITY", "CRNCY_ADJ_MKT_CAP"))</f>
        <v>4894.0344129600007</v>
      </c>
      <c r="N19" s="283">
        <f>IF(OR($A19="", ISERROR(_xll.BDP($A19 &amp; " EQUITY", "CRNCY_ADJ_MKT_CAP", "EQY_FUND_CRNCY", CURRENCY)*1)), "", _xll.BDP($A19 &amp; " EQUITY", "CRNCY_ADJ_MKT_CAP", "EQY_FUND_CRNCY", CURRENCY))</f>
        <v>3708.7257234002586</v>
      </c>
      <c r="O19" s="146"/>
      <c r="P19" s="284">
        <f>IF(ISERROR(DataH!F24), "", DataH!F24)</f>
        <v>-4.3311339999999997E-2</v>
      </c>
      <c r="Q19" s="103">
        <f>IF(ISERROR(DataH!G24), "", DataH!G24)</f>
        <v>-0.31077470000000001</v>
      </c>
      <c r="S19" s="285">
        <f>IF(ISERROR(DataH!H24), "", DataH!H24)</f>
        <v>0.19117471383014786</v>
      </c>
      <c r="T19" s="130">
        <f>IF(ISERROR(DataH!I24), "", DataH!I24)</f>
        <v>0.30650625813225285</v>
      </c>
      <c r="U19" s="130">
        <f>IF(ISERROR(DataH!J24), "", DataH!J24)</f>
        <v>0.46664334061153279</v>
      </c>
      <c r="V19" s="130">
        <f>IF(ISERROR(DataH!K24), "", DataH!K24)</f>
        <v>1.0459882645671501</v>
      </c>
      <c r="W19" s="497">
        <f>IF(ISERROR(DataH!L24), "", DataH!L24)</f>
        <v>1.4648922131410267</v>
      </c>
      <c r="X19" s="491">
        <f>IF(ISERROR(DataH!M24), "", DataH!M24)</f>
        <v>1.4635982330550061</v>
      </c>
      <c r="Y19" s="492">
        <f>IF(ISERROR(DataH!N24), "", DataH!N24)</f>
        <v>1.7003835002463235</v>
      </c>
      <c r="Z19" s="281"/>
      <c r="AA19" s="267"/>
      <c r="AB19" s="267"/>
      <c r="AC19" s="5">
        <f>IF(YEAR(_xll.BToday())-YEAR(_xll.BDP($A19 &amp;" EQUITY", "EQY_FISCAL_YR_END"))&gt;=2, YEAR(_xll.BToday())-1, YEAR(_xll.BToday()))</f>
        <v>2015</v>
      </c>
    </row>
    <row r="20" spans="1:29" s="216" customFormat="1" ht="15" customHeight="1">
      <c r="A20" s="215" t="str">
        <f>IF(C20&lt;&gt;"", IF(ISNUMBER(FIND("EQUITY", UPPER(C20), 1)), _xll.BDP(C20, "TICKER_AND_EXCH_CODE"), C20), "")</f>
        <v>6758 JP</v>
      </c>
      <c r="C20" s="589" t="s">
        <v>741</v>
      </c>
      <c r="D20" s="568"/>
      <c r="E20" s="763" t="str">
        <f>IF(A20="","",IF(Lang="English",_xll.BDP(A20&amp;" EQUITY","NAME"),IF(Lang="中文",_xll.BDP(A20&amp;" EQUITY","NAME_CHINESE_TRADITIONAL"),_xll.BDP(A20&amp;" EQUITY","NAME_KANJI"))))</f>
        <v>SONY CORP</v>
      </c>
      <c r="F20" s="764"/>
      <c r="G20" s="765"/>
      <c r="H20" s="763" t="str">
        <f>IF(A20="", "", _xll.BDP(A20 &amp; " EQUITY", "GICS_SUB_INDUSTRY_NAME"))</f>
        <v>Consumer Electronics</v>
      </c>
      <c r="I20" s="764"/>
      <c r="J20" s="765"/>
      <c r="K20" s="509" t="str">
        <f>IF($A20="", "", _xll.BDP($A20 &amp; " EQUITY", "CRNCY"))</f>
        <v>JPY</v>
      </c>
      <c r="L20" s="276"/>
      <c r="M20" s="277">
        <f>IF(OR($A20="", ISERROR(_xll.BDP($A20 &amp; " EQUITY", "CRNCY_ADJ_MKT_CAP")*1)), "", _xll.BDP($A20 &amp; " EQUITY", "CRNCY_ADJ_MKT_CAP"))</f>
        <v>3787748.9422600004</v>
      </c>
      <c r="N20" s="278">
        <f>IF(OR($A20="", ISERROR(_xll.BDP($A20 &amp; " EQUITY", "CRNCY_ADJ_MKT_CAP", "EQY_FUND_CRNCY", CURRENCY)*1)), "", _xll.BDP($A20 &amp; " EQUITY", "CRNCY_ADJ_MKT_CAP", "EQY_FUND_CRNCY", CURRENCY))</f>
        <v>31768.493182651251</v>
      </c>
      <c r="O20" s="146"/>
      <c r="P20" s="279">
        <f>IF(ISERROR(DataH!F25), "", DataH!F25)</f>
        <v>-0.20096119999999998</v>
      </c>
      <c r="Q20" s="102">
        <f>IF(ISERROR(DataH!G25), "", DataH!G25)</f>
        <v>-0.13413259999999999</v>
      </c>
      <c r="S20" s="280">
        <f>IF(ISERROR(DataH!H25), "", DataH!H25)</f>
        <v>0.58491098632417271</v>
      </c>
      <c r="T20" s="127">
        <f>IF(ISERROR(DataH!I25), "", DataH!I25)</f>
        <v>0.5678383257491324</v>
      </c>
      <c r="U20" s="127">
        <f>IF(ISERROR(DataH!J25), "", DataH!J25)</f>
        <v>0.49599999528428312</v>
      </c>
      <c r="V20" s="127">
        <f>IF(ISERROR(DataH!K25), "", DataH!K25)</f>
        <v>0.46491808805958734</v>
      </c>
      <c r="W20" s="494">
        <f>IF(ISERROR(DataH!L25), "", DataH!L25)</f>
        <v>0.46871404332038274</v>
      </c>
      <c r="X20" s="256">
        <f>IF(ISERROR(DataH!M25), "", DataH!M25)</f>
        <v>0.46865502853417285</v>
      </c>
      <c r="Y20" s="257">
        <f>IF(ISERROR(DataH!N25), "", DataH!N25)</f>
        <v>0.46145716653464142</v>
      </c>
      <c r="Z20" s="281"/>
      <c r="AA20" s="267"/>
      <c r="AB20" s="267"/>
      <c r="AC20" s="5">
        <f>IF(YEAR(_xll.BToday())-YEAR(_xll.BDP($A20 &amp;" EQUITY", "EQY_FISCAL_YR_END"))&gt;=2, YEAR(_xll.BToday())-1, YEAR(_xll.BToday()))</f>
        <v>2015</v>
      </c>
    </row>
    <row r="21" spans="1:29" s="216" customFormat="1" ht="15" customHeight="1">
      <c r="A21" s="215" t="str">
        <f>IF(C21&lt;&gt;"", IF(ISNUMBER(FIND("EQUITY", UPPER(C21), 1)), _xll.BDP(C21, "TICKER_AND_EXCH_CODE"), C21), "")</f>
        <v>066570 KS</v>
      </c>
      <c r="C21" s="590" t="s">
        <v>742</v>
      </c>
      <c r="D21" s="567"/>
      <c r="E21" s="766" t="str">
        <f>IF(A21="","",IF(Lang="English",_xll.BDP(A21&amp;" EQUITY","NAME"),IF(Lang="中文",_xll.BDP(A21&amp;" EQUITY","NAME_CHINESE_TRADITIONAL"),_xll.BDP(A21&amp;" EQUITY","NAME_KANJI"))))</f>
        <v>LG ELECTRONICS INC</v>
      </c>
      <c r="F21" s="767"/>
      <c r="G21" s="768"/>
      <c r="H21" s="766" t="str">
        <f>IF(A21="", "", _xll.BDP(A21 &amp; " EQUITY", "GICS_SUB_INDUSTRY_NAME"))</f>
        <v>Consumer Electronics</v>
      </c>
      <c r="I21" s="767"/>
      <c r="J21" s="768"/>
      <c r="K21" s="510" t="str">
        <f>IF($A21="", "", _xll.BDP($A21 &amp; " EQUITY", "CRNCY"))</f>
        <v>KRW</v>
      </c>
      <c r="L21" s="276"/>
      <c r="M21" s="165">
        <f>IF(OR($A21="", ISERROR(_xll.BDP($A21 &amp; " EQUITY", "CRNCY_ADJ_MKT_CAP")*1)), "", _xll.BDP($A21 &amp; " EQUITY", "CRNCY_ADJ_MKT_CAP"))</f>
        <v>6742289.9368000003</v>
      </c>
      <c r="N21" s="283">
        <f>IF(OR($A21="", ISERROR(_xll.BDP($A21 &amp; " EQUITY", "CRNCY_ADJ_MKT_CAP", "EQY_FUND_CRNCY", CURRENCY)*1)), "", _xll.BDP($A21 &amp; " EQUITY", "CRNCY_ADJ_MKT_CAP", "EQY_FUND_CRNCY", CURRENCY))</f>
        <v>5671.6873721756956</v>
      </c>
      <c r="O21" s="146"/>
      <c r="P21" s="284">
        <f>IF(ISERROR(DataH!F26), "", DataH!F26)</f>
        <v>-3.8156259999999997E-2</v>
      </c>
      <c r="Q21" s="103">
        <f>IF(ISERROR(DataH!G26), "", DataH!G26)</f>
        <v>-0.3885555</v>
      </c>
      <c r="S21" s="285">
        <f>IF(ISERROR(DataH!H26), "", DataH!H26)</f>
        <v>0.12426675834463227</v>
      </c>
      <c r="T21" s="130">
        <f>IF(ISERROR(DataH!I26), "", DataH!I26)</f>
        <v>0.13230558962957167</v>
      </c>
      <c r="U21" s="130">
        <f>IF(ISERROR(DataH!J26), "", DataH!J26)</f>
        <v>0.11596570921385167</v>
      </c>
      <c r="V21" s="130">
        <f>IF(ISERROR(DataH!K26), "", DataH!K26)</f>
        <v>0.11419719432838098</v>
      </c>
      <c r="W21" s="497">
        <f>IF(ISERROR(DataH!L26), "", DataH!L26)</f>
        <v>0.11824899650905833</v>
      </c>
      <c r="X21" s="491">
        <f>IF(ISERROR(DataH!M26), "", DataH!M26)</f>
        <v>0.11415445542452772</v>
      </c>
      <c r="Y21" s="492">
        <f>IF(ISERROR(DataH!N26), "", DataH!N26)</f>
        <v>0.1100265029289621</v>
      </c>
      <c r="Z21" s="281"/>
      <c r="AA21" s="267"/>
      <c r="AB21" s="267"/>
      <c r="AC21" s="5">
        <f>IF(YEAR(_xll.BToday())-YEAR(_xll.BDP($A21 &amp;" EQUITY", "EQY_FISCAL_YR_END"))&gt;=2, YEAR(_xll.BToday())-1, YEAR(_xll.BToday()))</f>
        <v>2015</v>
      </c>
    </row>
    <row r="22" spans="1:29" s="216" customFormat="1" ht="15" customHeight="1">
      <c r="A22" s="215" t="str">
        <f>IF(C22&lt;&gt;"", IF(ISNUMBER(FIND("EQUITY", UPPER(C22), 1)), _xll.BDP(C22, "TICKER_AND_EXCH_CODE"), C22), "")</f>
        <v>HPQ US</v>
      </c>
      <c r="C22" s="589" t="s">
        <v>685</v>
      </c>
      <c r="D22" s="568"/>
      <c r="E22" s="763" t="str">
        <f>IF(A22="","",IF(Lang="English",_xll.BDP(A22&amp;" EQUITY","NAME"),IF(Lang="中文",_xll.BDP(A22&amp;" EQUITY","NAME_CHINESE_TRADITIONAL"),_xll.BDP(A22&amp;" EQUITY","NAME_KANJI"))))</f>
        <v>HEWLETT-PACKARD CO</v>
      </c>
      <c r="F22" s="764"/>
      <c r="G22" s="765"/>
      <c r="H22" s="763" t="str">
        <f>IF(A22="", "", _xll.BDP(A22 &amp; " EQUITY", "GICS_SUB_INDUSTRY_NAME"))</f>
        <v>Technology Hardware, Storage &amp;</v>
      </c>
      <c r="I22" s="764"/>
      <c r="J22" s="765"/>
      <c r="K22" s="509" t="str">
        <f>IF($A22="", "", _xll.BDP($A22 &amp; " EQUITY", "CRNCY"))</f>
        <v>USD</v>
      </c>
      <c r="L22" s="276"/>
      <c r="M22" s="277">
        <f>IF(OR($A22="", ISERROR(_xll.BDP($A22 &amp; " EQUITY", "CRNCY_ADJ_MKT_CAP")*1)), "", _xll.BDP($A22 &amp; " EQUITY", "CRNCY_ADJ_MKT_CAP"))</f>
        <v>48050.639691600001</v>
      </c>
      <c r="N22" s="278">
        <f>IF(OR($A22="", ISERROR(_xll.BDP($A22 &amp; " EQUITY", "CRNCY_ADJ_MKT_CAP", "EQY_FUND_CRNCY", CURRENCY)*1)), "", _xll.BDP($A22 &amp; " EQUITY", "CRNCY_ADJ_MKT_CAP", "EQY_FUND_CRNCY", CURRENCY))</f>
        <v>48050.639691600001</v>
      </c>
      <c r="O22" s="146"/>
      <c r="P22" s="279">
        <f>IF(ISERROR(DataH!F27), "", DataH!F27)</f>
        <v>-0.13664389999999998</v>
      </c>
      <c r="Q22" s="102">
        <f>IF(ISERROR(DataH!G27), "", DataH!G27)</f>
        <v>-0.30181669999999999</v>
      </c>
      <c r="S22" s="280">
        <f>IF(ISERROR(DataH!H27), "", DataH!H27)</f>
        <v>0.38172894315531913</v>
      </c>
      <c r="T22" s="127">
        <f>IF(ISERROR(DataH!I27), "", DataH!I27)</f>
        <v>0.40297754670535646</v>
      </c>
      <c r="U22" s="127">
        <f>IF(ISERROR(DataH!J27), "", DataH!J27)</f>
        <v>0.4284064593704307</v>
      </c>
      <c r="V22" s="127">
        <f>IF(ISERROR(DataH!K27), "", DataH!K27)</f>
        <v>0.4345433032532286</v>
      </c>
      <c r="W22" s="494">
        <f>IF(ISERROR(DataH!L27), "", DataH!L27)</f>
        <v>0.46443955483048038</v>
      </c>
      <c r="X22" s="256">
        <f>IF(ISERROR(DataH!M27), "", DataH!M27)</f>
        <v>0.46926800233135363</v>
      </c>
      <c r="Y22" s="257">
        <f>IF(ISERROR(DataH!N27), "", DataH!N27)</f>
        <v>0.47915119761208719</v>
      </c>
      <c r="Z22" s="281"/>
      <c r="AA22" s="267"/>
      <c r="AB22" s="267"/>
      <c r="AC22" s="5">
        <f>IF(YEAR(_xll.BToday())-YEAR(_xll.BDP($A22 &amp;" EQUITY", "EQY_FISCAL_YR_END"))&gt;=2, YEAR(_xll.BToday())-1, YEAR(_xll.BToday()))</f>
        <v>2015</v>
      </c>
    </row>
    <row r="23" spans="1:29" s="216" customFormat="1" ht="15" customHeight="1">
      <c r="A23" s="215" t="str">
        <f>IF(C23&lt;&gt;"", IF(ISNUMBER(FIND("EQUITY", UPPER(C23), 1)), _xll.BDP(C23, "TICKER_AND_EXCH_CODE"), C23), "")</f>
        <v>CSCO US</v>
      </c>
      <c r="C23" s="590" t="s">
        <v>743</v>
      </c>
      <c r="D23" s="567"/>
      <c r="E23" s="766" t="str">
        <f>IF(A23="","",IF(Lang="English",_xll.BDP(A23&amp;" EQUITY","NAME"),IF(Lang="中文",_xll.BDP(A23&amp;" EQUITY","NAME_CHINESE_TRADITIONAL"),_xll.BDP(A23&amp;" EQUITY","NAME_KANJI"))))</f>
        <v>CISCO SYSTEMS INC</v>
      </c>
      <c r="F23" s="767"/>
      <c r="G23" s="768"/>
      <c r="H23" s="766" t="str">
        <f>IF(A23="", "", _xll.BDP(A23 &amp; " EQUITY", "GICS_SUB_INDUSTRY_NAME"))</f>
        <v>Communications Equipment</v>
      </c>
      <c r="I23" s="767"/>
      <c r="J23" s="768"/>
      <c r="K23" s="510" t="str">
        <f>IF($A23="", "", _xll.BDP($A23 &amp; " EQUITY", "CRNCY"))</f>
        <v>USD</v>
      </c>
      <c r="L23" s="276"/>
      <c r="M23" s="165">
        <f>IF(OR($A23="", ISERROR(_xll.BDP($A23 &amp; " EQUITY", "CRNCY_ADJ_MKT_CAP")*1)), "", _xll.BDP($A23 &amp; " EQUITY", "CRNCY_ADJ_MKT_CAP"))</f>
        <v>128113.53710869999</v>
      </c>
      <c r="N23" s="283">
        <f>IF(OR($A23="", ISERROR(_xll.BDP($A23 &amp; " EQUITY", "CRNCY_ADJ_MKT_CAP", "EQY_FUND_CRNCY", CURRENCY)*1)), "", _xll.BDP($A23 &amp; " EQUITY", "CRNCY_ADJ_MKT_CAP", "EQY_FUND_CRNCY", CURRENCY))</f>
        <v>128113.53710869999</v>
      </c>
      <c r="O23" s="146"/>
      <c r="P23" s="284">
        <f>IF(ISERROR(DataH!F28), "", DataH!F28)</f>
        <v>-0.11302820000000001</v>
      </c>
      <c r="Q23" s="103">
        <f>IF(ISERROR(DataH!G28), "", DataH!G28)</f>
        <v>-0.1367845</v>
      </c>
      <c r="S23" s="285">
        <f>IF(ISERROR(DataH!H28), "", DataH!H28)</f>
        <v>2.8808548805662162</v>
      </c>
      <c r="T23" s="130">
        <f>IF(ISERROR(DataH!I28), "", DataH!I28)</f>
        <v>2.72224819439813</v>
      </c>
      <c r="U23" s="130">
        <f>IF(ISERROR(DataH!J28), "", DataH!J28)</f>
        <v>2.6586558800106532</v>
      </c>
      <c r="V23" s="130">
        <f>IF(ISERROR(DataH!K28), "", DataH!K28)</f>
        <v>2.6789291781170714</v>
      </c>
      <c r="W23" s="497">
        <f>IF(ISERROR(DataH!L28), "", DataH!L28)</f>
        <v>2.5636022087985242</v>
      </c>
      <c r="X23" s="491">
        <f>IF(ISERROR(DataH!M28), "", DataH!M28)</f>
        <v>2.4762375019826166</v>
      </c>
      <c r="Y23" s="492">
        <f>IF(ISERROR(DataH!N28), "", DataH!N28)</f>
        <v>2.3933255411996384</v>
      </c>
      <c r="Z23" s="281"/>
      <c r="AA23" s="267"/>
      <c r="AB23" s="267"/>
      <c r="AC23" s="5">
        <f>IF(YEAR(_xll.BToday())-YEAR(_xll.BDP($A23 &amp;" EQUITY", "EQY_FISCAL_YR_END"))&gt;=2, YEAR(_xll.BToday())-1, YEAR(_xll.BToday()))</f>
        <v>2015</v>
      </c>
    </row>
    <row r="24" spans="1:29" s="216" customFormat="1" ht="15" customHeight="1">
      <c r="A24" s="215" t="str">
        <f>IF(C24&lt;&gt;"", IF(ISNUMBER(FIND("EQUITY", UPPER(C24), 1)), _xll.BDP(C24, "TICKER_AND_EXCH_CODE"), C24), "")</f>
        <v>ALU FP</v>
      </c>
      <c r="C24" s="589" t="s">
        <v>744</v>
      </c>
      <c r="D24" s="568"/>
      <c r="E24" s="763" t="str">
        <f>IF(A24="","",IF(Lang="English",_xll.BDP(A24&amp;" EQUITY","NAME"),IF(Lang="中文",_xll.BDP(A24&amp;" EQUITY","NAME_CHINESE_TRADITIONAL"),_xll.BDP(A24&amp;" EQUITY","NAME_KANJI"))))</f>
        <v>ALCATEL-LUCENT</v>
      </c>
      <c r="F24" s="764"/>
      <c r="G24" s="765"/>
      <c r="H24" s="763" t="str">
        <f>IF(A24="", "", _xll.BDP(A24 &amp; " EQUITY", "GICS_SUB_INDUSTRY_NAME"))</f>
        <v>Communications Equipment</v>
      </c>
      <c r="I24" s="764"/>
      <c r="J24" s="765"/>
      <c r="K24" s="509" t="str">
        <f>IF($A24="", "", _xll.BDP($A24 &amp; " EQUITY", "CRNCY"))</f>
        <v>EUR</v>
      </c>
      <c r="L24" s="276"/>
      <c r="M24" s="277">
        <f>IF(OR($A24="", ISERROR(_xll.BDP($A24 &amp; " EQUITY", "CRNCY_ADJ_MKT_CAP")*1)), "", _xll.BDP($A24 &amp; " EQUITY", "CRNCY_ADJ_MKT_CAP"))</f>
        <v>7810.2079628650008</v>
      </c>
      <c r="N24" s="278">
        <f>IF(OR($A24="", ISERROR(_xll.BDP($A24 &amp; " EQUITY", "CRNCY_ADJ_MKT_CAP", "EQY_FUND_CRNCY", CURRENCY)*1)), "", _xll.BDP($A24 &amp; " EQUITY", "CRNCY_ADJ_MKT_CAP", "EQY_FUND_CRNCY", CURRENCY))</f>
        <v>9004.3885498383224</v>
      </c>
      <c r="O24" s="146"/>
      <c r="P24" s="279">
        <f>IF(ISERROR(DataH!F29), "", DataH!F29)</f>
        <v>-0.13808880000000001</v>
      </c>
      <c r="Q24" s="102">
        <f>IF(ISERROR(DataH!G29), "", DataH!G29)</f>
        <v>-0.1872615</v>
      </c>
      <c r="S24" s="280">
        <f>IF(ISERROR(DataH!H29), "", DataH!H29)</f>
        <v>0.49759225043737265</v>
      </c>
      <c r="T24" s="127">
        <f>IF(ISERROR(DataH!I29), "", DataH!I29)</f>
        <v>0.54064848143880662</v>
      </c>
      <c r="U24" s="127">
        <f>IF(ISERROR(DataH!J29), "", DataH!J29)</f>
        <v>0.54102299548801613</v>
      </c>
      <c r="V24" s="127">
        <f>IF(ISERROR(DataH!K29), "", DataH!K29)</f>
        <v>0.59267020510434065</v>
      </c>
      <c r="W24" s="494">
        <f>IF(ISERROR(DataH!L29), "", DataH!L29)</f>
        <v>0.55394940249281943</v>
      </c>
      <c r="X24" s="256">
        <f>IF(ISERROR(DataH!M29), "", DataH!M29)</f>
        <v>0.53619942921786179</v>
      </c>
      <c r="Y24" s="257">
        <f>IF(ISERROR(DataH!N29), "", DataH!N29)</f>
        <v>0.51084673128051672</v>
      </c>
      <c r="Z24" s="281"/>
      <c r="AA24" s="267"/>
      <c r="AB24" s="267"/>
      <c r="AC24" s="5">
        <f>IF(YEAR(_xll.BToday())-YEAR(_xll.BDP($A24 &amp;" EQUITY", "EQY_FISCAL_YR_END"))&gt;=2, YEAR(_xll.BToday())-1, YEAR(_xll.BToday()))</f>
        <v>2015</v>
      </c>
    </row>
    <row r="25" spans="1:29" s="216" customFormat="1" ht="15" customHeight="1">
      <c r="A25" s="215" t="str">
        <f>IF(C25&lt;&gt;"", IF(ISNUMBER(FIND("EQUITY", UPPER(C25), 1)), _xll.BDP(C25, "TICKER_AND_EXCH_CODE"), C25), "")</f>
        <v>ERICB SS</v>
      </c>
      <c r="C25" s="590" t="s">
        <v>745</v>
      </c>
      <c r="D25" s="567"/>
      <c r="E25" s="766" t="str">
        <f>IF(A25="","",IF(Lang="English",_xll.BDP(A25&amp;" EQUITY","NAME"),IF(Lang="中文",_xll.BDP(A25&amp;" EQUITY","NAME_CHINESE_TRADITIONAL"),_xll.BDP(A25&amp;" EQUITY","NAME_KANJI"))))</f>
        <v>ERICSSON LM-B SHS</v>
      </c>
      <c r="F25" s="767"/>
      <c r="G25" s="768"/>
      <c r="H25" s="766" t="str">
        <f>IF(A25="", "", _xll.BDP(A25 &amp; " EQUITY", "GICS_SUB_INDUSTRY_NAME"))</f>
        <v>Communications Equipment</v>
      </c>
      <c r="I25" s="767"/>
      <c r="J25" s="768"/>
      <c r="K25" s="510" t="str">
        <f>IF($A25="", "", _xll.BDP($A25 &amp; " EQUITY", "CRNCY"))</f>
        <v>SEK</v>
      </c>
      <c r="L25" s="276"/>
      <c r="M25" s="165">
        <f>IF(OR($A25="", ISERROR(_xll.BDP($A25 &amp; " EQUITY", "CRNCY_ADJ_MKT_CAP")*1)), "", _xll.BDP($A25 &amp; " EQUITY", "CRNCY_ADJ_MKT_CAP"))</f>
        <v>259747.73355780001</v>
      </c>
      <c r="N25" s="283">
        <f>IF(OR($A25="", ISERROR(_xll.BDP($A25 &amp; " EQUITY", "CRNCY_ADJ_MKT_CAP", "EQY_FUND_CRNCY", CURRENCY)*1)), "", _xll.BDP($A25 &amp; " EQUITY", "CRNCY_ADJ_MKT_CAP", "EQY_FUND_CRNCY", CURRENCY))</f>
        <v>31268.912927132722</v>
      </c>
      <c r="O25" s="146"/>
      <c r="P25" s="284">
        <f>IF(ISERROR(DataH!F30), "", DataH!F30)</f>
        <v>-0.12342790000000001</v>
      </c>
      <c r="Q25" s="103">
        <f>IF(ISERROR(DataH!G30), "", DataH!G30)</f>
        <v>-0.24849470000000001</v>
      </c>
      <c r="S25" s="285">
        <f>IF(ISERROR(DataH!H30), "", DataH!H30)</f>
        <v>1.1446615058006973</v>
      </c>
      <c r="T25" s="130">
        <f>IF(ISERROR(DataH!I30), "", DataH!I30)</f>
        <v>1.1403497844744248</v>
      </c>
      <c r="U25" s="130">
        <f>IF(ISERROR(DataH!J30), "", DataH!J30)</f>
        <v>1.1423709343017734</v>
      </c>
      <c r="V25" s="130">
        <f>IF(ISERROR(DataH!K30), "", DataH!K30)</f>
        <v>1.1393293954277293</v>
      </c>
      <c r="W25" s="497">
        <f>IF(ISERROR(DataH!L30), "", DataH!L30)</f>
        <v>1.0553254643915413</v>
      </c>
      <c r="X25" s="491">
        <f>IF(ISERROR(DataH!M30), "", DataH!M30)</f>
        <v>1.031211200569502</v>
      </c>
      <c r="Y25" s="492">
        <f>IF(ISERROR(DataH!N30), "", DataH!N30)</f>
        <v>1.0005099219202562</v>
      </c>
      <c r="Z25" s="281"/>
      <c r="AA25" s="267"/>
      <c r="AB25" s="267"/>
      <c r="AC25" s="5">
        <f>IF(YEAR(_xll.BToday())-YEAR(_xll.BDP($A25 &amp;" EQUITY", "EQY_FISCAL_YR_END"))&gt;=2, YEAR(_xll.BToday())-1, YEAR(_xll.BToday()))</f>
        <v>2015</v>
      </c>
    </row>
    <row r="26" spans="1:29" s="216" customFormat="1" ht="15" customHeight="1">
      <c r="A26" s="215" t="str">
        <f>IF(C26&lt;&gt;"", IF(ISNUMBER(FIND("EQUITY", UPPER(C26), 1)), _xll.BDP(C26, "TICKER_AND_EXCH_CODE"), C26), "")</f>
        <v/>
      </c>
      <c r="C26" s="589"/>
      <c r="D26" s="568"/>
      <c r="E26" s="763" t="str">
        <f>IF(A26="","",IF(Lang="English",_xll.BDP(A26&amp;" EQUITY","NAME"),IF(Lang="中文",_xll.BDP(A26&amp;" EQUITY","NAME_CHINESE_TRADITIONAL"),_xll.BDP(A26&amp;" EQUITY","NAME_KANJI"))))</f>
        <v/>
      </c>
      <c r="F26" s="764"/>
      <c r="G26" s="765"/>
      <c r="H26" s="763" t="str">
        <f>IF(A26="", "", _xll.BDP(A26 &amp; " EQUITY", "GICS_SUB_INDUSTRY_NAME"))</f>
        <v/>
      </c>
      <c r="I26" s="764"/>
      <c r="J26" s="765"/>
      <c r="K26" s="509" t="str">
        <f>IF($A26="", "", _xll.BDP($A26 &amp; " EQUITY", "CRNCY"))</f>
        <v/>
      </c>
      <c r="L26" s="276"/>
      <c r="M26" s="277" t="str">
        <f>IF(OR($A26="", ISERROR(_xll.BDP($A26 &amp; " EQUITY", "CRNCY_ADJ_MKT_CAP")*1)), "", _xll.BDP($A26 &amp; " EQUITY", "CRNCY_ADJ_MKT_CAP"))</f>
        <v/>
      </c>
      <c r="N26" s="278" t="str">
        <f>IF(OR($A26="", ISERROR(_xll.BDP($A26 &amp; " EQUITY", "CRNCY_ADJ_MKT_CAP", "EQY_FUND_CRNCY", CURRENCY)*1)), "", _xll.BDP($A26 &amp; " EQUITY", "CRNCY_ADJ_MKT_CAP", "EQY_FUND_CRNCY", CURRENCY))</f>
        <v/>
      </c>
      <c r="O26" s="146"/>
      <c r="P26" s="279" t="str">
        <f>IF(ISERROR(DataH!F31), "", DataH!F31)</f>
        <v/>
      </c>
      <c r="Q26" s="102" t="str">
        <f>IF(ISERROR(DataH!G31), "", DataH!G31)</f>
        <v/>
      </c>
      <c r="S26" s="280" t="str">
        <f>IF(ISERROR(DataH!H31), "", DataH!H31)</f>
        <v/>
      </c>
      <c r="T26" s="127" t="str">
        <f>IF(ISERROR(DataH!I31), "", DataH!I31)</f>
        <v/>
      </c>
      <c r="U26" s="127" t="str">
        <f>IF(ISERROR(DataH!J31), "", DataH!J31)</f>
        <v/>
      </c>
      <c r="V26" s="127" t="str">
        <f>IF(ISERROR(DataH!K31), "", DataH!K31)</f>
        <v/>
      </c>
      <c r="W26" s="494" t="str">
        <f>IF(ISERROR(DataH!L31), "", DataH!L31)</f>
        <v/>
      </c>
      <c r="X26" s="256" t="str">
        <f>IF(ISERROR(DataH!M31), "", DataH!M31)</f>
        <v/>
      </c>
      <c r="Y26" s="257" t="str">
        <f>IF(ISERROR(DataH!N31), "", DataH!N31)</f>
        <v/>
      </c>
      <c r="Z26" s="281"/>
      <c r="AA26" s="267"/>
      <c r="AB26" s="267"/>
      <c r="AC26" s="5" t="e">
        <f>IF(YEAR(_xll.BToday())-YEAR(_xll.BDP($A26 &amp;" EQUITY", "EQY_FISCAL_YR_END"))&gt;=2, YEAR(_xll.BToday())-1, YEAR(_xll.BToday()))</f>
        <v>#N/A</v>
      </c>
    </row>
    <row r="27" spans="1:29" s="216" customFormat="1" ht="15" customHeight="1">
      <c r="A27" s="215" t="str">
        <f>IF(C27&lt;&gt;"", IF(ISNUMBER(FIND("EQUITY", UPPER(C27), 1)), _xll.BDP(C27, "TICKER_AND_EXCH_CODE"), C27), "")</f>
        <v/>
      </c>
      <c r="C27" s="590"/>
      <c r="D27" s="567"/>
      <c r="E27" s="766" t="str">
        <f>IF(A27="","",IF(Lang="English",_xll.BDP(A27&amp;" EQUITY","NAME"),IF(Lang="中文",_xll.BDP(A27&amp;" EQUITY","NAME_CHINESE_TRADITIONAL"),_xll.BDP(A27&amp;" EQUITY","NAME_KANJI"))))</f>
        <v/>
      </c>
      <c r="F27" s="767"/>
      <c r="G27" s="768"/>
      <c r="H27" s="766" t="str">
        <f>IF(A27="", "", _xll.BDP(A27 &amp; " EQUITY", "GICS_SUB_INDUSTRY_NAME"))</f>
        <v/>
      </c>
      <c r="I27" s="767"/>
      <c r="J27" s="768"/>
      <c r="K27" s="510" t="str">
        <f>IF($A27="", "", _xll.BDP($A27 &amp; " EQUITY", "CRNCY"))</f>
        <v/>
      </c>
      <c r="L27" s="276"/>
      <c r="M27" s="165" t="str">
        <f>IF(OR($A27="", ISERROR(_xll.BDP($A27 &amp; " EQUITY", "CRNCY_ADJ_MKT_CAP")*1)), "", _xll.BDP($A27 &amp; " EQUITY", "CRNCY_ADJ_MKT_CAP"))</f>
        <v/>
      </c>
      <c r="N27" s="283" t="str">
        <f>IF(OR($A27="", ISERROR(_xll.BDP($A27 &amp; " EQUITY", "CRNCY_ADJ_MKT_CAP", "EQY_FUND_CRNCY", CURRENCY)*1)), "", _xll.BDP($A27 &amp; " EQUITY", "CRNCY_ADJ_MKT_CAP", "EQY_FUND_CRNCY", CURRENCY))</f>
        <v/>
      </c>
      <c r="O27" s="146"/>
      <c r="P27" s="284" t="str">
        <f>IF(ISERROR(DataH!F32), "", DataH!F32)</f>
        <v/>
      </c>
      <c r="Q27" s="103" t="str">
        <f>IF(ISERROR(DataH!G32), "", DataH!G32)</f>
        <v/>
      </c>
      <c r="S27" s="285" t="str">
        <f>IF(ISERROR(DataH!H32), "", DataH!H32)</f>
        <v/>
      </c>
      <c r="T27" s="130" t="str">
        <f>IF(ISERROR(DataH!I32), "", DataH!I32)</f>
        <v/>
      </c>
      <c r="U27" s="130" t="str">
        <f>IF(ISERROR(DataH!J32), "", DataH!J32)</f>
        <v/>
      </c>
      <c r="V27" s="130" t="str">
        <f>IF(ISERROR(DataH!K32), "", DataH!K32)</f>
        <v/>
      </c>
      <c r="W27" s="497" t="str">
        <f>IF(ISERROR(DataH!L32), "", DataH!L32)</f>
        <v/>
      </c>
      <c r="X27" s="491" t="str">
        <f>IF(ISERROR(DataH!M32), "", DataH!M32)</f>
        <v/>
      </c>
      <c r="Y27" s="492" t="str">
        <f>IF(ISERROR(DataH!N32), "", DataH!N32)</f>
        <v/>
      </c>
      <c r="Z27" s="281"/>
      <c r="AA27" s="267"/>
      <c r="AB27" s="267"/>
      <c r="AC27" s="5" t="e">
        <f>IF(YEAR(_xll.BToday())-YEAR(_xll.BDP($A27 &amp;" EQUITY", "EQY_FISCAL_YR_END"))&gt;=2, YEAR(_xll.BToday())-1, YEAR(_xll.BToday()))</f>
        <v>#N/A</v>
      </c>
    </row>
    <row r="28" spans="1:29" s="216" customFormat="1" ht="15" customHeight="1">
      <c r="A28" s="215" t="str">
        <f>IF(C28&lt;&gt;"", IF(ISNUMBER(FIND("EQUITY", UPPER(C28), 1)), _xll.BDP(C28, "TICKER_AND_EXCH_CODE"), C28), "")</f>
        <v/>
      </c>
      <c r="C28" s="589"/>
      <c r="D28" s="568"/>
      <c r="E28" s="763" t="str">
        <f>IF(A28="","",IF(Lang="English",_xll.BDP(A28&amp;" EQUITY","NAME"),IF(Lang="中文",_xll.BDP(A28&amp;" EQUITY","NAME_CHINESE_TRADITIONAL"),_xll.BDP(A28&amp;" EQUITY","NAME_KANJI"))))</f>
        <v/>
      </c>
      <c r="F28" s="764"/>
      <c r="G28" s="765"/>
      <c r="H28" s="763" t="str">
        <f>IF(A28="", "", _xll.BDP(A28 &amp; " EQUITY", "GICS_SUB_INDUSTRY_NAME"))</f>
        <v/>
      </c>
      <c r="I28" s="764"/>
      <c r="J28" s="765"/>
      <c r="K28" s="509" t="str">
        <f>IF($A28="", "", _xll.BDP($A28 &amp; " EQUITY", "CRNCY"))</f>
        <v/>
      </c>
      <c r="L28" s="276"/>
      <c r="M28" s="277" t="str">
        <f>IF(OR($A28="", ISERROR(_xll.BDP($A28 &amp; " EQUITY", "CRNCY_ADJ_MKT_CAP")*1)), "", _xll.BDP($A28 &amp; " EQUITY", "CRNCY_ADJ_MKT_CAP"))</f>
        <v/>
      </c>
      <c r="N28" s="278" t="str">
        <f>IF(OR($A28="", ISERROR(_xll.BDP($A28 &amp; " EQUITY", "CRNCY_ADJ_MKT_CAP", "EQY_FUND_CRNCY", CURRENCY)*1)), "", _xll.BDP($A28 &amp; " EQUITY", "CRNCY_ADJ_MKT_CAP", "EQY_FUND_CRNCY", CURRENCY))</f>
        <v/>
      </c>
      <c r="O28" s="146"/>
      <c r="P28" s="279" t="str">
        <f>IF(ISERROR(DataH!F33), "", DataH!F33)</f>
        <v/>
      </c>
      <c r="Q28" s="102" t="str">
        <f>IF(ISERROR(DataH!G33), "", DataH!G33)</f>
        <v/>
      </c>
      <c r="S28" s="280" t="str">
        <f>IF(ISERROR(DataH!H33), "", DataH!H33)</f>
        <v/>
      </c>
      <c r="T28" s="127" t="str">
        <f>IF(ISERROR(DataH!I33), "", DataH!I33)</f>
        <v/>
      </c>
      <c r="U28" s="127" t="str">
        <f>IF(ISERROR(DataH!J33), "", DataH!J33)</f>
        <v/>
      </c>
      <c r="V28" s="127" t="str">
        <f>IF(ISERROR(DataH!K33), "", DataH!K33)</f>
        <v/>
      </c>
      <c r="W28" s="494" t="str">
        <f>IF(ISERROR(DataH!L33), "", DataH!L33)</f>
        <v/>
      </c>
      <c r="X28" s="256" t="str">
        <f>IF(ISERROR(DataH!M33), "", DataH!M33)</f>
        <v/>
      </c>
      <c r="Y28" s="257" t="str">
        <f>IF(ISERROR(DataH!N33), "", DataH!N33)</f>
        <v/>
      </c>
      <c r="Z28" s="281"/>
      <c r="AA28" s="267"/>
      <c r="AB28" s="267"/>
      <c r="AC28" s="5" t="e">
        <f>IF(YEAR(_xll.BToday())-YEAR(_xll.BDP($A28 &amp;" EQUITY", "EQY_FISCAL_YR_END"))&gt;=2, YEAR(_xll.BToday())-1, YEAR(_xll.BToday()))</f>
        <v>#N/A</v>
      </c>
    </row>
    <row r="29" spans="1:29" s="216" customFormat="1" ht="15" customHeight="1">
      <c r="A29" s="215" t="str">
        <f>IF(C29&lt;&gt;"", IF(ISNUMBER(FIND("EQUITY", UPPER(C29), 1)), _xll.BDP(C29, "TICKER_AND_EXCH_CODE"), C29), "")</f>
        <v/>
      </c>
      <c r="C29" s="590"/>
      <c r="D29" s="567"/>
      <c r="E29" s="766" t="str">
        <f>IF(A29="","",IF(Lang="English",_xll.BDP(A29&amp;" EQUITY","NAME"),IF(Lang="中文",_xll.BDP(A29&amp;" EQUITY","NAME_CHINESE_TRADITIONAL"),_xll.BDP(A29&amp;" EQUITY","NAME_KANJI"))))</f>
        <v/>
      </c>
      <c r="F29" s="767"/>
      <c r="G29" s="768"/>
      <c r="H29" s="766" t="str">
        <f>IF(A29="", "", _xll.BDP(A29 &amp; " EQUITY", "GICS_SUB_INDUSTRY_NAME"))</f>
        <v/>
      </c>
      <c r="I29" s="767"/>
      <c r="J29" s="768"/>
      <c r="K29" s="510" t="str">
        <f>IF($A29="", "", _xll.BDP($A29 &amp; " EQUITY", "CRNCY"))</f>
        <v/>
      </c>
      <c r="L29" s="276"/>
      <c r="M29" s="165" t="str">
        <f>IF(OR($A29="", ISERROR(_xll.BDP($A29 &amp; " EQUITY", "CRNCY_ADJ_MKT_CAP")*1)), "", _xll.BDP($A29 &amp; " EQUITY", "CRNCY_ADJ_MKT_CAP"))</f>
        <v/>
      </c>
      <c r="N29" s="283" t="str">
        <f>IF(OR($A29="", ISERROR(_xll.BDP($A29 &amp; " EQUITY", "CRNCY_ADJ_MKT_CAP", "EQY_FUND_CRNCY", CURRENCY)*1)), "", _xll.BDP($A29 &amp; " EQUITY", "CRNCY_ADJ_MKT_CAP", "EQY_FUND_CRNCY", CURRENCY))</f>
        <v/>
      </c>
      <c r="O29" s="146"/>
      <c r="P29" s="284" t="str">
        <f>IF(ISERROR(DataH!F34), "", DataH!F34)</f>
        <v/>
      </c>
      <c r="Q29" s="103" t="str">
        <f>IF(ISERROR(DataH!G34), "", DataH!G34)</f>
        <v/>
      </c>
      <c r="S29" s="285" t="str">
        <f>IF(ISERROR(DataH!H34), "", DataH!H34)</f>
        <v/>
      </c>
      <c r="T29" s="130" t="str">
        <f>IF(ISERROR(DataH!I34), "", DataH!I34)</f>
        <v/>
      </c>
      <c r="U29" s="130" t="str">
        <f>IF(ISERROR(DataH!J34), "", DataH!J34)</f>
        <v/>
      </c>
      <c r="V29" s="130" t="str">
        <f>IF(ISERROR(DataH!K34), "", DataH!K34)</f>
        <v/>
      </c>
      <c r="W29" s="497" t="str">
        <f>IF(ISERROR(DataH!L34), "", DataH!L34)</f>
        <v/>
      </c>
      <c r="X29" s="491" t="str">
        <f>IF(ISERROR(DataH!M34), "", DataH!M34)</f>
        <v/>
      </c>
      <c r="Y29" s="492" t="str">
        <f>IF(ISERROR(DataH!N34), "", DataH!N34)</f>
        <v/>
      </c>
      <c r="Z29" s="281"/>
      <c r="AA29" s="267"/>
      <c r="AB29" s="267"/>
      <c r="AC29" s="5" t="e">
        <f>IF(YEAR(_xll.BToday())-YEAR(_xll.BDP($A29 &amp;" EQUITY", "EQY_FISCAL_YR_END"))&gt;=2, YEAR(_xll.BToday())-1, YEAR(_xll.BToday()))</f>
        <v>#N/A</v>
      </c>
    </row>
    <row r="30" spans="1:29" s="216" customFormat="1" ht="15" customHeight="1">
      <c r="A30" s="215" t="str">
        <f>IF(C30&lt;&gt;"", IF(ISNUMBER(FIND("EQUITY", UPPER(C30), 1)), _xll.BDP(C30, "TICKER_AND_EXCH_CODE"), C30), "")</f>
        <v/>
      </c>
      <c r="C30" s="589"/>
      <c r="D30" s="568"/>
      <c r="E30" s="763" t="str">
        <f>IF(A30="","",IF(Lang="English",_xll.BDP(A30&amp;" EQUITY","NAME"),IF(Lang="中文",_xll.BDP(A30&amp;" EQUITY","NAME_CHINESE_TRADITIONAL"),_xll.BDP(A30&amp;" EQUITY","NAME_KANJI"))))</f>
        <v/>
      </c>
      <c r="F30" s="764"/>
      <c r="G30" s="765"/>
      <c r="H30" s="763" t="str">
        <f>IF(A30="", "", _xll.BDP(A30 &amp; " EQUITY", "GICS_SUB_INDUSTRY_NAME"))</f>
        <v/>
      </c>
      <c r="I30" s="764"/>
      <c r="J30" s="765"/>
      <c r="K30" s="509" t="str">
        <f>IF($A30="", "", _xll.BDP($A30 &amp; " EQUITY", "CRNCY"))</f>
        <v/>
      </c>
      <c r="L30" s="276"/>
      <c r="M30" s="277" t="str">
        <f>IF(OR($A30="", ISERROR(_xll.BDP($A30 &amp; " EQUITY", "CRNCY_ADJ_MKT_CAP")*1)), "", _xll.BDP($A30 &amp; " EQUITY", "CRNCY_ADJ_MKT_CAP"))</f>
        <v/>
      </c>
      <c r="N30" s="278" t="str">
        <f>IF(OR($A30="", ISERROR(_xll.BDP($A30 &amp; " EQUITY", "CRNCY_ADJ_MKT_CAP", "EQY_FUND_CRNCY", CURRENCY)*1)), "", _xll.BDP($A30 &amp; " EQUITY", "CRNCY_ADJ_MKT_CAP", "EQY_FUND_CRNCY", CURRENCY))</f>
        <v/>
      </c>
      <c r="O30" s="146"/>
      <c r="P30" s="279" t="str">
        <f>IF(ISERROR(DataH!F35), "", DataH!F35)</f>
        <v/>
      </c>
      <c r="Q30" s="102" t="str">
        <f>IF(ISERROR(DataH!G35), "", DataH!G35)</f>
        <v/>
      </c>
      <c r="S30" s="280" t="str">
        <f>IF(ISERROR(DataH!H35), "", DataH!H35)</f>
        <v/>
      </c>
      <c r="T30" s="127" t="str">
        <f>IF(ISERROR(DataH!I35), "", DataH!I35)</f>
        <v/>
      </c>
      <c r="U30" s="127" t="str">
        <f>IF(ISERROR(DataH!J35), "", DataH!J35)</f>
        <v/>
      </c>
      <c r="V30" s="127" t="str">
        <f>IF(ISERROR(DataH!K35), "", DataH!K35)</f>
        <v/>
      </c>
      <c r="W30" s="494" t="str">
        <f>IF(ISERROR(DataH!L35), "", DataH!L35)</f>
        <v/>
      </c>
      <c r="X30" s="256" t="str">
        <f>IF(ISERROR(DataH!M35), "", DataH!M35)</f>
        <v/>
      </c>
      <c r="Y30" s="257" t="str">
        <f>IF(ISERROR(DataH!N35), "", DataH!N35)</f>
        <v/>
      </c>
      <c r="Z30" s="281"/>
      <c r="AA30" s="267"/>
      <c r="AB30" s="267"/>
      <c r="AC30" s="5" t="e">
        <f>IF(YEAR(_xll.BToday())-YEAR(_xll.BDP($A30 &amp;" EQUITY", "EQY_FISCAL_YR_END"))&gt;=2, YEAR(_xll.BToday())-1, YEAR(_xll.BToday()))</f>
        <v>#N/A</v>
      </c>
    </row>
    <row r="31" spans="1:29" s="216" customFormat="1" ht="15" customHeight="1">
      <c r="A31" s="215" t="str">
        <f>IF(C31&lt;&gt;"", IF(ISNUMBER(FIND("EQUITY", UPPER(C31), 1)), _xll.BDP(C31, "TICKER_AND_EXCH_CODE"), C31), "")</f>
        <v/>
      </c>
      <c r="C31" s="590"/>
      <c r="D31" s="567"/>
      <c r="E31" s="766" t="str">
        <f>IF(A31="","",IF(Lang="English",_xll.BDP(A31&amp;" EQUITY","NAME"),IF(Lang="中文",_xll.BDP(A31&amp;" EQUITY","NAME_CHINESE_TRADITIONAL"),_xll.BDP(A31&amp;" EQUITY","NAME_KANJI"))))</f>
        <v/>
      </c>
      <c r="F31" s="767"/>
      <c r="G31" s="768"/>
      <c r="H31" s="766" t="str">
        <f>IF(A31="", "", _xll.BDP(A31 &amp; " EQUITY", "GICS_SUB_INDUSTRY_NAME"))</f>
        <v/>
      </c>
      <c r="I31" s="767"/>
      <c r="J31" s="768"/>
      <c r="K31" s="510" t="str">
        <f>IF($A31="", "", _xll.BDP($A31 &amp; " EQUITY", "CRNCY"))</f>
        <v/>
      </c>
      <c r="L31" s="276"/>
      <c r="M31" s="165" t="str">
        <f>IF(OR($A31="", ISERROR(_xll.BDP($A31 &amp; " EQUITY", "CRNCY_ADJ_MKT_CAP")*1)), "", _xll.BDP($A31 &amp; " EQUITY", "CRNCY_ADJ_MKT_CAP"))</f>
        <v/>
      </c>
      <c r="N31" s="283" t="str">
        <f>IF(OR($A31="", ISERROR(_xll.BDP($A31 &amp; " EQUITY", "CRNCY_ADJ_MKT_CAP", "EQY_FUND_CRNCY", CURRENCY)*1)), "", _xll.BDP($A31 &amp; " EQUITY", "CRNCY_ADJ_MKT_CAP", "EQY_FUND_CRNCY", CURRENCY))</f>
        <v/>
      </c>
      <c r="O31" s="146"/>
      <c r="P31" s="284" t="str">
        <f>IF(ISERROR(DataH!F36), "", DataH!F36)</f>
        <v/>
      </c>
      <c r="Q31" s="103" t="str">
        <f>IF(ISERROR(DataH!G36), "", DataH!G36)</f>
        <v/>
      </c>
      <c r="S31" s="285" t="str">
        <f>IF(ISERROR(DataH!H36), "", DataH!H36)</f>
        <v/>
      </c>
      <c r="T31" s="130" t="str">
        <f>IF(ISERROR(DataH!I36), "", DataH!I36)</f>
        <v/>
      </c>
      <c r="U31" s="130" t="str">
        <f>IF(ISERROR(DataH!J36), "", DataH!J36)</f>
        <v/>
      </c>
      <c r="V31" s="130" t="str">
        <f>IF(ISERROR(DataH!K36), "", DataH!K36)</f>
        <v/>
      </c>
      <c r="W31" s="497" t="str">
        <f>IF(ISERROR(DataH!L36), "", DataH!L36)</f>
        <v/>
      </c>
      <c r="X31" s="491" t="str">
        <f>IF(ISERROR(DataH!M36), "", DataH!M36)</f>
        <v/>
      </c>
      <c r="Y31" s="492" t="str">
        <f>IF(ISERROR(DataH!N36), "", DataH!N36)</f>
        <v/>
      </c>
      <c r="Z31" s="281"/>
      <c r="AA31" s="267"/>
      <c r="AB31" s="267"/>
      <c r="AC31" s="5" t="e">
        <f>IF(YEAR(_xll.BToday())-YEAR(_xll.BDP($A31 &amp;" EQUITY", "EQY_FISCAL_YR_END"))&gt;=2, YEAR(_xll.BToday())-1, YEAR(_xll.BToday()))</f>
        <v>#N/A</v>
      </c>
    </row>
    <row r="32" spans="1:29" s="216" customFormat="1" ht="15" customHeight="1">
      <c r="A32" s="215" t="str">
        <f>IF(C32&lt;&gt;"", IF(ISNUMBER(FIND("EQUITY", UPPER(C32), 1)), _xll.BDP(C32, "TICKER_AND_EXCH_CODE"), C32), "")</f>
        <v/>
      </c>
      <c r="C32" s="589"/>
      <c r="D32" s="568"/>
      <c r="E32" s="763" t="str">
        <f>IF(A32="","",IF(Lang="English",_xll.BDP(A32&amp;" EQUITY","NAME"),IF(Lang="中文",_xll.BDP(A32&amp;" EQUITY","NAME_CHINESE_TRADITIONAL"),_xll.BDP(A32&amp;" EQUITY","NAME_KANJI"))))</f>
        <v/>
      </c>
      <c r="F32" s="764"/>
      <c r="G32" s="765"/>
      <c r="H32" s="763" t="str">
        <f>IF(A32="", "", _xll.BDP(A32 &amp; " EQUITY", "GICS_SUB_INDUSTRY_NAME"))</f>
        <v/>
      </c>
      <c r="I32" s="764"/>
      <c r="J32" s="765"/>
      <c r="K32" s="509" t="str">
        <f>IF($A32="", "", _xll.BDP($A32 &amp; " EQUITY", "CRNCY"))</f>
        <v/>
      </c>
      <c r="L32" s="276"/>
      <c r="M32" s="277" t="str">
        <f>IF(OR($A32="", ISERROR(_xll.BDP($A32 &amp; " EQUITY", "CRNCY_ADJ_MKT_CAP")*1)), "", _xll.BDP($A32 &amp; " EQUITY", "CRNCY_ADJ_MKT_CAP"))</f>
        <v/>
      </c>
      <c r="N32" s="278" t="str">
        <f>IF(OR($A32="", ISERROR(_xll.BDP($A32 &amp; " EQUITY", "CRNCY_ADJ_MKT_CAP", "EQY_FUND_CRNCY", CURRENCY)*1)), "", _xll.BDP($A32 &amp; " EQUITY", "CRNCY_ADJ_MKT_CAP", "EQY_FUND_CRNCY", CURRENCY))</f>
        <v/>
      </c>
      <c r="O32" s="146"/>
      <c r="P32" s="279" t="str">
        <f>IF(ISERROR(DataH!F37), "", DataH!F37)</f>
        <v/>
      </c>
      <c r="Q32" s="102" t="str">
        <f>IF(ISERROR(DataH!G37), "", DataH!G37)</f>
        <v/>
      </c>
      <c r="S32" s="280" t="str">
        <f>IF(ISERROR(DataH!H37), "", DataH!H37)</f>
        <v/>
      </c>
      <c r="T32" s="127" t="str">
        <f>IF(ISERROR(DataH!I37), "", DataH!I37)</f>
        <v/>
      </c>
      <c r="U32" s="127" t="str">
        <f>IF(ISERROR(DataH!J37), "", DataH!J37)</f>
        <v/>
      </c>
      <c r="V32" s="127" t="str">
        <f>IF(ISERROR(DataH!K37), "", DataH!K37)</f>
        <v/>
      </c>
      <c r="W32" s="494" t="str">
        <f>IF(ISERROR(DataH!L37), "", DataH!L37)</f>
        <v/>
      </c>
      <c r="X32" s="256" t="str">
        <f>IF(ISERROR(DataH!M37), "", DataH!M37)</f>
        <v/>
      </c>
      <c r="Y32" s="257" t="str">
        <f>IF(ISERROR(DataH!N37), "", DataH!N37)</f>
        <v/>
      </c>
      <c r="Z32" s="281"/>
      <c r="AA32" s="267"/>
      <c r="AB32" s="267"/>
      <c r="AC32" s="5" t="e">
        <f>IF(YEAR(_xll.BToday())-YEAR(_xll.BDP($A32 &amp;" EQUITY", "EQY_FISCAL_YR_END"))&gt;=2, YEAR(_xll.BToday())-1, YEAR(_xll.BToday()))</f>
        <v>#N/A</v>
      </c>
    </row>
    <row r="33" spans="1:29" s="216" customFormat="1" ht="15" customHeight="1">
      <c r="A33" s="215" t="str">
        <f>IF(C33&lt;&gt;"", IF(ISNUMBER(FIND("EQUITY", UPPER(C33), 1)), _xll.BDP(C33, "TICKER_AND_EXCH_CODE"), C33), "")</f>
        <v/>
      </c>
      <c r="C33" s="590"/>
      <c r="D33" s="567"/>
      <c r="E33" s="766" t="str">
        <f>IF(A33="","",IF(Lang="English",_xll.BDP(A33&amp;" EQUITY","NAME"),IF(Lang="中文",_xll.BDP(A33&amp;" EQUITY","NAME_CHINESE_TRADITIONAL"),_xll.BDP(A33&amp;" EQUITY","NAME_KANJI"))))</f>
        <v/>
      </c>
      <c r="F33" s="767"/>
      <c r="G33" s="768"/>
      <c r="H33" s="766" t="str">
        <f>IF(A33="", "", _xll.BDP(A33 &amp; " EQUITY", "GICS_SUB_INDUSTRY_NAME"))</f>
        <v/>
      </c>
      <c r="I33" s="767"/>
      <c r="J33" s="768"/>
      <c r="K33" s="510" t="str">
        <f>IF($A33="", "", _xll.BDP($A33 &amp; " EQUITY", "CRNCY"))</f>
        <v/>
      </c>
      <c r="L33" s="276"/>
      <c r="M33" s="165" t="str">
        <f>IF(OR($A33="", ISERROR(_xll.BDP($A33 &amp; " EQUITY", "CRNCY_ADJ_MKT_CAP")*1)), "", _xll.BDP($A33 &amp; " EQUITY", "CRNCY_ADJ_MKT_CAP"))</f>
        <v/>
      </c>
      <c r="N33" s="283" t="str">
        <f>IF(OR($A33="", ISERROR(_xll.BDP($A33 &amp; " EQUITY", "CRNCY_ADJ_MKT_CAP", "EQY_FUND_CRNCY", CURRENCY)*1)), "", _xll.BDP($A33 &amp; " EQUITY", "CRNCY_ADJ_MKT_CAP", "EQY_FUND_CRNCY", CURRENCY))</f>
        <v/>
      </c>
      <c r="O33" s="146"/>
      <c r="P33" s="284" t="str">
        <f>IF(ISERROR(DataH!F38), "", DataH!F38)</f>
        <v/>
      </c>
      <c r="Q33" s="103" t="str">
        <f>IF(ISERROR(DataH!G38), "", DataH!G38)</f>
        <v/>
      </c>
      <c r="S33" s="285" t="str">
        <f>IF(ISERROR(DataH!H38), "", DataH!H38)</f>
        <v/>
      </c>
      <c r="T33" s="130" t="str">
        <f>IF(ISERROR(DataH!I38), "", DataH!I38)</f>
        <v/>
      </c>
      <c r="U33" s="130" t="str">
        <f>IF(ISERROR(DataH!J38), "", DataH!J38)</f>
        <v/>
      </c>
      <c r="V33" s="130" t="str">
        <f>IF(ISERROR(DataH!K38), "", DataH!K38)</f>
        <v/>
      </c>
      <c r="W33" s="497" t="str">
        <f>IF(ISERROR(DataH!L38), "", DataH!L38)</f>
        <v/>
      </c>
      <c r="X33" s="491" t="str">
        <f>IF(ISERROR(DataH!M38), "", DataH!M38)</f>
        <v/>
      </c>
      <c r="Y33" s="492" t="str">
        <f>IF(ISERROR(DataH!N38), "", DataH!N38)</f>
        <v/>
      </c>
      <c r="Z33" s="281"/>
      <c r="AA33" s="250"/>
      <c r="AB33" s="250"/>
      <c r="AC33" s="5" t="e">
        <f>IF(YEAR(_xll.BToday())-YEAR(_xll.BDP($A33 &amp;" EQUITY", "EQY_FISCAL_YR_END"))&gt;=2, YEAR(_xll.BToday())-1, YEAR(_xll.BToday()))</f>
        <v>#N/A</v>
      </c>
    </row>
    <row r="34" spans="1:29" s="216" customFormat="1" ht="15" customHeight="1">
      <c r="A34" s="215" t="str">
        <f>IF(C34&lt;&gt;"", IF(ISNUMBER(FIND("EQUITY", UPPER(C34), 1)), _xll.BDP(C34, "TICKER_AND_EXCH_CODE"), C34), "")</f>
        <v/>
      </c>
      <c r="C34" s="589"/>
      <c r="D34" s="568"/>
      <c r="E34" s="763" t="str">
        <f>IF(A34="","",IF(Lang="English",_xll.BDP(A34&amp;" EQUITY","NAME"),IF(Lang="中文",_xll.BDP(A34&amp;" EQUITY","NAME_CHINESE_TRADITIONAL"),_xll.BDP(A34&amp;" EQUITY","NAME_KANJI"))))</f>
        <v/>
      </c>
      <c r="F34" s="764"/>
      <c r="G34" s="765"/>
      <c r="H34" s="763" t="str">
        <f>IF(A34="", "", _xll.BDP(A34 &amp; " EQUITY", "GICS_SUB_INDUSTRY_NAME"))</f>
        <v/>
      </c>
      <c r="I34" s="764"/>
      <c r="J34" s="765"/>
      <c r="K34" s="509" t="str">
        <f>IF($A34="", "", _xll.BDP($A34 &amp; " EQUITY", "CRNCY"))</f>
        <v/>
      </c>
      <c r="L34" s="276"/>
      <c r="M34" s="277" t="str">
        <f>IF(OR($A34="", ISERROR(_xll.BDP($A34 &amp; " EQUITY", "CRNCY_ADJ_MKT_CAP")*1)), "", _xll.BDP($A34 &amp; " EQUITY", "CRNCY_ADJ_MKT_CAP"))</f>
        <v/>
      </c>
      <c r="N34" s="278" t="str">
        <f>IF(OR($A34="", ISERROR(_xll.BDP($A34 &amp; " EQUITY", "CRNCY_ADJ_MKT_CAP", "EQY_FUND_CRNCY", CURRENCY)*1)), "", _xll.BDP($A34 &amp; " EQUITY", "CRNCY_ADJ_MKT_CAP", "EQY_FUND_CRNCY", CURRENCY))</f>
        <v/>
      </c>
      <c r="O34" s="146"/>
      <c r="P34" s="279" t="str">
        <f>IF(ISERROR(DataH!F39), "", DataH!F39)</f>
        <v/>
      </c>
      <c r="Q34" s="102" t="str">
        <f>IF(ISERROR(DataH!G39), "", DataH!G39)</f>
        <v/>
      </c>
      <c r="S34" s="280" t="str">
        <f>IF(ISERROR(DataH!H39), "", DataH!H39)</f>
        <v/>
      </c>
      <c r="T34" s="127" t="str">
        <f>IF(ISERROR(DataH!I39), "", DataH!I39)</f>
        <v/>
      </c>
      <c r="U34" s="127" t="str">
        <f>IF(ISERROR(DataH!J39), "", DataH!J39)</f>
        <v/>
      </c>
      <c r="V34" s="127" t="str">
        <f>IF(ISERROR(DataH!K39), "", DataH!K39)</f>
        <v/>
      </c>
      <c r="W34" s="494" t="str">
        <f>IF(ISERROR(DataH!L39), "", DataH!L39)</f>
        <v/>
      </c>
      <c r="X34" s="256" t="str">
        <f>IF(ISERROR(DataH!M39), "", DataH!M39)</f>
        <v/>
      </c>
      <c r="Y34" s="257" t="str">
        <f>IF(ISERROR(DataH!N39), "", DataH!N39)</f>
        <v/>
      </c>
      <c r="Z34" s="281"/>
      <c r="AA34" s="250"/>
      <c r="AB34" s="250"/>
      <c r="AC34" s="5" t="e">
        <f>IF(YEAR(_xll.BToday())-YEAR(_xll.BDP($A34 &amp;" EQUITY", "EQY_FISCAL_YR_END"))&gt;=2, YEAR(_xll.BToday())-1, YEAR(_xll.BToday()))</f>
        <v>#N/A</v>
      </c>
    </row>
    <row r="35" spans="1:29" s="216" customFormat="1" ht="15" customHeight="1">
      <c r="A35" s="215" t="str">
        <f>IF(C35&lt;&gt;"", IF(ISNUMBER(FIND("EQUITY", UPPER(C35), 1)), _xll.BDP(C35, "TICKER_AND_EXCH_CODE"), C35), "")</f>
        <v/>
      </c>
      <c r="C35" s="590"/>
      <c r="D35" s="567"/>
      <c r="E35" s="766" t="str">
        <f>IF(A35="","",IF(Lang="English",_xll.BDP(A35&amp;" EQUITY","NAME"),IF(Lang="中文",_xll.BDP(A35&amp;" EQUITY","NAME_CHINESE_TRADITIONAL"),_xll.BDP(A35&amp;" EQUITY","NAME_KANJI"))))</f>
        <v/>
      </c>
      <c r="F35" s="767"/>
      <c r="G35" s="768"/>
      <c r="H35" s="766" t="str">
        <f>IF(A35="", "", _xll.BDP(A35 &amp; " EQUITY", "GICS_SUB_INDUSTRY_NAME"))</f>
        <v/>
      </c>
      <c r="I35" s="767"/>
      <c r="J35" s="768"/>
      <c r="K35" s="510" t="str">
        <f>IF($A35="", "", _xll.BDP($A35 &amp; " EQUITY", "CRNCY"))</f>
        <v/>
      </c>
      <c r="L35" s="276"/>
      <c r="M35" s="165" t="str">
        <f>IF(OR($A35="", ISERROR(_xll.BDP($A35 &amp; " EQUITY", "CRNCY_ADJ_MKT_CAP")*1)), "", _xll.BDP($A35 &amp; " EQUITY", "CRNCY_ADJ_MKT_CAP"))</f>
        <v/>
      </c>
      <c r="N35" s="283" t="str">
        <f>IF(OR($A35="", ISERROR(_xll.BDP($A35 &amp; " EQUITY", "CRNCY_ADJ_MKT_CAP", "EQY_FUND_CRNCY", CURRENCY)*1)), "", _xll.BDP($A35 &amp; " EQUITY", "CRNCY_ADJ_MKT_CAP", "EQY_FUND_CRNCY", CURRENCY))</f>
        <v/>
      </c>
      <c r="O35" s="146"/>
      <c r="P35" s="284" t="str">
        <f>IF(ISERROR(DataH!F40), "", DataH!F40)</f>
        <v/>
      </c>
      <c r="Q35" s="103" t="str">
        <f>IF(ISERROR(DataH!G40), "", DataH!G40)</f>
        <v/>
      </c>
      <c r="S35" s="285" t="str">
        <f>IF(ISERROR(DataH!H40), "", DataH!H40)</f>
        <v/>
      </c>
      <c r="T35" s="130" t="str">
        <f>IF(ISERROR(DataH!I40), "", DataH!I40)</f>
        <v/>
      </c>
      <c r="U35" s="130" t="str">
        <f>IF(ISERROR(DataH!J40), "", DataH!J40)</f>
        <v/>
      </c>
      <c r="V35" s="130" t="str">
        <f>IF(ISERROR(DataH!K40), "", DataH!K40)</f>
        <v/>
      </c>
      <c r="W35" s="498" t="str">
        <f>IF(ISERROR(DataH!L40), "", DataH!L40)</f>
        <v/>
      </c>
      <c r="X35" s="286" t="str">
        <f>IF(ISERROR(DataH!M40), "", DataH!M40)</f>
        <v/>
      </c>
      <c r="Y35" s="287" t="str">
        <f>IF(ISERROR(DataH!N40), "", DataH!N40)</f>
        <v/>
      </c>
      <c r="Z35" s="281"/>
      <c r="AA35" s="250"/>
      <c r="AB35" s="250"/>
      <c r="AC35" s="5" t="e">
        <f>IF(YEAR(_xll.BToday())-YEAR(_xll.BDP($A35 &amp;" EQUITY", "EQY_FISCAL_YR_END"))&gt;=2, YEAR(_xll.BToday())-1, YEAR(_xll.BToday()))</f>
        <v>#N/A</v>
      </c>
    </row>
    <row r="36" spans="1:29" s="216" customFormat="1" ht="15" customHeight="1">
      <c r="A36" s="215" t="str">
        <f>IF(C36&lt;&gt;"", IF(ISNUMBER(FIND("EQUITY", UPPER(C36), 1)), _xll.BDP(C36, "TICKER_AND_EXCH_CODE"), C36), "")</f>
        <v/>
      </c>
      <c r="C36" s="589"/>
      <c r="D36" s="568"/>
      <c r="E36" s="763" t="str">
        <f>IF(A36="","",IF(Lang="English",_xll.BDP(A36&amp;" EQUITY","NAME"),IF(Lang="中文",_xll.BDP(A36&amp;" EQUITY","NAME_CHINESE_TRADITIONAL"),_xll.BDP(A36&amp;" EQUITY","NAME_KANJI"))))</f>
        <v/>
      </c>
      <c r="F36" s="764"/>
      <c r="G36" s="765"/>
      <c r="H36" s="763" t="str">
        <f>IF(A36="", "", _xll.BDP(A36 &amp; " EQUITY", "GICS_SUB_INDUSTRY_NAME"))</f>
        <v/>
      </c>
      <c r="I36" s="764"/>
      <c r="J36" s="765"/>
      <c r="K36" s="509" t="str">
        <f>IF($A36="", "", _xll.BDP($A36 &amp; " EQUITY", "CRNCY"))</f>
        <v/>
      </c>
      <c r="L36" s="276"/>
      <c r="M36" s="277" t="str">
        <f>IF(OR($A36="", ISERROR(_xll.BDP($A36 &amp; " EQUITY", "CRNCY_ADJ_MKT_CAP")*1)), "", _xll.BDP($A36 &amp; " EQUITY", "CRNCY_ADJ_MKT_CAP"))</f>
        <v/>
      </c>
      <c r="N36" s="278" t="str">
        <f>IF(OR($A36="", ISERROR(_xll.BDP($A36 &amp; " EQUITY", "CRNCY_ADJ_MKT_CAP", "EQY_FUND_CRNCY", CURRENCY)*1)), "", _xll.BDP($A36 &amp; " EQUITY", "CRNCY_ADJ_MKT_CAP", "EQY_FUND_CRNCY", CURRENCY))</f>
        <v/>
      </c>
      <c r="O36" s="146"/>
      <c r="P36" s="279" t="str">
        <f>IF(ISERROR(DataH!F41), "", DataH!F41)</f>
        <v/>
      </c>
      <c r="Q36" s="102" t="str">
        <f>IF(ISERROR(DataH!G41), "", DataH!G41)</f>
        <v/>
      </c>
      <c r="S36" s="280" t="str">
        <f>IF(ISERROR(DataH!H41), "", DataH!H41)</f>
        <v/>
      </c>
      <c r="T36" s="127" t="str">
        <f>IF(ISERROR(DataH!I41), "", DataH!I41)</f>
        <v/>
      </c>
      <c r="U36" s="127" t="str">
        <f>IF(ISERROR(DataH!J41), "", DataH!J41)</f>
        <v/>
      </c>
      <c r="V36" s="127" t="str">
        <f>IF(ISERROR(DataH!K41), "", DataH!K41)</f>
        <v/>
      </c>
      <c r="W36" s="494" t="str">
        <f>IF(ISERROR(DataH!L41), "", DataH!L41)</f>
        <v/>
      </c>
      <c r="X36" s="256" t="str">
        <f>IF(ISERROR(DataH!M41), "", DataH!M41)</f>
        <v/>
      </c>
      <c r="Y36" s="257" t="str">
        <f>IF(ISERROR(DataH!N41), "", DataH!N41)</f>
        <v/>
      </c>
      <c r="Z36" s="281"/>
      <c r="AA36" s="250"/>
      <c r="AB36" s="250"/>
      <c r="AC36" s="5" t="e">
        <f>IF(YEAR(_xll.BToday())-YEAR(_xll.BDP($A36 &amp;" EQUITY", "EQY_FISCAL_YR_END"))&gt;=2, YEAR(_xll.BToday())-1, YEAR(_xll.BToday()))</f>
        <v>#N/A</v>
      </c>
    </row>
    <row r="37" spans="1:29" s="216" customFormat="1" ht="15" customHeight="1">
      <c r="A37" s="215" t="str">
        <f>IF(C37&lt;&gt;"", IF(ISNUMBER(FIND("EQUITY", UPPER(C37), 1)), _xll.BDP(C37, "TICKER_AND_EXCH_CODE"), C37), "")</f>
        <v/>
      </c>
      <c r="C37" s="590"/>
      <c r="D37" s="567"/>
      <c r="E37" s="766" t="str">
        <f>IF(A37="","",IF(Lang="English",_xll.BDP(A37&amp;" EQUITY","NAME"),IF(Lang="中文",_xll.BDP(A37&amp;" EQUITY","NAME_CHINESE_TRADITIONAL"),_xll.BDP(A37&amp;" EQUITY","NAME_KANJI"))))</f>
        <v/>
      </c>
      <c r="F37" s="767"/>
      <c r="G37" s="768"/>
      <c r="H37" s="766" t="str">
        <f>IF(A37="", "", _xll.BDP(A37 &amp; " EQUITY", "GICS_SUB_INDUSTRY_NAME"))</f>
        <v/>
      </c>
      <c r="I37" s="767"/>
      <c r="J37" s="768"/>
      <c r="K37" s="510" t="str">
        <f>IF($A37="", "", _xll.BDP($A37 &amp; " EQUITY", "CRNCY"))</f>
        <v/>
      </c>
      <c r="L37" s="276"/>
      <c r="M37" s="165" t="str">
        <f>IF(OR($A37="", ISERROR(_xll.BDP($A37 &amp; " EQUITY", "CRNCY_ADJ_MKT_CAP")*1)), "", _xll.BDP($A37 &amp; " EQUITY", "CRNCY_ADJ_MKT_CAP"))</f>
        <v/>
      </c>
      <c r="N37" s="283" t="str">
        <f>IF(OR($A37="", ISERROR(_xll.BDP($A37 &amp; " EQUITY", "CRNCY_ADJ_MKT_CAP", "EQY_FUND_CRNCY", CURRENCY)*1)), "", _xll.BDP($A37 &amp; " EQUITY", "CRNCY_ADJ_MKT_CAP", "EQY_FUND_CRNCY", CURRENCY))</f>
        <v/>
      </c>
      <c r="O37" s="146"/>
      <c r="P37" s="284" t="str">
        <f>IF(ISERROR(DataH!F42), "", DataH!F42)</f>
        <v/>
      </c>
      <c r="Q37" s="103" t="str">
        <f>IF(ISERROR(DataH!G42), "", DataH!G42)</f>
        <v/>
      </c>
      <c r="S37" s="285" t="str">
        <f>IF(ISERROR(DataH!H42), "", DataH!H42)</f>
        <v/>
      </c>
      <c r="T37" s="130" t="str">
        <f>IF(ISERROR(DataH!I42), "", DataH!I42)</f>
        <v/>
      </c>
      <c r="U37" s="130" t="str">
        <f>IF(ISERROR(DataH!J42), "", DataH!J42)</f>
        <v/>
      </c>
      <c r="V37" s="130" t="str">
        <f>IF(ISERROR(DataH!K42), "", DataH!K42)</f>
        <v/>
      </c>
      <c r="W37" s="498" t="str">
        <f>IF(ISERROR(DataH!L42), "", DataH!L42)</f>
        <v/>
      </c>
      <c r="X37" s="286" t="str">
        <f>IF(ISERROR(DataH!M42), "", DataH!M42)</f>
        <v/>
      </c>
      <c r="Y37" s="287" t="str">
        <f>IF(ISERROR(DataH!N42), "", DataH!N42)</f>
        <v/>
      </c>
      <c r="Z37" s="281"/>
      <c r="AA37" s="250"/>
      <c r="AB37" s="250"/>
      <c r="AC37" s="5" t="e">
        <f>IF(YEAR(_xll.BToday())-YEAR(_xll.BDP($A37 &amp;" EQUITY", "EQY_FISCAL_YR_END"))&gt;=2, YEAR(_xll.BToday())-1, YEAR(_xll.BToday()))</f>
        <v>#N/A</v>
      </c>
    </row>
    <row r="38" spans="1:29" s="216" customFormat="1" ht="15" customHeight="1">
      <c r="A38" s="215" t="str">
        <f>IF(C38&lt;&gt;"", IF(ISNUMBER(FIND("EQUITY", UPPER(C38), 1)), _xll.BDP(C38, "TICKER_AND_EXCH_CODE"), C38), "")</f>
        <v/>
      </c>
      <c r="C38" s="589"/>
      <c r="D38" s="568"/>
      <c r="E38" s="763" t="str">
        <f>IF(A38="","",IF(Lang="English",_xll.BDP(A38&amp;" EQUITY","NAME"),IF(Lang="中文",_xll.BDP(A38&amp;" EQUITY","NAME_CHINESE_TRADITIONAL"),_xll.BDP(A38&amp;" EQUITY","NAME_KANJI"))))</f>
        <v/>
      </c>
      <c r="F38" s="764"/>
      <c r="G38" s="765"/>
      <c r="H38" s="763" t="str">
        <f>IF(A38="", "", _xll.BDP(A38 &amp; " EQUITY", "GICS_SUB_INDUSTRY_NAME"))</f>
        <v/>
      </c>
      <c r="I38" s="764"/>
      <c r="J38" s="765"/>
      <c r="K38" s="509" t="str">
        <f>IF($A38="", "", _xll.BDP($A38 &amp; " EQUITY", "CRNCY"))</f>
        <v/>
      </c>
      <c r="L38" s="276"/>
      <c r="M38" s="277" t="str">
        <f>IF(OR($A38="", ISERROR(_xll.BDP($A38 &amp; " EQUITY", "CRNCY_ADJ_MKT_CAP")*1)), "", _xll.BDP($A38 &amp; " EQUITY", "CRNCY_ADJ_MKT_CAP"))</f>
        <v/>
      </c>
      <c r="N38" s="278" t="str">
        <f>IF(OR($A38="", ISERROR(_xll.BDP($A38 &amp; " EQUITY", "CRNCY_ADJ_MKT_CAP", "EQY_FUND_CRNCY", CURRENCY)*1)), "", _xll.BDP($A38 &amp; " EQUITY", "CRNCY_ADJ_MKT_CAP", "EQY_FUND_CRNCY", CURRENCY))</f>
        <v/>
      </c>
      <c r="O38" s="146"/>
      <c r="P38" s="279" t="str">
        <f>IF(ISERROR(DataH!F43), "", DataH!F43)</f>
        <v/>
      </c>
      <c r="Q38" s="102" t="str">
        <f>IF(ISERROR(DataH!G43), "", DataH!G43)</f>
        <v/>
      </c>
      <c r="S38" s="280" t="str">
        <f>IF(ISERROR(DataH!H43), "", DataH!H43)</f>
        <v/>
      </c>
      <c r="T38" s="127" t="str">
        <f>IF(ISERROR(DataH!I43), "", DataH!I43)</f>
        <v/>
      </c>
      <c r="U38" s="127" t="str">
        <f>IF(ISERROR(DataH!J43), "", DataH!J43)</f>
        <v/>
      </c>
      <c r="V38" s="127" t="str">
        <f>IF(ISERROR(DataH!K43), "", DataH!K43)</f>
        <v/>
      </c>
      <c r="W38" s="494" t="str">
        <f>IF(ISERROR(DataH!L43), "", DataH!L43)</f>
        <v/>
      </c>
      <c r="X38" s="256" t="str">
        <f>IF(ISERROR(DataH!M43), "", DataH!M43)</f>
        <v/>
      </c>
      <c r="Y38" s="257" t="str">
        <f>IF(ISERROR(DataH!N43), "", DataH!N43)</f>
        <v/>
      </c>
      <c r="Z38" s="281"/>
      <c r="AA38" s="250"/>
      <c r="AB38" s="250"/>
      <c r="AC38" s="5" t="e">
        <f>IF(YEAR(_xll.BToday())-YEAR(_xll.BDP($A38 &amp;" EQUITY", "EQY_FISCAL_YR_END"))&gt;=2, YEAR(_xll.BToday())-1, YEAR(_xll.BToday()))</f>
        <v>#N/A</v>
      </c>
    </row>
    <row r="39" spans="1:29" s="216" customFormat="1" ht="15" customHeight="1">
      <c r="A39" s="215" t="str">
        <f>IF(C39&lt;&gt;"", IF(ISNUMBER(FIND("EQUITY", UPPER(C39), 1)), _xll.BDP(C39, "TICKER_AND_EXCH_CODE"), C39), "")</f>
        <v/>
      </c>
      <c r="C39" s="590"/>
      <c r="D39" s="567"/>
      <c r="E39" s="766" t="str">
        <f>IF(A39="","",IF(Lang="English",_xll.BDP(A39&amp;" EQUITY","NAME"),IF(Lang="中文",_xll.BDP(A39&amp;" EQUITY","NAME_CHINESE_TRADITIONAL"),_xll.BDP(A39&amp;" EQUITY","NAME_KANJI"))))</f>
        <v/>
      </c>
      <c r="F39" s="767"/>
      <c r="G39" s="768"/>
      <c r="H39" s="766" t="str">
        <f>IF(A39="", "", _xll.BDP(A39 &amp; " EQUITY", "GICS_SUB_INDUSTRY_NAME"))</f>
        <v/>
      </c>
      <c r="I39" s="767"/>
      <c r="J39" s="768"/>
      <c r="K39" s="510" t="str">
        <f>IF($A39="", "", _xll.BDP($A39 &amp; " EQUITY", "CRNCY"))</f>
        <v/>
      </c>
      <c r="L39" s="276"/>
      <c r="M39" s="165" t="str">
        <f>IF(OR($A39="", ISERROR(_xll.BDP($A39 &amp; " EQUITY", "CRNCY_ADJ_MKT_CAP")*1)), "", _xll.BDP($A39 &amp; " EQUITY", "CRNCY_ADJ_MKT_CAP"))</f>
        <v/>
      </c>
      <c r="N39" s="283" t="str">
        <f>IF(OR($A39="", ISERROR(_xll.BDP($A39 &amp; " EQUITY", "CRNCY_ADJ_MKT_CAP", "EQY_FUND_CRNCY", CURRENCY)*1)), "", _xll.BDP($A39 &amp; " EQUITY", "CRNCY_ADJ_MKT_CAP", "EQY_FUND_CRNCY", CURRENCY))</f>
        <v/>
      </c>
      <c r="O39" s="146"/>
      <c r="P39" s="284" t="str">
        <f>IF(ISERROR(DataH!F44), "", DataH!F44)</f>
        <v/>
      </c>
      <c r="Q39" s="103" t="str">
        <f>IF(ISERROR(DataH!G44), "", DataH!G44)</f>
        <v/>
      </c>
      <c r="S39" s="285" t="str">
        <f>IF(ISERROR(DataH!H44), "", DataH!H44)</f>
        <v/>
      </c>
      <c r="T39" s="130" t="str">
        <f>IF(ISERROR(DataH!I44), "", DataH!I44)</f>
        <v/>
      </c>
      <c r="U39" s="130" t="str">
        <f>IF(ISERROR(DataH!J44), "", DataH!J44)</f>
        <v/>
      </c>
      <c r="V39" s="130" t="str">
        <f>IF(ISERROR(DataH!K44), "", DataH!K44)</f>
        <v/>
      </c>
      <c r="W39" s="498" t="str">
        <f>IF(ISERROR(DataH!L44), "", DataH!L44)</f>
        <v/>
      </c>
      <c r="X39" s="286" t="str">
        <f>IF(ISERROR(DataH!M44), "", DataH!M44)</f>
        <v/>
      </c>
      <c r="Y39" s="287" t="str">
        <f>IF(ISERROR(DataH!N44), "", DataH!N44)</f>
        <v/>
      </c>
      <c r="Z39" s="281"/>
      <c r="AA39" s="250"/>
      <c r="AB39" s="288"/>
      <c r="AC39" s="5" t="e">
        <f>IF(YEAR(_xll.BToday())-YEAR(_xll.BDP($A39 &amp;" EQUITY", "EQY_FISCAL_YR_END"))&gt;=2, YEAR(_xll.BToday())-1, YEAR(_xll.BToday()))</f>
        <v>#N/A</v>
      </c>
    </row>
    <row r="40" spans="1:29" s="216" customFormat="1" ht="15" customHeight="1">
      <c r="A40" s="215" t="str">
        <f>IF(C40&lt;&gt;"", IF(ISNUMBER(FIND("EQUITY", UPPER(C40), 1)), _xll.BDP(C40, "TICKER_AND_EXCH_CODE"), C40), "")</f>
        <v/>
      </c>
      <c r="C40" s="589"/>
      <c r="D40" s="568"/>
      <c r="E40" s="763" t="str">
        <f>IF(A40="","",IF(Lang="English",_xll.BDP(A40&amp;" EQUITY","NAME"),IF(Lang="中文",_xll.BDP(A40&amp;" EQUITY","NAME_CHINESE_TRADITIONAL"),_xll.BDP(A40&amp;" EQUITY","NAME_KANJI"))))</f>
        <v/>
      </c>
      <c r="F40" s="764"/>
      <c r="G40" s="765"/>
      <c r="H40" s="763" t="str">
        <f>IF(A40="", "", _xll.BDP(A40 &amp; " EQUITY", "GICS_SUB_INDUSTRY_NAME"))</f>
        <v/>
      </c>
      <c r="I40" s="764"/>
      <c r="J40" s="765"/>
      <c r="K40" s="509" t="str">
        <f>IF($A40="", "", _xll.BDP($A40 &amp; " EQUITY", "CRNCY"))</f>
        <v/>
      </c>
      <c r="L40" s="276"/>
      <c r="M40" s="277" t="str">
        <f>IF(OR($A40="", ISERROR(_xll.BDP($A40 &amp; " EQUITY", "CRNCY_ADJ_MKT_CAP")*1)), "", _xll.BDP($A40 &amp; " EQUITY", "CRNCY_ADJ_MKT_CAP"))</f>
        <v/>
      </c>
      <c r="N40" s="278" t="str">
        <f>IF(OR($A40="", ISERROR(_xll.BDP($A40 &amp; " EQUITY", "CRNCY_ADJ_MKT_CAP", "EQY_FUND_CRNCY", CURRENCY)*1)), "", _xll.BDP($A40 &amp; " EQUITY", "CRNCY_ADJ_MKT_CAP", "EQY_FUND_CRNCY", CURRENCY))</f>
        <v/>
      </c>
      <c r="O40" s="146"/>
      <c r="P40" s="279" t="str">
        <f>IF(ISERROR(DataH!F45), "", DataH!F45)</f>
        <v/>
      </c>
      <c r="Q40" s="102" t="str">
        <f>IF(ISERROR(DataH!G45), "", DataH!G45)</f>
        <v/>
      </c>
      <c r="S40" s="280" t="str">
        <f>IF(ISERROR(DataH!H45), "", DataH!H45)</f>
        <v/>
      </c>
      <c r="T40" s="127" t="str">
        <f>IF(ISERROR(DataH!I45), "", DataH!I45)</f>
        <v/>
      </c>
      <c r="U40" s="127" t="str">
        <f>IF(ISERROR(DataH!J45), "", DataH!J45)</f>
        <v/>
      </c>
      <c r="V40" s="127" t="str">
        <f>IF(ISERROR(DataH!K45), "", DataH!K45)</f>
        <v/>
      </c>
      <c r="W40" s="494" t="str">
        <f>IF(ISERROR(DataH!L45), "", DataH!L45)</f>
        <v/>
      </c>
      <c r="X40" s="256" t="str">
        <f>IF(ISERROR(DataH!M45), "", DataH!M45)</f>
        <v/>
      </c>
      <c r="Y40" s="257" t="str">
        <f>IF(ISERROR(DataH!N45), "", DataH!N45)</f>
        <v/>
      </c>
      <c r="Z40" s="281"/>
      <c r="AA40" s="250"/>
      <c r="AB40" s="250"/>
      <c r="AC40" s="5" t="e">
        <f>IF(YEAR(_xll.BToday())-YEAR(_xll.BDP($A40 &amp;" EQUITY", "EQY_FISCAL_YR_END"))&gt;=2, YEAR(_xll.BToday())-1, YEAR(_xll.BToday()))</f>
        <v>#N/A</v>
      </c>
    </row>
    <row r="41" spans="1:29" s="216" customFormat="1" ht="15" customHeight="1">
      <c r="A41" s="215" t="str">
        <f>IF(C41&lt;&gt;"", IF(ISNUMBER(FIND("EQUITY", UPPER(C41), 1)), _xll.BDP(C41, "TICKER_AND_EXCH_CODE"), C41), "")</f>
        <v/>
      </c>
      <c r="C41" s="590"/>
      <c r="D41" s="567"/>
      <c r="E41" s="766" t="str">
        <f>IF(A41="","",IF(Lang="English",_xll.BDP(A41&amp;" EQUITY","NAME"),IF(Lang="中文",_xll.BDP(A41&amp;" EQUITY","NAME_CHINESE_TRADITIONAL"),_xll.BDP(A41&amp;" EQUITY","NAME_KANJI"))))</f>
        <v/>
      </c>
      <c r="F41" s="767"/>
      <c r="G41" s="768"/>
      <c r="H41" s="766" t="str">
        <f>IF(A41="", "", _xll.BDP(A41 &amp; " EQUITY", "GICS_SUB_INDUSTRY_NAME"))</f>
        <v/>
      </c>
      <c r="I41" s="767"/>
      <c r="J41" s="768"/>
      <c r="K41" s="510" t="str">
        <f>IF($A41="", "", _xll.BDP($A41 &amp; " EQUITY", "CRNCY"))</f>
        <v/>
      </c>
      <c r="L41" s="276"/>
      <c r="M41" s="165" t="str">
        <f>IF(OR($A41="", ISERROR(_xll.BDP($A41 &amp; " EQUITY", "CRNCY_ADJ_MKT_CAP")*1)), "", _xll.BDP($A41 &amp; " EQUITY", "CRNCY_ADJ_MKT_CAP"))</f>
        <v/>
      </c>
      <c r="N41" s="283" t="str">
        <f>IF(OR($A41="", ISERROR(_xll.BDP($A41 &amp; " EQUITY", "CRNCY_ADJ_MKT_CAP", "EQY_FUND_CRNCY", CURRENCY)*1)), "", _xll.BDP($A41 &amp; " EQUITY", "CRNCY_ADJ_MKT_CAP", "EQY_FUND_CRNCY", CURRENCY))</f>
        <v/>
      </c>
      <c r="O41" s="146"/>
      <c r="P41" s="284" t="str">
        <f>IF(ISERROR(DataH!F46), "", DataH!F46)</f>
        <v/>
      </c>
      <c r="Q41" s="103" t="str">
        <f>IF(ISERROR(DataH!G46), "", DataH!G46)</f>
        <v/>
      </c>
      <c r="S41" s="285" t="str">
        <f>IF(ISERROR(DataH!H46), "", DataH!H46)</f>
        <v/>
      </c>
      <c r="T41" s="130" t="str">
        <f>IF(ISERROR(DataH!I46), "", DataH!I46)</f>
        <v/>
      </c>
      <c r="U41" s="130" t="str">
        <f>IF(ISERROR(DataH!J46), "", DataH!J46)</f>
        <v/>
      </c>
      <c r="V41" s="130" t="str">
        <f>IF(ISERROR(DataH!K46), "", DataH!K46)</f>
        <v/>
      </c>
      <c r="W41" s="498" t="str">
        <f>IF(ISERROR(DataH!L46), "", DataH!L46)</f>
        <v/>
      </c>
      <c r="X41" s="286" t="str">
        <f>IF(ISERROR(DataH!M46), "", DataH!M46)</f>
        <v/>
      </c>
      <c r="Y41" s="287" t="str">
        <f>IF(ISERROR(DataH!N46), "", DataH!N46)</f>
        <v/>
      </c>
      <c r="Z41" s="281"/>
      <c r="AA41" s="250"/>
      <c r="AB41" s="250"/>
      <c r="AC41" s="5" t="e">
        <f>IF(YEAR(_xll.BToday())-YEAR(_xll.BDP($A41 &amp;" EQUITY", "EQY_FISCAL_YR_END"))&gt;=2, YEAR(_xll.BToday())-1, YEAR(_xll.BToday()))</f>
        <v>#N/A</v>
      </c>
    </row>
    <row r="42" spans="1:29" s="216" customFormat="1" ht="15" customHeight="1">
      <c r="A42" s="215" t="str">
        <f>IF(C42&lt;&gt;"", IF(ISNUMBER(FIND("EQUITY", UPPER(C42), 1)), _xll.BDP(C42, "TICKER_AND_EXCH_CODE"), C42), "")</f>
        <v/>
      </c>
      <c r="C42" s="589"/>
      <c r="D42" s="568"/>
      <c r="E42" s="763" t="str">
        <f>IF(A42="","",IF(Lang="English",_xll.BDP(A42&amp;" EQUITY","NAME"),IF(Lang="中文",_xll.BDP(A42&amp;" EQUITY","NAME_CHINESE_TRADITIONAL"),_xll.BDP(A42&amp;" EQUITY","NAME_KANJI"))))</f>
        <v/>
      </c>
      <c r="F42" s="764"/>
      <c r="G42" s="765"/>
      <c r="H42" s="763" t="str">
        <f>IF(A42="", "", _xll.BDP(A42 &amp; " EQUITY", "GICS_SUB_INDUSTRY_NAME"))</f>
        <v/>
      </c>
      <c r="I42" s="764"/>
      <c r="J42" s="765"/>
      <c r="K42" s="509" t="str">
        <f>IF($A42="", "", _xll.BDP($A42 &amp; " EQUITY", "CRNCY"))</f>
        <v/>
      </c>
      <c r="L42" s="276"/>
      <c r="M42" s="277" t="str">
        <f>IF(OR($A42="", ISERROR(_xll.BDP($A42 &amp; " EQUITY", "CRNCY_ADJ_MKT_CAP")*1)), "", _xll.BDP($A42 &amp; " EQUITY", "CRNCY_ADJ_MKT_CAP"))</f>
        <v/>
      </c>
      <c r="N42" s="278" t="str">
        <f>IF(OR($A42="", ISERROR(_xll.BDP($A42 &amp; " EQUITY", "CRNCY_ADJ_MKT_CAP", "EQY_FUND_CRNCY", CURRENCY)*1)), "", _xll.BDP($A42 &amp; " EQUITY", "CRNCY_ADJ_MKT_CAP", "EQY_FUND_CRNCY", CURRENCY))</f>
        <v/>
      </c>
      <c r="O42" s="146"/>
      <c r="P42" s="279" t="str">
        <f>IF(ISERROR(DataH!F47), "", DataH!F47)</f>
        <v/>
      </c>
      <c r="Q42" s="102" t="str">
        <f>IF(ISERROR(DataH!G47), "", DataH!G47)</f>
        <v/>
      </c>
      <c r="S42" s="280" t="str">
        <f>IF(ISERROR(DataH!H47), "", DataH!H47)</f>
        <v/>
      </c>
      <c r="T42" s="127" t="str">
        <f>IF(ISERROR(DataH!I47), "", DataH!I47)</f>
        <v/>
      </c>
      <c r="U42" s="127" t="str">
        <f>IF(ISERROR(DataH!J47), "", DataH!J47)</f>
        <v/>
      </c>
      <c r="V42" s="127" t="str">
        <f>IF(ISERROR(DataH!K47), "", DataH!K47)</f>
        <v/>
      </c>
      <c r="W42" s="494" t="str">
        <f>IF(ISERROR(DataH!L47), "", DataH!L47)</f>
        <v/>
      </c>
      <c r="X42" s="256" t="str">
        <f>IF(ISERROR(DataH!M47), "", DataH!M47)</f>
        <v/>
      </c>
      <c r="Y42" s="257" t="str">
        <f>IF(ISERROR(DataH!N47), "", DataH!N47)</f>
        <v/>
      </c>
      <c r="Z42" s="281"/>
      <c r="AA42" s="250"/>
      <c r="AB42" s="250"/>
      <c r="AC42" s="5" t="e">
        <f>IF(YEAR(_xll.BToday())-YEAR(_xll.BDP($A42 &amp;" EQUITY", "EQY_FISCAL_YR_END"))&gt;=2, YEAR(_xll.BToday())-1, YEAR(_xll.BToday()))</f>
        <v>#N/A</v>
      </c>
    </row>
    <row r="43" spans="1:29" s="216" customFormat="1" ht="15" customHeight="1">
      <c r="A43" s="215" t="str">
        <f>IF(C43&lt;&gt;"", IF(ISNUMBER(FIND("EQUITY", UPPER(C43), 1)), _xll.BDP(C43, "TICKER_AND_EXCH_CODE"), C43), "")</f>
        <v/>
      </c>
      <c r="C43" s="590"/>
      <c r="D43" s="567"/>
      <c r="E43" s="766" t="str">
        <f>IF(A43="","",IF(Lang="English",_xll.BDP(A43&amp;" EQUITY","NAME"),IF(Lang="中文",_xll.BDP(A43&amp;" EQUITY","NAME_CHINESE_TRADITIONAL"),_xll.BDP(A43&amp;" EQUITY","NAME_KANJI"))))</f>
        <v/>
      </c>
      <c r="F43" s="767"/>
      <c r="G43" s="768"/>
      <c r="H43" s="766" t="str">
        <f>IF(A43="", "", _xll.BDP(A43 &amp; " EQUITY", "GICS_SUB_INDUSTRY_NAME"))</f>
        <v/>
      </c>
      <c r="I43" s="767"/>
      <c r="J43" s="768"/>
      <c r="K43" s="510" t="str">
        <f>IF($A43="", "", _xll.BDP($A43 &amp; " EQUITY", "CRNCY"))</f>
        <v/>
      </c>
      <c r="L43" s="276"/>
      <c r="M43" s="165" t="str">
        <f>IF(OR($A43="", ISERROR(_xll.BDP($A43 &amp; " EQUITY", "CRNCY_ADJ_MKT_CAP")*1)), "", _xll.BDP($A43 &amp; " EQUITY", "CRNCY_ADJ_MKT_CAP"))</f>
        <v/>
      </c>
      <c r="N43" s="283" t="str">
        <f>IF(OR($A43="", ISERROR(_xll.BDP($A43 &amp; " EQUITY", "CRNCY_ADJ_MKT_CAP", "EQY_FUND_CRNCY", CURRENCY)*1)), "", _xll.BDP($A43 &amp; " EQUITY", "CRNCY_ADJ_MKT_CAP", "EQY_FUND_CRNCY", CURRENCY))</f>
        <v/>
      </c>
      <c r="O43" s="146"/>
      <c r="P43" s="284" t="str">
        <f>IF(ISERROR(DataH!F48), "", DataH!F48)</f>
        <v/>
      </c>
      <c r="Q43" s="103" t="str">
        <f>IF(ISERROR(DataH!G48), "", DataH!G48)</f>
        <v/>
      </c>
      <c r="S43" s="285" t="str">
        <f>IF(ISERROR(DataH!H48), "", DataH!H48)</f>
        <v/>
      </c>
      <c r="T43" s="130" t="str">
        <f>IF(ISERROR(DataH!I48), "", DataH!I48)</f>
        <v/>
      </c>
      <c r="U43" s="130" t="str">
        <f>IF(ISERROR(DataH!J48), "", DataH!J48)</f>
        <v/>
      </c>
      <c r="V43" s="130" t="str">
        <f>IF(ISERROR(DataH!K48), "", DataH!K48)</f>
        <v/>
      </c>
      <c r="W43" s="498" t="str">
        <f>IF(ISERROR(DataH!L48), "", DataH!L48)</f>
        <v/>
      </c>
      <c r="X43" s="286" t="str">
        <f>IF(ISERROR(DataH!M48), "", DataH!M48)</f>
        <v/>
      </c>
      <c r="Y43" s="287" t="str">
        <f>IF(ISERROR(DataH!N48), "", DataH!N48)</f>
        <v/>
      </c>
      <c r="Z43" s="281"/>
      <c r="AA43" s="250"/>
      <c r="AB43" s="250"/>
      <c r="AC43" s="5" t="e">
        <f>IF(YEAR(_xll.BToday())-YEAR(_xll.BDP($A43 &amp;" EQUITY", "EQY_FISCAL_YR_END"))&gt;=2, YEAR(_xll.BToday())-1, YEAR(_xll.BToday()))</f>
        <v>#N/A</v>
      </c>
    </row>
    <row r="44" spans="1:29" s="216" customFormat="1" ht="15" customHeight="1">
      <c r="A44" s="215" t="str">
        <f>IF(C44&lt;&gt;"", IF(ISNUMBER(FIND("EQUITY", UPPER(C44), 1)), _xll.BDP(C44, "TICKER_AND_EXCH_CODE"), C44), "")</f>
        <v/>
      </c>
      <c r="C44" s="589"/>
      <c r="D44" s="568"/>
      <c r="E44" s="763" t="str">
        <f>IF(A44="","",IF(Lang="English",_xll.BDP(A44&amp;" EQUITY","NAME"),IF(Lang="中文",_xll.BDP(A44&amp;" EQUITY","NAME_CHINESE_TRADITIONAL"),_xll.BDP(A44&amp;" EQUITY","NAME_KANJI"))))</f>
        <v/>
      </c>
      <c r="F44" s="764"/>
      <c r="G44" s="765"/>
      <c r="H44" s="763" t="str">
        <f>IF(A44="", "", _xll.BDP(A44 &amp; " EQUITY", "GICS_SUB_INDUSTRY_NAME"))</f>
        <v/>
      </c>
      <c r="I44" s="764"/>
      <c r="J44" s="765"/>
      <c r="K44" s="509" t="str">
        <f>IF($A44="", "", _xll.BDP($A44 &amp; " EQUITY", "CRNCY"))</f>
        <v/>
      </c>
      <c r="L44" s="276"/>
      <c r="M44" s="277" t="str">
        <f>IF(OR($A44="", ISERROR(_xll.BDP($A44 &amp; " EQUITY", "CRNCY_ADJ_MKT_CAP")*1)), "", _xll.BDP($A44 &amp; " EQUITY", "CRNCY_ADJ_MKT_CAP"))</f>
        <v/>
      </c>
      <c r="N44" s="278" t="str">
        <f>IF(OR($A44="", ISERROR(_xll.BDP($A44 &amp; " EQUITY", "CRNCY_ADJ_MKT_CAP", "EQY_FUND_CRNCY", CURRENCY)*1)), "", _xll.BDP($A44 &amp; " EQUITY", "CRNCY_ADJ_MKT_CAP", "EQY_FUND_CRNCY", CURRENCY))</f>
        <v/>
      </c>
      <c r="O44" s="146"/>
      <c r="P44" s="279" t="str">
        <f>IF(ISERROR(DataH!F49), "", DataH!F49)</f>
        <v/>
      </c>
      <c r="Q44" s="102" t="str">
        <f>IF(ISERROR(DataH!G49), "", DataH!G49)</f>
        <v/>
      </c>
      <c r="S44" s="280" t="str">
        <f>IF(ISERROR(DataH!H49), "", DataH!H49)</f>
        <v/>
      </c>
      <c r="T44" s="127" t="str">
        <f>IF(ISERROR(DataH!I49), "", DataH!I49)</f>
        <v/>
      </c>
      <c r="U44" s="127" t="str">
        <f>IF(ISERROR(DataH!J49), "", DataH!J49)</f>
        <v/>
      </c>
      <c r="V44" s="127" t="str">
        <f>IF(ISERROR(DataH!K49), "", DataH!K49)</f>
        <v/>
      </c>
      <c r="W44" s="494" t="str">
        <f>IF(ISERROR(DataH!L49), "", DataH!L49)</f>
        <v/>
      </c>
      <c r="X44" s="256" t="str">
        <f>IF(ISERROR(DataH!M49), "", DataH!M49)</f>
        <v/>
      </c>
      <c r="Y44" s="257" t="str">
        <f>IF(ISERROR(DataH!N49), "", DataH!N49)</f>
        <v/>
      </c>
      <c r="Z44" s="281"/>
      <c r="AA44" s="250"/>
      <c r="AB44" s="250"/>
      <c r="AC44" s="5" t="e">
        <f>IF(YEAR(_xll.BToday())-YEAR(_xll.BDP($A44 &amp;" EQUITY", "EQY_FISCAL_YR_END"))&gt;=2, YEAR(_xll.BToday())-1, YEAR(_xll.BToday()))</f>
        <v>#N/A</v>
      </c>
    </row>
    <row r="45" spans="1:29" s="216" customFormat="1" ht="15" customHeight="1">
      <c r="A45" s="215" t="str">
        <f>IF(C45&lt;&gt;"", IF(ISNUMBER(FIND("EQUITY", UPPER(C45), 1)), _xll.BDP(C45, "TICKER_AND_EXCH_CODE"), C45), "")</f>
        <v/>
      </c>
      <c r="C45" s="590"/>
      <c r="D45" s="567"/>
      <c r="E45" s="766" t="str">
        <f>IF(A45="","",IF(Lang="English",_xll.BDP(A45&amp;" EQUITY","NAME"),IF(Lang="中文",_xll.BDP(A45&amp;" EQUITY","NAME_CHINESE_TRADITIONAL"),_xll.BDP(A45&amp;" EQUITY","NAME_KANJI"))))</f>
        <v/>
      </c>
      <c r="F45" s="767"/>
      <c r="G45" s="768"/>
      <c r="H45" s="766" t="str">
        <f>IF(A45="", "", _xll.BDP(A45 &amp; " EQUITY", "GICS_SUB_INDUSTRY_NAME"))</f>
        <v/>
      </c>
      <c r="I45" s="767"/>
      <c r="J45" s="768"/>
      <c r="K45" s="510" t="str">
        <f>IF($A45="", "", _xll.BDP($A45 &amp; " EQUITY", "CRNCY"))</f>
        <v/>
      </c>
      <c r="L45" s="276"/>
      <c r="M45" s="165" t="str">
        <f>IF(OR($A45="", ISERROR(_xll.BDP($A45 &amp; " EQUITY", "CRNCY_ADJ_MKT_CAP")*1)), "", _xll.BDP($A45 &amp; " EQUITY", "CRNCY_ADJ_MKT_CAP"))</f>
        <v/>
      </c>
      <c r="N45" s="283" t="str">
        <f>IF(OR($A45="", ISERROR(_xll.BDP($A45 &amp; " EQUITY", "CRNCY_ADJ_MKT_CAP", "EQY_FUND_CRNCY", CURRENCY)*1)), "", _xll.BDP($A45 &amp; " EQUITY", "CRNCY_ADJ_MKT_CAP", "EQY_FUND_CRNCY", CURRENCY))</f>
        <v/>
      </c>
      <c r="O45" s="146"/>
      <c r="P45" s="284" t="str">
        <f>IF(ISERROR(DataH!F50), "", DataH!F50)</f>
        <v/>
      </c>
      <c r="Q45" s="103" t="str">
        <f>IF(ISERROR(DataH!G50), "", DataH!G50)</f>
        <v/>
      </c>
      <c r="S45" s="285" t="str">
        <f>IF(ISERROR(DataH!H50), "", DataH!H50)</f>
        <v/>
      </c>
      <c r="T45" s="130" t="str">
        <f>IF(ISERROR(DataH!I50), "", DataH!I50)</f>
        <v/>
      </c>
      <c r="U45" s="130" t="str">
        <f>IF(ISERROR(DataH!J50), "", DataH!J50)</f>
        <v/>
      </c>
      <c r="V45" s="130" t="str">
        <f>IF(ISERROR(DataH!K50), "", DataH!K50)</f>
        <v/>
      </c>
      <c r="W45" s="498" t="str">
        <f>IF(ISERROR(DataH!L50), "", DataH!L50)</f>
        <v/>
      </c>
      <c r="X45" s="286" t="str">
        <f>IF(ISERROR(DataH!M50), "", DataH!M50)</f>
        <v/>
      </c>
      <c r="Y45" s="287" t="str">
        <f>IF(ISERROR(DataH!N50), "", DataH!N50)</f>
        <v/>
      </c>
      <c r="Z45" s="281"/>
      <c r="AA45" s="250"/>
      <c r="AB45" s="250"/>
      <c r="AC45" s="5" t="e">
        <f>IF(YEAR(_xll.BToday())-YEAR(_xll.BDP($A45 &amp;" EQUITY", "EQY_FISCAL_YR_END"))&gt;=2, YEAR(_xll.BToday())-1, YEAR(_xll.BToday()))</f>
        <v>#N/A</v>
      </c>
    </row>
    <row r="46" spans="1:29" s="216" customFormat="1" ht="15" customHeight="1">
      <c r="A46" s="215" t="str">
        <f>IF(C46&lt;&gt;"", IF(ISNUMBER(FIND("EQUITY", UPPER(C46), 1)), _xll.BDP(C46, "TICKER_AND_EXCH_CODE"), C46), "")</f>
        <v/>
      </c>
      <c r="C46" s="589"/>
      <c r="D46" s="568"/>
      <c r="E46" s="763" t="str">
        <f>IF(A46="","",IF(Lang="English",_xll.BDP(A46&amp;" EQUITY","NAME"),IF(Lang="中文",_xll.BDP(A46&amp;" EQUITY","NAME_CHINESE_TRADITIONAL"),_xll.BDP(A46&amp;" EQUITY","NAME_KANJI"))))</f>
        <v/>
      </c>
      <c r="F46" s="764"/>
      <c r="G46" s="765"/>
      <c r="H46" s="763" t="str">
        <f>IF(A46="", "", _xll.BDP(A46 &amp; " EQUITY", "GICS_SUB_INDUSTRY_NAME"))</f>
        <v/>
      </c>
      <c r="I46" s="764"/>
      <c r="J46" s="765"/>
      <c r="K46" s="509" t="str">
        <f>IF($A46="", "", _xll.BDP($A46 &amp; " EQUITY", "CRNCY"))</f>
        <v/>
      </c>
      <c r="L46" s="276"/>
      <c r="M46" s="277" t="str">
        <f>IF(OR($A46="", ISERROR(_xll.BDP($A46 &amp; " EQUITY", "CRNCY_ADJ_MKT_CAP")*1)), "", _xll.BDP($A46 &amp; " EQUITY", "CRNCY_ADJ_MKT_CAP"))</f>
        <v/>
      </c>
      <c r="N46" s="278" t="str">
        <f>IF(OR($A46="", ISERROR(_xll.BDP($A46 &amp; " EQUITY", "CRNCY_ADJ_MKT_CAP", "EQY_FUND_CRNCY", CURRENCY)*1)), "", _xll.BDP($A46 &amp; " EQUITY", "CRNCY_ADJ_MKT_CAP", "EQY_FUND_CRNCY", CURRENCY))</f>
        <v/>
      </c>
      <c r="O46" s="146"/>
      <c r="P46" s="279" t="str">
        <f>IF(ISERROR(DataH!F51), "", DataH!F51)</f>
        <v/>
      </c>
      <c r="Q46" s="102" t="str">
        <f>IF(ISERROR(DataH!G51), "", DataH!G51)</f>
        <v/>
      </c>
      <c r="S46" s="280" t="str">
        <f>IF(ISERROR(DataH!H51), "", DataH!H51)</f>
        <v/>
      </c>
      <c r="T46" s="127" t="str">
        <f>IF(ISERROR(DataH!I51), "", DataH!I51)</f>
        <v/>
      </c>
      <c r="U46" s="127" t="str">
        <f>IF(ISERROR(DataH!J51), "", DataH!J51)</f>
        <v/>
      </c>
      <c r="V46" s="127" t="str">
        <f>IF(ISERROR(DataH!K51), "", DataH!K51)</f>
        <v/>
      </c>
      <c r="W46" s="494" t="str">
        <f>IF(ISERROR(DataH!L51), "", DataH!L51)</f>
        <v/>
      </c>
      <c r="X46" s="256" t="str">
        <f>IF(ISERROR(DataH!M51), "", DataH!M51)</f>
        <v/>
      </c>
      <c r="Y46" s="257" t="str">
        <f>IF(ISERROR(DataH!N51), "", DataH!N51)</f>
        <v/>
      </c>
      <c r="Z46" s="281"/>
      <c r="AA46" s="250"/>
      <c r="AB46" s="250"/>
      <c r="AC46" s="5" t="e">
        <f>IF(YEAR(_xll.BToday())-YEAR(_xll.BDP($A46 &amp;" EQUITY", "EQY_FISCAL_YR_END"))&gt;=2, YEAR(_xll.BToday())-1, YEAR(_xll.BToday()))</f>
        <v>#N/A</v>
      </c>
    </row>
    <row r="47" spans="1:29" s="216" customFormat="1" ht="15" customHeight="1">
      <c r="A47" s="215" t="str">
        <f>IF(C47&lt;&gt;"", IF(ISNUMBER(FIND("EQUITY", UPPER(C47), 1)), _xll.BDP(C47, "TICKER_AND_EXCH_CODE"), C47), "")</f>
        <v/>
      </c>
      <c r="C47" s="590"/>
      <c r="D47" s="571"/>
      <c r="E47" s="780" t="str">
        <f>IF(A47="","",IF(Lang="English",_xll.BDP(A47&amp;" EQUITY","NAME"),IF(Lang="中文",_xll.BDP(A47&amp;" EQUITY","NAME_CHINESE_TRADITIONAL"),_xll.BDP(A47&amp;" EQUITY","NAME_KANJI"))))</f>
        <v/>
      </c>
      <c r="F47" s="781"/>
      <c r="G47" s="782"/>
      <c r="H47" s="780" t="str">
        <f>IF(A47="", "", _xll.BDP(A47 &amp; " EQUITY", "GICS_SUB_INDUSTRY_NAME"))</f>
        <v/>
      </c>
      <c r="I47" s="781"/>
      <c r="J47" s="782"/>
      <c r="K47" s="572" t="str">
        <f>IF($A47="", "", _xll.BDP($A47 &amp; " EQUITY", "CRNCY"))</f>
        <v/>
      </c>
      <c r="L47" s="573"/>
      <c r="M47" s="574" t="str">
        <f>IF(OR($A47="", ISERROR(_xll.BDP($A47 &amp; " EQUITY", "CRNCY_ADJ_MKT_CAP")*1)), "", _xll.BDP($A47 &amp; " EQUITY", "CRNCY_ADJ_MKT_CAP"))</f>
        <v/>
      </c>
      <c r="N47" s="575" t="str">
        <f>IF(OR($A47="", ISERROR(_xll.BDP($A47 &amp; " EQUITY", "CRNCY_ADJ_MKT_CAP", "EQY_FUND_CRNCY", CURRENCY)*1)), "", _xll.BDP($A47 &amp; " EQUITY", "CRNCY_ADJ_MKT_CAP", "EQY_FUND_CRNCY", CURRENCY))</f>
        <v/>
      </c>
      <c r="O47" s="146"/>
      <c r="P47" s="576" t="str">
        <f>IF(ISERROR(DataH!F52), "", DataH!F52)</f>
        <v/>
      </c>
      <c r="Q47" s="577" t="str">
        <f>IF(ISERROR(DataH!G52), "", DataH!G52)</f>
        <v/>
      </c>
      <c r="R47" s="578"/>
      <c r="S47" s="579" t="str">
        <f>IF(ISERROR(DataH!H52), "", DataH!H52)</f>
        <v/>
      </c>
      <c r="T47" s="580" t="str">
        <f>IF(ISERROR(DataH!I52), "", DataH!I52)</f>
        <v/>
      </c>
      <c r="U47" s="580" t="str">
        <f>IF(ISERROR(DataH!J52), "", DataH!J52)</f>
        <v/>
      </c>
      <c r="V47" s="580" t="str">
        <f>IF(ISERROR(DataH!K52), "", DataH!K52)</f>
        <v/>
      </c>
      <c r="W47" s="498" t="str">
        <f>IF(ISERROR(DataH!L52), "", DataH!L52)</f>
        <v/>
      </c>
      <c r="X47" s="286" t="str">
        <f>IF(ISERROR(DataH!M52), "", DataH!M52)</f>
        <v/>
      </c>
      <c r="Y47" s="287" t="str">
        <f>IF(ISERROR(DataH!N52), "", DataH!N52)</f>
        <v/>
      </c>
      <c r="Z47" s="281"/>
      <c r="AA47" s="250"/>
      <c r="AB47" s="250"/>
      <c r="AC47" s="5" t="e">
        <f>IF(YEAR(_xll.BToday())-YEAR(_xll.BDP($A47 &amp;" EQUITY", "EQY_FISCAL_YR_END"))&gt;=2, YEAR(_xll.BToday())-1, YEAR(_xll.BToday()))</f>
        <v>#N/A</v>
      </c>
    </row>
    <row r="48" spans="1:29" s="216" customFormat="1" ht="15" customHeight="1">
      <c r="A48" s="215" t="str">
        <f>IF(C48&lt;&gt;"", IF(ISNUMBER(FIND("EQUITY", UPPER(C48), 1)), _xll.BDP(C48, "TICKER_AND_EXCH_CODE"), C48), "")</f>
        <v/>
      </c>
      <c r="C48" s="589"/>
      <c r="D48" s="568"/>
      <c r="E48" s="763" t="str">
        <f>IF(A48="","",IF(Lang="English",_xll.BDP(A48&amp;" EQUITY","NAME"),IF(Lang="中文",_xll.BDP(A48&amp;" EQUITY","NAME_CHINESE_TRADITIONAL"),_xll.BDP(A48&amp;" EQUITY","NAME_KANJI"))))</f>
        <v/>
      </c>
      <c r="F48" s="764"/>
      <c r="G48" s="765"/>
      <c r="H48" s="763" t="str">
        <f>IF(A48="", "", _xll.BDP(A48 &amp; " EQUITY", "GICS_SUB_INDUSTRY_NAME"))</f>
        <v/>
      </c>
      <c r="I48" s="764"/>
      <c r="J48" s="765"/>
      <c r="K48" s="509" t="str">
        <f>IF($A48="", "", _xll.BDP($A48 &amp; " EQUITY", "CRNCY"))</f>
        <v/>
      </c>
      <c r="L48" s="276"/>
      <c r="M48" s="277" t="str">
        <f>IF(OR($A48="", ISERROR(_xll.BDP($A48 &amp; " EQUITY", "CRNCY_ADJ_MKT_CAP")*1)), "", _xll.BDP($A48 &amp; " EQUITY", "CRNCY_ADJ_MKT_CAP"))</f>
        <v/>
      </c>
      <c r="N48" s="278" t="str">
        <f>IF(OR($A48="", ISERROR(_xll.BDP($A48 &amp; " EQUITY", "CRNCY_ADJ_MKT_CAP", "EQY_FUND_CRNCY", CURRENCY)*1)), "", _xll.BDP($A48 &amp; " EQUITY", "CRNCY_ADJ_MKT_CAP", "EQY_FUND_CRNCY", CURRENCY))</f>
        <v/>
      </c>
      <c r="O48" s="146"/>
      <c r="P48" s="584" t="str">
        <f>IF($A48="","",_xll.BDP($A48 &amp;" EQUITY", "CUST_TRR_RETURN_HOLDING_PER", "CUST_TRR_START_DT", DataH!$F$22, "CUST_TRR_END_DT", DataH!$F$21, "CUST_TRR_CRNCY", CURRENCY)/100)</f>
        <v/>
      </c>
      <c r="Q48" s="585" t="str">
        <f>IF(A48="","",_xll.BDP($A48&amp;" EQUITY","CUST_TRR_RETURN_HOLDING_PER","CUST_TRR_START_DT",DataH!$G$22,"CUST_TRR_END_DT",DataH!$F$21,"CUST_TRR_CRNCY",CURRENCY)/100)</f>
        <v/>
      </c>
      <c r="S48" s="586" t="str">
        <f>IF($A48="","",_xll.BDP($A48&amp;" EQUITY",DataH!$C$23, "BEST_FPERIOD_OVERRIDE", MID(DataH!H$22, 3, 2)&amp;"BC", "EQY_CONSOLIDATED", DataH!$D$18)*DataH!$D$23)</f>
        <v/>
      </c>
      <c r="T48" s="587" t="str">
        <f>IF($A48="","",_xll.BDP($A48&amp;" EQUITY",DataH!$C$23, "BEST_FPERIOD_OVERRIDE", MID(DataH!I$22, 3, 2)&amp;"BC", "EQY_CONSOLIDATED", DataH!$D$18)*DataH!$D$23)</f>
        <v/>
      </c>
      <c r="U48" s="587" t="str">
        <f>IF($A48="","",_xll.BDP($A48&amp;" EQUITY",DataH!$C$23,"BEST_FPERIOD_OVERRIDE",MID(DataH!J$22,3,2)&amp;"BC","EQY_CONSOLIDATED",DataH!$D$18)*DataH!$D$23)</f>
        <v/>
      </c>
      <c r="V48" s="587" t="str">
        <f>IF($A48="","",_xll.BDP($A48&amp;" EQUITY",DataH!$C$23, "BEST_FPERIOD_OVERRIDE", MID(DataH!K$22, 3, 2)&amp;"BC", "EQY_CONSOLIDATED", DataH!$D$18)*DataH!$D$23)</f>
        <v/>
      </c>
      <c r="W48" s="494" t="str">
        <f>IF($A48="","",_xll.BDP($A48&amp;" EQUITY",DataH!$C$23, "BEST_FPERIOD_OVERRIDE", MID(DataH!L$22, 3, 2)&amp;"BC", "EQY_CONSOLIDATED", DataH!$D$18)*DataH!$D$23)</f>
        <v/>
      </c>
      <c r="X48" s="256" t="str">
        <f>IF($A48="","",_xll.BDP($A48&amp;" EQUITY",DataH!$C$23, "BEST_FPERIOD_OVERRIDE", MID(DataH!M$22, 3, 2)&amp;"BC", "EQY_CONSOLIDATED", DataH!$D$18)*DataH!$D$23)</f>
        <v/>
      </c>
      <c r="Y48" s="257" t="str">
        <f>IF($A48="","",_xll.BDP($A47&amp;" EQUITY",DataH!$C$23, "BEST_FPERIOD_OVERRIDE", MID(DataH!N$22, 3, 2)&amp;"BC", "EQY_CONSOLIDATED", DataH!$D$18)*DataH!$D$23)</f>
        <v/>
      </c>
      <c r="Z48" s="268"/>
      <c r="AA48" s="268"/>
      <c r="AB48" s="268"/>
      <c r="AC48" s="268" t="e">
        <f>IF(YEAR(_xll.BToday())-YEAR(_xll.BDP($A48 &amp;" EQUITY", "EQY_FISCAL_YR_END"))&gt;=2, YEAR(_xll.BToday())-1, YEAR(_xll.BToday()))</f>
        <v>#N/A</v>
      </c>
    </row>
    <row r="49" spans="1:29" s="216" customFormat="1" ht="15" customHeight="1">
      <c r="A49" s="215" t="str">
        <f>IF(C49&lt;&gt;"", IF(ISNUMBER(FIND("EQUITY", UPPER(C49), 1)), _xll.BDP(C49, "TICKER_AND_EXCH_CODE"), C49), "")</f>
        <v/>
      </c>
      <c r="C49" s="590"/>
      <c r="D49" s="571"/>
      <c r="E49" s="780" t="str">
        <f>IF(A49="","",IF(Lang="English",_xll.BDP(A49&amp;" EQUITY","NAME"),IF(Lang="中文",_xll.BDP(A49&amp;" EQUITY","NAME_CHINESE_TRADITIONAL"),_xll.BDP(A49&amp;" EQUITY","NAME_KANJI"))))</f>
        <v/>
      </c>
      <c r="F49" s="781"/>
      <c r="G49" s="782"/>
      <c r="H49" s="780" t="str">
        <f>IF(A49="", "", _xll.BDP(A49 &amp; " EQUITY", "GICS_SUB_INDUSTRY_NAME"))</f>
        <v/>
      </c>
      <c r="I49" s="781"/>
      <c r="J49" s="782"/>
      <c r="K49" s="572" t="str">
        <f>IF($A49="", "", _xll.BDP($A49 &amp; " EQUITY", "CRNCY"))</f>
        <v/>
      </c>
      <c r="L49" s="573"/>
      <c r="M49" s="574" t="str">
        <f>IF(OR($A49="", ISERROR(_xll.BDP($A49 &amp; " EQUITY", "CRNCY_ADJ_MKT_CAP")*1)), "", _xll.BDP($A49 &amp; " EQUITY", "CRNCY_ADJ_MKT_CAP"))</f>
        <v/>
      </c>
      <c r="N49" s="575" t="str">
        <f>IF(OR($A49="", ISERROR(_xll.BDP($A49 &amp; " EQUITY", "CRNCY_ADJ_MKT_CAP", "EQY_FUND_CRNCY", CURRENCY)*1)), "", _xll.BDP($A49 &amp; " EQUITY", "CRNCY_ADJ_MKT_CAP", "EQY_FUND_CRNCY", CURRENCY))</f>
        <v/>
      </c>
      <c r="O49" s="146"/>
      <c r="P49" s="576" t="str">
        <f>IF($A49="","",_xll.BDP($A49 &amp;" EQUITY", "CUST_TRR_RETURN_HOLDING_PER", "CUST_TRR_START_DT", DataH!$F$22, "CUST_TRR_END_DT", DataH!$F$21, "CUST_TRR_CRNCY", CURRENCY)/100)</f>
        <v/>
      </c>
      <c r="Q49" s="577" t="str">
        <f>IF($A49="","",_xll.BDP($A49&amp;" EQUITY","CUST_TRR_RETURN_HOLDING_PER","CUST_TRR_START_DT",DataH!$G$22,"CUST_TRR_END_DT",DataH!$F$21,"CUST_TRR_CRNCY",CURRENCY)/100)</f>
        <v/>
      </c>
      <c r="R49" s="578"/>
      <c r="S49" s="579" t="str">
        <f>IF($A49="","",_xll.BDP($A49&amp;" EQUITY",DataH!$C$23, "BEST_FPERIOD_OVERRIDE", MID(DataH!H$22, 3, 2)&amp;"BC", "EQY_CONSOLIDATED", DataH!$D$18)*DataH!$D$23)</f>
        <v/>
      </c>
      <c r="T49" s="580" t="str">
        <f>IF($A49="","",_xll.BDP($A49&amp;" EQUITY",DataH!$C$23, "BEST_FPERIOD_OVERRIDE", MID(DataH!I$22, 3, 2)&amp;"BC", "EQY_CONSOLIDATED", DataH!$D$18)*DataH!$D$23)</f>
        <v/>
      </c>
      <c r="U49" s="580" t="str">
        <f>IF($A49="","",_xll.BDP($A49&amp;" EQUITY",DataH!$C$23,"BEST_FPERIOD_OVERRIDE",MID(DataH!J$22,3,2)&amp;"BC","EQY_CONSOLIDATED",DataH!$D$18)*DataH!$D$23)</f>
        <v/>
      </c>
      <c r="V49" s="580" t="str">
        <f>IF($A49="","",_xll.BDP($A49&amp;" EQUITY",DataH!$C$23, "BEST_FPERIOD_OVERRIDE", MID(DataH!K$22, 3, 2)&amp;"BC", "EQY_CONSOLIDATED", DataH!$D$18)*DataH!$D$23)</f>
        <v/>
      </c>
      <c r="W49" s="498" t="str">
        <f>IF($A49="","",_xll.BDP($A49&amp;" EQUITY",DataH!$C$23, "BEST_FPERIOD_OVERRIDE", MID(DataH!L$22, 3, 2)&amp;"BC", "EQY_CONSOLIDATED", DataH!$D$18)*DataH!$D$23)</f>
        <v/>
      </c>
      <c r="X49" s="286" t="str">
        <f>IF($A49="","",_xll.BDP($A49&amp;" EQUITY",DataH!$C$23, "BEST_FPERIOD_OVERRIDE", MID(DataH!M$22, 3, 2)&amp;"BC", "EQY_CONSOLIDATED", DataH!$D$18)*DataH!$D$23)</f>
        <v/>
      </c>
      <c r="Y49" s="287" t="str">
        <f>IF($A49="","",_xll.BDP($A48&amp;" EQUITY",DataH!$C$23, "BEST_FPERIOD_OVERRIDE", MID(DataH!N$22, 3, 2)&amp;"BC", "EQY_CONSOLIDATED", DataH!$D$18)*DataH!$D$23)</f>
        <v/>
      </c>
      <c r="Z49" s="268"/>
      <c r="AA49" s="268"/>
      <c r="AB49" s="268"/>
      <c r="AC49" s="268" t="e">
        <f>IF(YEAR(_xll.BToday())-YEAR(_xll.BDP($A49 &amp;" EQUITY", "EQY_FISCAL_YR_END"))&gt;=2, YEAR(_xll.BToday())-1, YEAR(_xll.BToday()))</f>
        <v>#N/A</v>
      </c>
    </row>
    <row r="50" spans="1:29" ht="15" customHeight="1">
      <c r="A50" s="164" t="str">
        <f>IF(C50&lt;&gt;"", IF(ISNUMBER(FIND("EQUITY", UPPER(C50), 1)), _xll.BDP(C50, "TICKER_AND_EXCH_CODE"), C50), "")</f>
        <v/>
      </c>
      <c r="C50" s="589"/>
      <c r="D50" s="568"/>
      <c r="E50" s="763" t="str">
        <f>IF(A50="","",IF(Lang="English",_xll.BDP(A50&amp;" EQUITY","NAME"),IF(Lang="中文",_xll.BDP(A50&amp;" EQUITY","NAME_CHINESE_TRADITIONAL"),_xll.BDP(A50&amp;" EQUITY","NAME_KANJI"))))</f>
        <v/>
      </c>
      <c r="F50" s="764"/>
      <c r="G50" s="765"/>
      <c r="H50" s="763" t="str">
        <f>IF(A50="", "", _xll.BDP(A50 &amp; " EQUITY", "GICS_SUB_INDUSTRY_NAME"))</f>
        <v/>
      </c>
      <c r="I50" s="764"/>
      <c r="J50" s="765"/>
      <c r="K50" s="509" t="str">
        <f>IF($A50="", "", _xll.BDP($A50 &amp; " EQUITY", "CRNCY"))</f>
        <v/>
      </c>
      <c r="L50" s="276"/>
      <c r="M50" s="277" t="str">
        <f>IF(OR($A50="", ISERROR(_xll.BDP($A50 &amp; " EQUITY", "CRNCY_ADJ_MKT_CAP")*1)), "", _xll.BDP($A50 &amp; " EQUITY", "CRNCY_ADJ_MKT_CAP"))</f>
        <v/>
      </c>
      <c r="N50" s="278" t="str">
        <f>IF(OR($A50="", ISERROR(_xll.BDP($A50 &amp; " EQUITY", "CRNCY_ADJ_MKT_CAP", "EQY_FUND_CRNCY", CURRENCY)*1)), "", _xll.BDP($A50 &amp; " EQUITY", "CRNCY_ADJ_MKT_CAP", "EQY_FUND_CRNCY", CURRENCY))</f>
        <v/>
      </c>
      <c r="O50" s="146"/>
      <c r="P50" s="279" t="str">
        <f>IF($A50="","",_xll.BDP($A50 &amp;" EQUITY", "CUST_TRR_RETURN_HOLDING_PER", "CUST_TRR_START_DT", DataH!$F$22, "CUST_TRR_END_DT", DataH!$F$21, "CUST_TRR_CRNCY", CURRENCY)/100)</f>
        <v/>
      </c>
      <c r="Q50" s="102" t="str">
        <f>IF($A50="","",_xll.BDP($A50&amp;" EQUITY","CUST_TRR_RETURN_HOLDING_PER","CUST_TRR_START_DT",DataH!$G$22,"CUST_TRR_END_DT",DataH!$F$21,"CUST_TRR_CRNCY",CURRENCY)/100)</f>
        <v/>
      </c>
      <c r="R50" s="216"/>
      <c r="S50" s="280" t="str">
        <f>IF($A50="","",_xll.BDP($A50&amp;" EQUITY",DataH!$C$23, "BEST_FPERIOD_OVERRIDE", MID(DataH!H$22, 3, 2)&amp;"BC", "EQY_CONSOLIDATED", DataH!$D$18)*DataH!$D$23)</f>
        <v/>
      </c>
      <c r="T50" s="127" t="str">
        <f>IF($A50="","",_xll.BDP($A50&amp;" EQUITY",DataH!$C$23, "BEST_FPERIOD_OVERRIDE", MID(DataH!I$22, 3, 2)&amp;"BC", "EQY_CONSOLIDATED", DataH!$D$18)*DataH!$D$23)</f>
        <v/>
      </c>
      <c r="U50" s="127" t="str">
        <f>IF($A50="","",_xll.BDP($A50&amp;" EQUITY",DataH!$C$23,"BEST_FPERIOD_OVERRIDE",MID(DataH!J$22,3,2)&amp;"BC","EQY_CONSOLIDATED",DataH!$D$18)*DataH!$D$23)</f>
        <v/>
      </c>
      <c r="V50" s="127" t="str">
        <f>IF($A50="","",_xll.BDP($A50&amp;" EQUITY",DataH!$C$23, "BEST_FPERIOD_OVERRIDE", MID(DataH!K$22, 3, 2)&amp;"BC", "EQY_CONSOLIDATED", DataH!$D$18)*DataH!$D$23)</f>
        <v/>
      </c>
      <c r="W50" s="494" t="str">
        <f>IF($A50="","",_xll.BDP($A50&amp;" EQUITY",DataH!$C$23, "BEST_FPERIOD_OVERRIDE", MID(DataH!L$22, 3, 2)&amp;"BC", "EQY_CONSOLIDATED", DataH!$D$18)*DataH!$D$23)</f>
        <v/>
      </c>
      <c r="X50" s="256" t="str">
        <f>IF($A50="","",_xll.BDP($A50&amp;" EQUITY",DataH!$C$23, "BEST_FPERIOD_OVERRIDE", MID(DataH!M$22, 3, 2)&amp;"BC", "EQY_CONSOLIDATED", DataH!$D$18)*DataH!$D$23)</f>
        <v/>
      </c>
      <c r="Y50" s="257" t="str">
        <f>IF($A50="","",_xll.BDP($A49&amp;" EQUITY",DataH!$C$23, "BEST_FPERIOD_OVERRIDE", MID(DataH!N$22, 3, 2)&amp;"BC", "EQY_CONSOLIDATED", DataH!$D$18)*DataH!$D$23)</f>
        <v/>
      </c>
      <c r="AC50" s="5" t="e">
        <f>IF(YEAR(_xll.BToday())-YEAR(_xll.BDP($A50 &amp;" EQUITY", "EQY_FISCAL_YR_END"))&gt;=2, YEAR(_xll.BToday())-1, YEAR(_xll.BToday()))</f>
        <v>#N/A</v>
      </c>
    </row>
    <row r="51" spans="1:29" ht="15" customHeight="1">
      <c r="A51" s="164" t="str">
        <f>IF(C51&lt;&gt;"", IF(ISNUMBER(FIND("EQUITY", UPPER(C51), 1)), _xll.BDP(C51, "TICKER_AND_EXCH_CODE"), C51), "")</f>
        <v/>
      </c>
      <c r="C51" s="590"/>
      <c r="D51" s="571"/>
      <c r="E51" s="780" t="str">
        <f>IF(A51="","",IF(Lang="English",_xll.BDP(A51&amp;" EQUITY","NAME"),IF(Lang="中文",_xll.BDP(A51&amp;" EQUITY","NAME_CHINESE_TRADITIONAL"),_xll.BDP(A51&amp;" EQUITY","NAME_KANJI"))))</f>
        <v/>
      </c>
      <c r="F51" s="781"/>
      <c r="G51" s="782"/>
      <c r="H51" s="780" t="str">
        <f>IF(A51="", "", _xll.BDP(A51 &amp; " EQUITY", "GICS_SUB_INDUSTRY_NAME"))</f>
        <v/>
      </c>
      <c r="I51" s="781"/>
      <c r="J51" s="782"/>
      <c r="K51" s="572" t="str">
        <f>IF($A51="", "", _xll.BDP($A51 &amp; " EQUITY", "CRNCY"))</f>
        <v/>
      </c>
      <c r="L51" s="573"/>
      <c r="M51" s="574" t="str">
        <f>IF(OR($A51="", ISERROR(_xll.BDP($A51 &amp; " EQUITY", "CRNCY_ADJ_MKT_CAP")*1)), "", _xll.BDP($A51 &amp; " EQUITY", "CRNCY_ADJ_MKT_CAP"))</f>
        <v/>
      </c>
      <c r="N51" s="575" t="str">
        <f>IF(OR($A51="", ISERROR(_xll.BDP($A51 &amp; " EQUITY", "CRNCY_ADJ_MKT_CAP", "EQY_FUND_CRNCY", CURRENCY)*1)), "", _xll.BDP($A51 &amp; " EQUITY", "CRNCY_ADJ_MKT_CAP", "EQY_FUND_CRNCY", CURRENCY))</f>
        <v/>
      </c>
      <c r="O51" s="146"/>
      <c r="P51" s="576" t="str">
        <f>IF($A51="","",_xll.BDP($A51 &amp;" EQUITY", "CUST_TRR_RETURN_HOLDING_PER", "CUST_TRR_START_DT", DataH!$F$22, "CUST_TRR_END_DT", DataH!$F$21, "CUST_TRR_CRNCY", CURRENCY)/100)</f>
        <v/>
      </c>
      <c r="Q51" s="577" t="str">
        <f>IF($A51="","",_xll.BDP($A51&amp;" EQUITY","CUST_TRR_RETURN_HOLDING_PER","CUST_TRR_START_DT",DataH!$G$22,"CUST_TRR_END_DT",DataH!$F$21,"CUST_TRR_CRNCY",CURRENCY)/100)</f>
        <v/>
      </c>
      <c r="R51" s="578"/>
      <c r="S51" s="579" t="str">
        <f>IF($A51="","",_xll.BDP($A51&amp;" EQUITY",DataH!$C$23, "BEST_FPERIOD_OVERRIDE", MID(DataH!H$22, 3, 2)&amp;"BC", "EQY_CONSOLIDATED", DataH!$D$18)*DataH!$D$23)</f>
        <v/>
      </c>
      <c r="T51" s="580" t="str">
        <f>IF($A51="","",_xll.BDP($A51&amp;" EQUITY",DataH!$C$23, "BEST_FPERIOD_OVERRIDE", MID(DataH!I$22, 3, 2)&amp;"BC", "EQY_CONSOLIDATED", DataH!$D$18)*DataH!$D$23)</f>
        <v/>
      </c>
      <c r="U51" s="580" t="str">
        <f>IF($A51="","",_xll.BDP($A51&amp;" EQUITY",DataH!$C$23,"BEST_FPERIOD_OVERRIDE",MID(DataH!J$22,3,2)&amp;"BC","EQY_CONSOLIDATED",DataH!$D$18)*DataH!$D$23)</f>
        <v/>
      </c>
      <c r="V51" s="580" t="str">
        <f>IF($A51="","",_xll.BDP($A51&amp;" EQUITY",DataH!$C$23, "BEST_FPERIOD_OVERRIDE", MID(DataH!K$22, 3, 2)&amp;"BC", "EQY_CONSOLIDATED", DataH!$D$18)*DataH!$D$23)</f>
        <v/>
      </c>
      <c r="W51" s="498" t="str">
        <f>IF($A51="","",_xll.BDP($A51&amp;" EQUITY",DataH!$C$23, "BEST_FPERIOD_OVERRIDE", MID(DataH!L$22, 3, 2)&amp;"BC", "EQY_CONSOLIDATED", DataH!$D$18)*DataH!$D$23)</f>
        <v/>
      </c>
      <c r="X51" s="286" t="str">
        <f>IF($A51="","",_xll.BDP($A51&amp;" EQUITY",DataH!$C$23, "BEST_FPERIOD_OVERRIDE", MID(DataH!M$22, 3, 2)&amp;"BC", "EQY_CONSOLIDATED", DataH!$D$18)*DataH!$D$23)</f>
        <v/>
      </c>
      <c r="Y51" s="287" t="str">
        <f>IF($A51="","",_xll.BDP($A50&amp;" EQUITY",DataH!$C$23, "BEST_FPERIOD_OVERRIDE", MID(DataH!N$22, 3, 2)&amp;"BC", "EQY_CONSOLIDATED", DataH!$D$18)*DataH!$D$23)</f>
        <v/>
      </c>
      <c r="AC51" s="5" t="e">
        <f>IF(YEAR(_xll.BToday())-YEAR(_xll.BDP($A51 &amp;" EQUITY", "EQY_FISCAL_YR_END"))&gt;=2, YEAR(_xll.BToday())-1, YEAR(_xll.BToday()))</f>
        <v>#N/A</v>
      </c>
    </row>
    <row r="52" spans="1:29" ht="15" customHeight="1">
      <c r="A52" s="164" t="str">
        <f>IF(C52&lt;&gt;"", IF(ISNUMBER(FIND("EQUITY", UPPER(C52), 1)), _xll.BDP(C52, "TICKER_AND_EXCH_CODE"), C52), "")</f>
        <v/>
      </c>
      <c r="C52" s="589"/>
      <c r="D52" s="568"/>
      <c r="E52" s="763" t="str">
        <f>IF(A52="","",IF(Lang="English",_xll.BDP(A52&amp;" EQUITY","NAME"),IF(Lang="中文",_xll.BDP(A52&amp;" EQUITY","NAME_CHINESE_TRADITIONAL"),_xll.BDP(A52&amp;" EQUITY","NAME_KANJI"))))</f>
        <v/>
      </c>
      <c r="F52" s="764"/>
      <c r="G52" s="765"/>
      <c r="H52" s="763" t="str">
        <f>IF(A52="", "", _xll.BDP(A52 &amp; " EQUITY", "GICS_SUB_INDUSTRY_NAME"))</f>
        <v/>
      </c>
      <c r="I52" s="764"/>
      <c r="J52" s="765"/>
      <c r="K52" s="509" t="str">
        <f>IF($A52="", "", _xll.BDP($A52 &amp; " EQUITY", "CRNCY"))</f>
        <v/>
      </c>
      <c r="L52" s="276"/>
      <c r="M52" s="277" t="str">
        <f>IF(OR($A52="", ISERROR(_xll.BDP($A52 &amp; " EQUITY", "CRNCY_ADJ_MKT_CAP")*1)), "", _xll.BDP($A52 &amp; " EQUITY", "CRNCY_ADJ_MKT_CAP"))</f>
        <v/>
      </c>
      <c r="N52" s="278" t="str">
        <f>IF(OR($A52="", ISERROR(_xll.BDP($A52 &amp; " EQUITY", "CRNCY_ADJ_MKT_CAP", "EQY_FUND_CRNCY", CURRENCY)*1)), "", _xll.BDP($A52 &amp; " EQUITY", "CRNCY_ADJ_MKT_CAP", "EQY_FUND_CRNCY", CURRENCY))</f>
        <v/>
      </c>
      <c r="O52" s="146"/>
      <c r="P52" s="279" t="str">
        <f>IF($A52="","",_xll.BDP($A52 &amp;" EQUITY", "CUST_TRR_RETURN_HOLDING_PER", "CUST_TRR_START_DT", DataH!$F$22, "CUST_TRR_END_DT", DataH!$F$21, "CUST_TRR_CRNCY", CURRENCY)/100)</f>
        <v/>
      </c>
      <c r="Q52" s="102" t="str">
        <f>IF($A52="","",_xll.BDP($A52&amp;" EQUITY","CUST_TRR_RETURN_HOLDING_PER","CUST_TRR_START_DT",DataH!$G$22,"CUST_TRR_END_DT",DataH!$F$21,"CUST_TRR_CRNCY",CURRENCY)/100)</f>
        <v/>
      </c>
      <c r="R52" s="216"/>
      <c r="S52" s="280" t="str">
        <f>IF($A52="","",_xll.BDP($A52&amp;" EQUITY",DataH!$C$23, "BEST_FPERIOD_OVERRIDE", MID(DataH!H$22, 3, 2)&amp;"BC", "EQY_CONSOLIDATED", DataH!$D$18)*DataH!$D$23)</f>
        <v/>
      </c>
      <c r="T52" s="127" t="str">
        <f>IF($A52="","",_xll.BDP($A52&amp;" EQUITY",DataH!$C$23, "BEST_FPERIOD_OVERRIDE", MID(DataH!I$22, 3, 2)&amp;"BC", "EQY_CONSOLIDATED", DataH!$D$18)*DataH!$D$23)</f>
        <v/>
      </c>
      <c r="U52" s="127" t="str">
        <f>IF($A52="","",_xll.BDP($A52&amp;" EQUITY",DataH!$C$23,"BEST_FPERIOD_OVERRIDE",MID(DataH!J$22,3,2)&amp;"BC","EQY_CONSOLIDATED",DataH!$D$18)*DataH!$D$23)</f>
        <v/>
      </c>
      <c r="V52" s="127" t="str">
        <f>IF($A52="","",_xll.BDP($A52&amp;" EQUITY",DataH!$C$23, "BEST_FPERIOD_OVERRIDE", MID(DataH!K$22, 3, 2)&amp;"BC", "EQY_CONSOLIDATED", DataH!$D$18)*DataH!$D$23)</f>
        <v/>
      </c>
      <c r="W52" s="494" t="str">
        <f>IF($A52="","",_xll.BDP($A52&amp;" EQUITY",DataH!$C$23, "BEST_FPERIOD_OVERRIDE", MID(DataH!L$22, 3, 2)&amp;"BC", "EQY_CONSOLIDATED", DataH!$D$18)*DataH!$D$23)</f>
        <v/>
      </c>
      <c r="X52" s="256" t="str">
        <f>IF($A52="","",_xll.BDP($A52&amp;" EQUITY",DataH!$C$23, "BEST_FPERIOD_OVERRIDE", MID(DataH!M$22, 3, 2)&amp;"BC", "EQY_CONSOLIDATED", DataH!$D$18)*DataH!$D$23)</f>
        <v/>
      </c>
      <c r="Y52" s="257" t="str">
        <f>IF($A52="","",_xll.BDP($A51&amp;" EQUITY",DataH!$C$23, "BEST_FPERIOD_OVERRIDE", MID(DataH!N$22, 3, 2)&amp;"BC", "EQY_CONSOLIDATED", DataH!$D$18)*DataH!$D$23)</f>
        <v/>
      </c>
      <c r="AC52" s="5" t="e">
        <f>IF(YEAR(_xll.BToday())-YEAR(_xll.BDP($A52 &amp;" EQUITY", "EQY_FISCAL_YR_END"))&gt;=2, YEAR(_xll.BToday())-1, YEAR(_xll.BToday()))</f>
        <v>#N/A</v>
      </c>
    </row>
    <row r="53" spans="1:29" ht="15" customHeight="1">
      <c r="A53" s="164" t="str">
        <f>IF(C53&lt;&gt;"", IF(ISNUMBER(FIND("EQUITY", UPPER(C53), 1)), _xll.BDP(C53, "TICKER_AND_EXCH_CODE"), C53), "")</f>
        <v/>
      </c>
      <c r="C53" s="590"/>
      <c r="D53" s="571"/>
      <c r="E53" s="780" t="str">
        <f>IF(A53="","",IF(Lang="English",_xll.BDP(A53&amp;" EQUITY","NAME"),IF(Lang="中文",_xll.BDP(A53&amp;" EQUITY","NAME_CHINESE_TRADITIONAL"),_xll.BDP(A53&amp;" EQUITY","NAME_KANJI"))))</f>
        <v/>
      </c>
      <c r="F53" s="781"/>
      <c r="G53" s="782"/>
      <c r="H53" s="780" t="str">
        <f>IF(A53="", "", _xll.BDP(A53 &amp; " EQUITY", "GICS_SUB_INDUSTRY_NAME"))</f>
        <v/>
      </c>
      <c r="I53" s="781"/>
      <c r="J53" s="782"/>
      <c r="K53" s="572" t="str">
        <f>IF($A53="", "", _xll.BDP($A53 &amp; " EQUITY", "CRNCY"))</f>
        <v/>
      </c>
      <c r="L53" s="573"/>
      <c r="M53" s="574" t="str">
        <f>IF(OR($A53="", ISERROR(_xll.BDP($A53 &amp; " EQUITY", "CRNCY_ADJ_MKT_CAP")*1)), "", _xll.BDP($A53 &amp; " EQUITY", "CRNCY_ADJ_MKT_CAP"))</f>
        <v/>
      </c>
      <c r="N53" s="575" t="str">
        <f>IF(OR($A53="", ISERROR(_xll.BDP($A53 &amp; " EQUITY", "CRNCY_ADJ_MKT_CAP", "EQY_FUND_CRNCY", CURRENCY)*1)), "", _xll.BDP($A53 &amp; " EQUITY", "CRNCY_ADJ_MKT_CAP", "EQY_FUND_CRNCY", CURRENCY))</f>
        <v/>
      </c>
      <c r="O53" s="146"/>
      <c r="P53" s="576" t="str">
        <f>IF($A53="","",_xll.BDP($A53 &amp;" EQUITY", "CUST_TRR_RETURN_HOLDING_PER", "CUST_TRR_START_DT", DataH!$F$22, "CUST_TRR_END_DT", DataH!$F$21, "CUST_TRR_CRNCY", CURRENCY)/100)</f>
        <v/>
      </c>
      <c r="Q53" s="577" t="str">
        <f>IF($A53="","",_xll.BDP($A53&amp;" EQUITY","CUST_TRR_RETURN_HOLDING_PER","CUST_TRR_START_DT",DataH!$G$22,"CUST_TRR_END_DT",DataH!$F$21,"CUST_TRR_CRNCY",CURRENCY)/100)</f>
        <v/>
      </c>
      <c r="R53" s="578"/>
      <c r="S53" s="579" t="str">
        <f>IF($A53="","",_xll.BDP($A53&amp;" EQUITY",DataH!$C$23, "BEST_FPERIOD_OVERRIDE", MID(DataH!H$22, 3, 2)&amp;"BC", "EQY_CONSOLIDATED", DataH!$D$18)*DataH!$D$23)</f>
        <v/>
      </c>
      <c r="T53" s="580" t="str">
        <f>IF($A53="","",_xll.BDP($A53&amp;" EQUITY",DataH!$C$23, "BEST_FPERIOD_OVERRIDE", MID(DataH!I$22, 3, 2)&amp;"BC", "EQY_CONSOLIDATED", DataH!$D$18)*DataH!$D$23)</f>
        <v/>
      </c>
      <c r="U53" s="580" t="str">
        <f>IF($A53="","",_xll.BDP($A53&amp;" EQUITY",DataH!$C$23,"BEST_FPERIOD_OVERRIDE",MID(DataH!J$22,3,2)&amp;"BC","EQY_CONSOLIDATED",DataH!$D$18)*DataH!$D$23)</f>
        <v/>
      </c>
      <c r="V53" s="580" t="str">
        <f>IF($A53="","",_xll.BDP($A53&amp;" EQUITY",DataH!$C$23, "BEST_FPERIOD_OVERRIDE", MID(DataH!K$22, 3, 2)&amp;"BC", "EQY_CONSOLIDATED", DataH!$D$18)*DataH!$D$23)</f>
        <v/>
      </c>
      <c r="W53" s="498" t="str">
        <f>IF($A53="","",_xll.BDP($A53&amp;" EQUITY",DataH!$C$23, "BEST_FPERIOD_OVERRIDE", MID(DataH!L$22, 3, 2)&amp;"BC", "EQY_CONSOLIDATED", DataH!$D$18)*DataH!$D$23)</f>
        <v/>
      </c>
      <c r="X53" s="286" t="str">
        <f>IF($A53="","",_xll.BDP($A53&amp;" EQUITY",DataH!$C$23, "BEST_FPERIOD_OVERRIDE", MID(DataH!M$22, 3, 2)&amp;"BC", "EQY_CONSOLIDATED", DataH!$D$18)*DataH!$D$23)</f>
        <v/>
      </c>
      <c r="Y53" s="287" t="str">
        <f>IF($A53="","",_xll.BDP($A52&amp;" EQUITY",DataH!$C$23, "BEST_FPERIOD_OVERRIDE", MID(DataH!N$22, 3, 2)&amp;"BC", "EQY_CONSOLIDATED", DataH!$D$18)*DataH!$D$23)</f>
        <v/>
      </c>
      <c r="AC53" s="5" t="e">
        <f>IF(YEAR(_xll.BToday())-YEAR(_xll.BDP($A53 &amp;" EQUITY", "EQY_FISCAL_YR_END"))&gt;=2, YEAR(_xll.BToday())-1, YEAR(_xll.BToday()))</f>
        <v>#N/A</v>
      </c>
    </row>
    <row r="54" spans="1:29" ht="15" customHeight="1">
      <c r="A54" s="164" t="str">
        <f>IF(C54&lt;&gt;"", IF(ISNUMBER(FIND("EQUITY", UPPER(C54), 1)), _xll.BDP(C54, "TICKER_AND_EXCH_CODE"), C54), "")</f>
        <v/>
      </c>
      <c r="C54" s="589"/>
      <c r="D54" s="568"/>
      <c r="E54" s="763" t="str">
        <f>IF(A54="","",IF(Lang="English",_xll.BDP(A54&amp;" EQUITY","NAME"),IF(Lang="中文",_xll.BDP(A54&amp;" EQUITY","NAME_CHINESE_TRADITIONAL"),_xll.BDP(A54&amp;" EQUITY","NAME_KANJI"))))</f>
        <v/>
      </c>
      <c r="F54" s="764"/>
      <c r="G54" s="765"/>
      <c r="H54" s="763" t="str">
        <f>IF(A54="", "", _xll.BDP(A54 &amp; " EQUITY", "GICS_SUB_INDUSTRY_NAME"))</f>
        <v/>
      </c>
      <c r="I54" s="764"/>
      <c r="J54" s="765"/>
      <c r="K54" s="509" t="str">
        <f>IF($A54="", "", _xll.BDP($A54 &amp; " EQUITY", "CRNCY"))</f>
        <v/>
      </c>
      <c r="L54" s="276"/>
      <c r="M54" s="277" t="str">
        <f>IF(OR($A54="", ISERROR(_xll.BDP($A54 &amp; " EQUITY", "CRNCY_ADJ_MKT_CAP")*1)), "", _xll.BDP($A54 &amp; " EQUITY", "CRNCY_ADJ_MKT_CAP"))</f>
        <v/>
      </c>
      <c r="N54" s="278" t="str">
        <f>IF(OR($A54="", ISERROR(_xll.BDP($A54 &amp; " EQUITY", "CRNCY_ADJ_MKT_CAP", "EQY_FUND_CRNCY", CURRENCY)*1)), "", _xll.BDP($A54 &amp; " EQUITY", "CRNCY_ADJ_MKT_CAP", "EQY_FUND_CRNCY", CURRENCY))</f>
        <v/>
      </c>
      <c r="O54" s="146"/>
      <c r="P54" s="279" t="str">
        <f>IF($A54="","",_xll.BDP($A54 &amp;" EQUITY", "CUST_TRR_RETURN_HOLDING_PER", "CUST_TRR_START_DT", DataH!$F$22, "CUST_TRR_END_DT", DataH!$F$21, "CUST_TRR_CRNCY", CURRENCY)/100)</f>
        <v/>
      </c>
      <c r="Q54" s="102" t="str">
        <f>IF($A54="","",_xll.BDP($A54&amp;" EQUITY","CUST_TRR_RETURN_HOLDING_PER","CUST_TRR_START_DT",DataH!$G$22,"CUST_TRR_END_DT",DataH!$F$21,"CUST_TRR_CRNCY",CURRENCY)/100)</f>
        <v/>
      </c>
      <c r="R54" s="216"/>
      <c r="S54" s="280" t="str">
        <f>IF($A54="","",_xll.BDP($A54&amp;" EQUITY",DataH!$C$23, "BEST_FPERIOD_OVERRIDE", MID(DataH!H$22, 3, 2)&amp;"BC", "EQY_CONSOLIDATED", DataH!$D$18)*DataH!$D$23)</f>
        <v/>
      </c>
      <c r="T54" s="127" t="str">
        <f>IF($A54="","",_xll.BDP($A54&amp;" EQUITY",DataH!$C$23, "BEST_FPERIOD_OVERRIDE", MID(DataH!I$22, 3, 2)&amp;"BC", "EQY_CONSOLIDATED", DataH!$D$18)*DataH!$D$23)</f>
        <v/>
      </c>
      <c r="U54" s="127" t="str">
        <f>IF($A54="","",_xll.BDP($A54&amp;" EQUITY",DataH!$C$23,"BEST_FPERIOD_OVERRIDE",MID(DataH!J$22,3,2)&amp;"BC","EQY_CONSOLIDATED",DataH!$D$18)*DataH!$D$23)</f>
        <v/>
      </c>
      <c r="V54" s="127" t="str">
        <f>IF($A54="","",_xll.BDP($A54&amp;" EQUITY",DataH!$C$23, "BEST_FPERIOD_OVERRIDE", MID(DataH!K$22, 3, 2)&amp;"BC", "EQY_CONSOLIDATED", DataH!$D$18)*DataH!$D$23)</f>
        <v/>
      </c>
      <c r="W54" s="494" t="str">
        <f>IF($A54="","",_xll.BDP($A54&amp;" EQUITY",DataH!$C$23, "BEST_FPERIOD_OVERRIDE", MID(DataH!L$22, 3, 2)&amp;"BC", "EQY_CONSOLIDATED", DataH!$D$18)*DataH!$D$23)</f>
        <v/>
      </c>
      <c r="X54" s="256" t="str">
        <f>IF($A54="","",_xll.BDP($A54&amp;" EQUITY",DataH!$C$23, "BEST_FPERIOD_OVERRIDE", MID(DataH!M$22, 3, 2)&amp;"BC", "EQY_CONSOLIDATED", DataH!$D$18)*DataH!$D$23)</f>
        <v/>
      </c>
      <c r="Y54" s="257" t="str">
        <f>IF($A54="","",_xll.BDP($A53&amp;" EQUITY",DataH!$C$23, "BEST_FPERIOD_OVERRIDE", MID(DataH!N$22, 3, 2)&amp;"BC", "EQY_CONSOLIDATED", DataH!$D$18)*DataH!$D$23)</f>
        <v/>
      </c>
      <c r="AC54" s="5" t="e">
        <f>IF(YEAR(_xll.BToday())-YEAR(_xll.BDP($A54 &amp;" EQUITY", "EQY_FISCAL_YR_END"))&gt;=2, YEAR(_xll.BToday())-1, YEAR(_xll.BToday()))</f>
        <v>#N/A</v>
      </c>
    </row>
    <row r="55" spans="1:29" ht="15" customHeight="1">
      <c r="A55" s="164" t="str">
        <f>IF(C55&lt;&gt;"", IF(ISNUMBER(FIND("EQUITY", UPPER(C55), 1)), _xll.BDP(C55, "TICKER_AND_EXCH_CODE"), C55), "")</f>
        <v/>
      </c>
      <c r="C55" s="590"/>
      <c r="D55" s="571"/>
      <c r="E55" s="780" t="str">
        <f>IF(A55="","",IF(Lang="English",_xll.BDP(A55&amp;" EQUITY","NAME"),IF(Lang="中文",_xll.BDP(A55&amp;" EQUITY","NAME_CHINESE_TRADITIONAL"),_xll.BDP(A55&amp;" EQUITY","NAME_KANJI"))))</f>
        <v/>
      </c>
      <c r="F55" s="781"/>
      <c r="G55" s="782"/>
      <c r="H55" s="780" t="str">
        <f>IF(A55="", "", _xll.BDP(A55 &amp; " EQUITY", "GICS_SUB_INDUSTRY_NAME"))</f>
        <v/>
      </c>
      <c r="I55" s="781"/>
      <c r="J55" s="782"/>
      <c r="K55" s="572" t="str">
        <f>IF($A55="", "", _xll.BDP($A55 &amp; " EQUITY", "CRNCY"))</f>
        <v/>
      </c>
      <c r="L55" s="573"/>
      <c r="M55" s="574" t="str">
        <f>IF(OR($A55="", ISERROR(_xll.BDP($A55 &amp; " EQUITY", "CRNCY_ADJ_MKT_CAP")*1)), "", _xll.BDP($A55 &amp; " EQUITY", "CRNCY_ADJ_MKT_CAP"))</f>
        <v/>
      </c>
      <c r="N55" s="575" t="str">
        <f>IF(OR($A55="", ISERROR(_xll.BDP($A55 &amp; " EQUITY", "CRNCY_ADJ_MKT_CAP", "EQY_FUND_CRNCY", CURRENCY)*1)), "", _xll.BDP($A55 &amp; " EQUITY", "CRNCY_ADJ_MKT_CAP", "EQY_FUND_CRNCY", CURRENCY))</f>
        <v/>
      </c>
      <c r="O55" s="146"/>
      <c r="P55" s="576" t="str">
        <f>IF($A55="","",_xll.BDP($A55 &amp;" EQUITY", "CUST_TRR_RETURN_HOLDING_PER", "CUST_TRR_START_DT", DataH!$F$22, "CUST_TRR_END_DT", DataH!$F$21, "CUST_TRR_CRNCY", CURRENCY)/100)</f>
        <v/>
      </c>
      <c r="Q55" s="577" t="str">
        <f>IF($A55="","",_xll.BDP($A55&amp;" EQUITY","CUST_TRR_RETURN_HOLDING_PER","CUST_TRR_START_DT",DataH!$G$22,"CUST_TRR_END_DT",DataH!$F$21,"CUST_TRR_CRNCY",CURRENCY)/100)</f>
        <v/>
      </c>
      <c r="R55" s="578"/>
      <c r="S55" s="579" t="str">
        <f>IF($A55="","",_xll.BDP($A55&amp;" EQUITY",DataH!$C$23, "BEST_FPERIOD_OVERRIDE", MID(DataH!H$22, 3, 2)&amp;"BC", "EQY_CONSOLIDATED", DataH!$D$18)*DataH!$D$23)</f>
        <v/>
      </c>
      <c r="T55" s="580" t="str">
        <f>IF($A55="","",_xll.BDP($A55&amp;" EQUITY",DataH!$C$23, "BEST_FPERIOD_OVERRIDE", MID(DataH!I$22, 3, 2)&amp;"BC", "EQY_CONSOLIDATED", DataH!$D$18)*DataH!$D$23)</f>
        <v/>
      </c>
      <c r="U55" s="580" t="str">
        <f>IF($A55="","",_xll.BDP($A55&amp;" EQUITY",DataH!$C$23,"BEST_FPERIOD_OVERRIDE",MID(DataH!J$22,3,2)&amp;"BC","EQY_CONSOLIDATED",DataH!$D$18)*DataH!$D$23)</f>
        <v/>
      </c>
      <c r="V55" s="580" t="str">
        <f>IF($A55="","",_xll.BDP($A55&amp;" EQUITY",DataH!$C$23, "BEST_FPERIOD_OVERRIDE", MID(DataH!K$22, 3, 2)&amp;"BC", "EQY_CONSOLIDATED", DataH!$D$18)*DataH!$D$23)</f>
        <v/>
      </c>
      <c r="W55" s="498" t="str">
        <f>IF($A55="","",_xll.BDP($A55&amp;" EQUITY",DataH!$C$23, "BEST_FPERIOD_OVERRIDE", MID(DataH!L$22, 3, 2)&amp;"BC", "EQY_CONSOLIDATED", DataH!$D$18)*DataH!$D$23)</f>
        <v/>
      </c>
      <c r="X55" s="286" t="str">
        <f>IF($A55="","",_xll.BDP($A55&amp;" EQUITY",DataH!$C$23, "BEST_FPERIOD_OVERRIDE", MID(DataH!M$22, 3, 2)&amp;"BC", "EQY_CONSOLIDATED", DataH!$D$18)*DataH!$D$23)</f>
        <v/>
      </c>
      <c r="Y55" s="287" t="str">
        <f>IF($A55="","",_xll.BDP($A54&amp;" EQUITY",DataH!$C$23, "BEST_FPERIOD_OVERRIDE", MID(DataH!N$22, 3, 2)&amp;"BC", "EQY_CONSOLIDATED", DataH!$D$18)*DataH!$D$23)</f>
        <v/>
      </c>
      <c r="AC55" s="5" t="e">
        <f>IF(YEAR(_xll.BToday())-YEAR(_xll.BDP($A55 &amp;" EQUITY", "EQY_FISCAL_YR_END"))&gt;=2, YEAR(_xll.BToday())-1, YEAR(_xll.BToday()))</f>
        <v>#N/A</v>
      </c>
    </row>
    <row r="56" spans="1:29" ht="15" customHeight="1">
      <c r="A56" s="164" t="str">
        <f>IF(C56&lt;&gt;"", IF(ISNUMBER(FIND("EQUITY", UPPER(C56), 1)), _xll.BDP(C56, "TICKER_AND_EXCH_CODE"), C56), "")</f>
        <v/>
      </c>
      <c r="C56" s="589"/>
      <c r="D56" s="568"/>
      <c r="E56" s="763" t="str">
        <f>IF(A56="","",IF(Lang="English",_xll.BDP(A56&amp;" EQUITY","NAME"),IF(Lang="中文",_xll.BDP(A56&amp;" EQUITY","NAME_CHINESE_TRADITIONAL"),_xll.BDP(A56&amp;" EQUITY","NAME_KANJI"))))</f>
        <v/>
      </c>
      <c r="F56" s="764"/>
      <c r="G56" s="765"/>
      <c r="H56" s="763" t="str">
        <f>IF(A56="", "", _xll.BDP(A56 &amp; " EQUITY", "GICS_SUB_INDUSTRY_NAME"))</f>
        <v/>
      </c>
      <c r="I56" s="764"/>
      <c r="J56" s="765"/>
      <c r="K56" s="509" t="str">
        <f>IF($A56="", "", _xll.BDP($A56 &amp; " EQUITY", "CRNCY"))</f>
        <v/>
      </c>
      <c r="L56" s="276"/>
      <c r="M56" s="277" t="str">
        <f>IF(OR($A56="", ISERROR(_xll.BDP($A56 &amp; " EQUITY", "CRNCY_ADJ_MKT_CAP")*1)), "", _xll.BDP($A56 &amp; " EQUITY", "CRNCY_ADJ_MKT_CAP"))</f>
        <v/>
      </c>
      <c r="N56" s="278" t="str">
        <f>IF(OR($A56="", ISERROR(_xll.BDP($A56 &amp; " EQUITY", "CRNCY_ADJ_MKT_CAP", "EQY_FUND_CRNCY", CURRENCY)*1)), "", _xll.BDP($A56 &amp; " EQUITY", "CRNCY_ADJ_MKT_CAP", "EQY_FUND_CRNCY", CURRENCY))</f>
        <v/>
      </c>
      <c r="O56" s="146"/>
      <c r="P56" s="279" t="str">
        <f>IF($A56="","",_xll.BDP($A56 &amp;" EQUITY", "CUST_TRR_RETURN_HOLDING_PER", "CUST_TRR_START_DT", DataH!$F$22, "CUST_TRR_END_DT", DataH!$F$21, "CUST_TRR_CRNCY", CURRENCY)/100)</f>
        <v/>
      </c>
      <c r="Q56" s="102" t="str">
        <f>IF($A56="","",_xll.BDP($A56&amp;" EQUITY","CUST_TRR_RETURN_HOLDING_PER","CUST_TRR_START_DT",DataH!$G$22,"CUST_TRR_END_DT",DataH!$F$21,"CUST_TRR_CRNCY",CURRENCY)/100)</f>
        <v/>
      </c>
      <c r="R56" s="216"/>
      <c r="S56" s="280" t="str">
        <f>IF($A56="","",_xll.BDP($A56&amp;" EQUITY",DataH!$C$23, "BEST_FPERIOD_OVERRIDE", MID(DataH!H$22, 3, 2)&amp;"BC", "EQY_CONSOLIDATED", DataH!$D$18)*DataH!$D$23)</f>
        <v/>
      </c>
      <c r="T56" s="127" t="str">
        <f>IF($A56="","",_xll.BDP($A56&amp;" EQUITY",DataH!$C$23, "BEST_FPERIOD_OVERRIDE", MID(DataH!I$22, 3, 2)&amp;"BC", "EQY_CONSOLIDATED", DataH!$D$18)*DataH!$D$23)</f>
        <v/>
      </c>
      <c r="U56" s="127" t="str">
        <f>IF($A56="","",_xll.BDP($A56&amp;" EQUITY",DataH!$C$23,"BEST_FPERIOD_OVERRIDE",MID(DataH!J$22,3,2)&amp;"BC","EQY_CONSOLIDATED",DataH!$D$18)*DataH!$D$23)</f>
        <v/>
      </c>
      <c r="V56" s="127" t="str">
        <f>IF($A56="","",_xll.BDP($A56&amp;" EQUITY",DataH!$C$23, "BEST_FPERIOD_OVERRIDE", MID(DataH!K$22, 3, 2)&amp;"BC", "EQY_CONSOLIDATED", DataH!$D$18)*DataH!$D$23)</f>
        <v/>
      </c>
      <c r="W56" s="494" t="str">
        <f>IF($A56="","",_xll.BDP($A56&amp;" EQUITY",DataH!$C$23, "BEST_FPERIOD_OVERRIDE", MID(DataH!L$22, 3, 2)&amp;"BC", "EQY_CONSOLIDATED", DataH!$D$18)*DataH!$D$23)</f>
        <v/>
      </c>
      <c r="X56" s="256" t="str">
        <f>IF($A56="","",_xll.BDP($A56&amp;" EQUITY",DataH!$C$23, "BEST_FPERIOD_OVERRIDE", MID(DataH!M$22, 3, 2)&amp;"BC", "EQY_CONSOLIDATED", DataH!$D$18)*DataH!$D$23)</f>
        <v/>
      </c>
      <c r="Y56" s="257" t="str">
        <f>IF($A56="","",_xll.BDP($A55&amp;" EQUITY",DataH!$C$23, "BEST_FPERIOD_OVERRIDE", MID(DataH!N$22, 3, 2)&amp;"BC", "EQY_CONSOLIDATED", DataH!$D$18)*DataH!$D$23)</f>
        <v/>
      </c>
      <c r="AC56" s="5" t="e">
        <f>IF(YEAR(_xll.BToday())-YEAR(_xll.BDP($A56 &amp;" EQUITY", "EQY_FISCAL_YR_END"))&gt;=2, YEAR(_xll.BToday())-1, YEAR(_xll.BToday()))</f>
        <v>#N/A</v>
      </c>
    </row>
    <row r="57" spans="1:29" ht="15" customHeight="1">
      <c r="A57" s="164" t="str">
        <f>IF(C57&lt;&gt;"", IF(ISNUMBER(FIND("EQUITY", UPPER(C57), 1)), _xll.BDP(C57, "TICKER_AND_EXCH_CODE"), C57), "")</f>
        <v/>
      </c>
      <c r="C57" s="590"/>
      <c r="D57" s="571"/>
      <c r="E57" s="780" t="str">
        <f>IF(A57="","",IF(Lang="English",_xll.BDP(A57&amp;" EQUITY","NAME"),IF(Lang="中文",_xll.BDP(A57&amp;" EQUITY","NAME_CHINESE_TRADITIONAL"),_xll.BDP(A57&amp;" EQUITY","NAME_KANJI"))))</f>
        <v/>
      </c>
      <c r="F57" s="781"/>
      <c r="G57" s="782"/>
      <c r="H57" s="780" t="str">
        <f>IF(A57="", "", _xll.BDP(A57 &amp; " EQUITY", "GICS_SUB_INDUSTRY_NAME"))</f>
        <v/>
      </c>
      <c r="I57" s="781"/>
      <c r="J57" s="782"/>
      <c r="K57" s="572" t="str">
        <f>IF($A57="", "", _xll.BDP($A57 &amp; " EQUITY", "CRNCY"))</f>
        <v/>
      </c>
      <c r="L57" s="573"/>
      <c r="M57" s="574" t="str">
        <f>IF(OR($A57="", ISERROR(_xll.BDP($A57 &amp; " EQUITY", "CRNCY_ADJ_MKT_CAP")*1)), "", _xll.BDP($A57 &amp; " EQUITY", "CRNCY_ADJ_MKT_CAP"))</f>
        <v/>
      </c>
      <c r="N57" s="575" t="str">
        <f>IF(OR($A57="", ISERROR(_xll.BDP($A57 &amp; " EQUITY", "CRNCY_ADJ_MKT_CAP", "EQY_FUND_CRNCY", CURRENCY)*1)), "", _xll.BDP($A57 &amp; " EQUITY", "CRNCY_ADJ_MKT_CAP", "EQY_FUND_CRNCY", CURRENCY))</f>
        <v/>
      </c>
      <c r="O57" s="146"/>
      <c r="P57" s="576" t="str">
        <f>IF($A57="","",_xll.BDP($A57 &amp;" EQUITY", "CUST_TRR_RETURN_HOLDING_PER", "CUST_TRR_START_DT", DataH!$F$22, "CUST_TRR_END_DT", DataH!$F$21, "CUST_TRR_CRNCY", CURRENCY)/100)</f>
        <v/>
      </c>
      <c r="Q57" s="577" t="str">
        <f>IF($A57="","",_xll.BDP($A57&amp;" EQUITY","CUST_TRR_RETURN_HOLDING_PER","CUST_TRR_START_DT",DataH!$G$22,"CUST_TRR_END_DT",DataH!$F$21,"CUST_TRR_CRNCY",CURRENCY)/100)</f>
        <v/>
      </c>
      <c r="R57" s="578"/>
      <c r="S57" s="579" t="str">
        <f>IF($A57="","",_xll.BDP($A57&amp;" EQUITY",DataH!$C$23, "BEST_FPERIOD_OVERRIDE", MID(DataH!H$22, 3, 2)&amp;"BC", "EQY_CONSOLIDATED", DataH!$D$18)*DataH!$D$23)</f>
        <v/>
      </c>
      <c r="T57" s="580" t="str">
        <f>IF($A57="","",_xll.BDP($A57&amp;" EQUITY",DataH!$C$23, "BEST_FPERIOD_OVERRIDE", MID(DataH!I$22, 3, 2)&amp;"BC", "EQY_CONSOLIDATED", DataH!$D$18)*DataH!$D$23)</f>
        <v/>
      </c>
      <c r="U57" s="580" t="str">
        <f>IF($A57="","",_xll.BDP($A57&amp;" EQUITY",DataH!$C$23,"BEST_FPERIOD_OVERRIDE",MID(DataH!J$22,3,2)&amp;"BC","EQY_CONSOLIDATED",DataH!$D$18)*DataH!$D$23)</f>
        <v/>
      </c>
      <c r="V57" s="580" t="str">
        <f>IF($A57="","",_xll.BDP($A57&amp;" EQUITY",DataH!$C$23, "BEST_FPERIOD_OVERRIDE", MID(DataH!K$22, 3, 2)&amp;"BC", "EQY_CONSOLIDATED", DataH!$D$18)*DataH!$D$23)</f>
        <v/>
      </c>
      <c r="W57" s="498" t="str">
        <f>IF($A57="","",_xll.BDP($A57&amp;" EQUITY",DataH!$C$23, "BEST_FPERIOD_OVERRIDE", MID(DataH!L$22, 3, 2)&amp;"BC", "EQY_CONSOLIDATED", DataH!$D$18)*DataH!$D$23)</f>
        <v/>
      </c>
      <c r="X57" s="286" t="str">
        <f>IF($A57="","",_xll.BDP($A57&amp;" EQUITY",DataH!$C$23, "BEST_FPERIOD_OVERRIDE", MID(DataH!M$22, 3, 2)&amp;"BC", "EQY_CONSOLIDATED", DataH!$D$18)*DataH!$D$23)</f>
        <v/>
      </c>
      <c r="Y57" s="287" t="str">
        <f>IF($A57="","",_xll.BDP($A56&amp;" EQUITY",DataH!$C$23, "BEST_FPERIOD_OVERRIDE", MID(DataH!N$22, 3, 2)&amp;"BC", "EQY_CONSOLIDATED", DataH!$D$18)*DataH!$D$23)</f>
        <v/>
      </c>
      <c r="AC57" s="5" t="e">
        <f>IF(YEAR(_xll.BToday())-YEAR(_xll.BDP($A57 &amp;" EQUITY", "EQY_FISCAL_YR_END"))&gt;=2, YEAR(_xll.BToday())-1, YEAR(_xll.BToday()))</f>
        <v>#N/A</v>
      </c>
    </row>
    <row r="58" spans="1:29" ht="15" customHeight="1">
      <c r="A58" s="164" t="str">
        <f>IF(C58&lt;&gt;"", IF(ISNUMBER(FIND("EQUITY", UPPER(C58), 1)), _xll.BDP(C58, "TICKER_AND_EXCH_CODE"), C58), "")</f>
        <v/>
      </c>
      <c r="C58" s="589"/>
      <c r="D58" s="568"/>
      <c r="E58" s="763" t="str">
        <f>IF(A58="","",IF(Lang="English",_xll.BDP(A58&amp;" EQUITY","NAME"),IF(Lang="中文",_xll.BDP(A58&amp;" EQUITY","NAME_CHINESE_TRADITIONAL"),_xll.BDP(A58&amp;" EQUITY","NAME_KANJI"))))</f>
        <v/>
      </c>
      <c r="F58" s="764"/>
      <c r="G58" s="765"/>
      <c r="H58" s="763" t="str">
        <f>IF(A58="", "", _xll.BDP(A58 &amp; " EQUITY", "GICS_SUB_INDUSTRY_NAME"))</f>
        <v/>
      </c>
      <c r="I58" s="764"/>
      <c r="J58" s="765"/>
      <c r="K58" s="509" t="str">
        <f>IF($A58="", "", _xll.BDP($A58 &amp; " EQUITY", "CRNCY"))</f>
        <v/>
      </c>
      <c r="L58" s="276"/>
      <c r="M58" s="277" t="str">
        <f>IF(OR($A58="", ISERROR(_xll.BDP($A58 &amp; " EQUITY", "CRNCY_ADJ_MKT_CAP")*1)), "", _xll.BDP($A58 &amp; " EQUITY", "CRNCY_ADJ_MKT_CAP"))</f>
        <v/>
      </c>
      <c r="N58" s="278" t="str">
        <f>IF(OR($A58="", ISERROR(_xll.BDP($A58 &amp; " EQUITY", "CRNCY_ADJ_MKT_CAP", "EQY_FUND_CRNCY", CURRENCY)*1)), "", _xll.BDP($A58 &amp; " EQUITY", "CRNCY_ADJ_MKT_CAP", "EQY_FUND_CRNCY", CURRENCY))</f>
        <v/>
      </c>
      <c r="O58" s="146"/>
      <c r="P58" s="279" t="str">
        <f>IF($A58="","",_xll.BDP($A58 &amp;" EQUITY", "CUST_TRR_RETURN_HOLDING_PER", "CUST_TRR_START_DT", DataH!$F$22, "CUST_TRR_END_DT", DataH!$F$21, "CUST_TRR_CRNCY", CURRENCY)/100)</f>
        <v/>
      </c>
      <c r="Q58" s="102" t="str">
        <f>IF($A58="","",_xll.BDP($A58&amp;" EQUITY","CUST_TRR_RETURN_HOLDING_PER","CUST_TRR_START_DT",DataH!$G$22,"CUST_TRR_END_DT",DataH!$F$21,"CUST_TRR_CRNCY",CURRENCY)/100)</f>
        <v/>
      </c>
      <c r="R58" s="216"/>
      <c r="S58" s="280" t="str">
        <f>IF($A58="","",_xll.BDP($A58&amp;" EQUITY",DataH!$C$23, "BEST_FPERIOD_OVERRIDE", MID(DataH!H$22, 3, 2)&amp;"BC", "EQY_CONSOLIDATED", DataH!$D$18)*DataH!$D$23)</f>
        <v/>
      </c>
      <c r="T58" s="127" t="str">
        <f>IF($A58="","",_xll.BDP($A58&amp;" EQUITY",DataH!$C$23, "BEST_FPERIOD_OVERRIDE", MID(DataH!I$22, 3, 2)&amp;"BC", "EQY_CONSOLIDATED", DataH!$D$18)*DataH!$D$23)</f>
        <v/>
      </c>
      <c r="U58" s="127" t="str">
        <f>IF($A58="","",_xll.BDP($A58&amp;" EQUITY",DataH!$C$23,"BEST_FPERIOD_OVERRIDE",MID(DataH!J$22,3,2)&amp;"BC","EQY_CONSOLIDATED",DataH!$D$18)*DataH!$D$23)</f>
        <v/>
      </c>
      <c r="V58" s="127" t="str">
        <f>IF($A58="","",_xll.BDP($A58&amp;" EQUITY",DataH!$C$23, "BEST_FPERIOD_OVERRIDE", MID(DataH!K$22, 3, 2)&amp;"BC", "EQY_CONSOLIDATED", DataH!$D$18)*DataH!$D$23)</f>
        <v/>
      </c>
      <c r="W58" s="494" t="str">
        <f>IF($A58="","",_xll.BDP($A58&amp;" EQUITY",DataH!$C$23, "BEST_FPERIOD_OVERRIDE", MID(DataH!L$22, 3, 2)&amp;"BC", "EQY_CONSOLIDATED", DataH!$D$18)*DataH!$D$23)</f>
        <v/>
      </c>
      <c r="X58" s="256" t="str">
        <f>IF($A58="","",_xll.BDP($A58&amp;" EQUITY",DataH!$C$23, "BEST_FPERIOD_OVERRIDE", MID(DataH!M$22, 3, 2)&amp;"BC", "EQY_CONSOLIDATED", DataH!$D$18)*DataH!$D$23)</f>
        <v/>
      </c>
      <c r="Y58" s="257" t="str">
        <f>IF($A58="","",_xll.BDP($A57&amp;" EQUITY",DataH!$C$23, "BEST_FPERIOD_OVERRIDE", MID(DataH!N$22, 3, 2)&amp;"BC", "EQY_CONSOLIDATED", DataH!$D$18)*DataH!$D$23)</f>
        <v/>
      </c>
      <c r="AC58" s="5" t="e">
        <f>IF(YEAR(_xll.BToday())-YEAR(_xll.BDP($A58 &amp;" EQUITY", "EQY_FISCAL_YR_END"))&gt;=2, YEAR(_xll.BToday())-1, YEAR(_xll.BToday()))</f>
        <v>#N/A</v>
      </c>
    </row>
    <row r="59" spans="1:29" ht="15" customHeight="1">
      <c r="A59" s="164" t="str">
        <f>IF(C59&lt;&gt;"", IF(ISNUMBER(FIND("EQUITY", UPPER(C59), 1)), _xll.BDP(C59, "TICKER_AND_EXCH_CODE"), C59), "")</f>
        <v/>
      </c>
      <c r="C59" s="590"/>
      <c r="D59" s="571"/>
      <c r="E59" s="780" t="str">
        <f>IF(A59="","",IF(Lang="English",_xll.BDP(A59&amp;" EQUITY","NAME"),IF(Lang="中文",_xll.BDP(A59&amp;" EQUITY","NAME_CHINESE_TRADITIONAL"),_xll.BDP(A59&amp;" EQUITY","NAME_KANJI"))))</f>
        <v/>
      </c>
      <c r="F59" s="781"/>
      <c r="G59" s="782"/>
      <c r="H59" s="780" t="str">
        <f>IF(A59="", "", _xll.BDP(A59 &amp; " EQUITY", "GICS_SUB_INDUSTRY_NAME"))</f>
        <v/>
      </c>
      <c r="I59" s="781"/>
      <c r="J59" s="782"/>
      <c r="K59" s="572" t="str">
        <f>IF($A59="", "", _xll.BDP($A59 &amp; " EQUITY", "CRNCY"))</f>
        <v/>
      </c>
      <c r="L59" s="573"/>
      <c r="M59" s="574" t="str">
        <f>IF(OR($A59="", ISERROR(_xll.BDP($A59 &amp; " EQUITY", "CRNCY_ADJ_MKT_CAP")*1)), "", _xll.BDP($A59 &amp; " EQUITY", "CRNCY_ADJ_MKT_CAP"))</f>
        <v/>
      </c>
      <c r="N59" s="575" t="str">
        <f>IF(OR($A59="", ISERROR(_xll.BDP($A59 &amp; " EQUITY", "CRNCY_ADJ_MKT_CAP", "EQY_FUND_CRNCY", CURRENCY)*1)), "", _xll.BDP($A59 &amp; " EQUITY", "CRNCY_ADJ_MKT_CAP", "EQY_FUND_CRNCY", CURRENCY))</f>
        <v/>
      </c>
      <c r="O59" s="146"/>
      <c r="P59" s="576" t="str">
        <f>IF($A59="","",_xll.BDP($A59 &amp;" EQUITY", "CUST_TRR_RETURN_HOLDING_PER", "CUST_TRR_START_DT", DataH!$F$22, "CUST_TRR_END_DT", DataH!$F$21, "CUST_TRR_CRNCY", CURRENCY)/100)</f>
        <v/>
      </c>
      <c r="Q59" s="577" t="str">
        <f>IF($A59="","",_xll.BDP($A59&amp;" EQUITY","CUST_TRR_RETURN_HOLDING_PER","CUST_TRR_START_DT",DataH!$G$22,"CUST_TRR_END_DT",DataH!$F$21,"CUST_TRR_CRNCY",CURRENCY)/100)</f>
        <v/>
      </c>
      <c r="R59" s="578"/>
      <c r="S59" s="579" t="str">
        <f>IF($A59="","",_xll.BDP($A59&amp;" EQUITY",DataH!$C$23, "BEST_FPERIOD_OVERRIDE", MID(DataH!H$22, 3, 2)&amp;"BC", "EQY_CONSOLIDATED", DataH!$D$18)*DataH!$D$23)</f>
        <v/>
      </c>
      <c r="T59" s="580" t="str">
        <f>IF($A59="","",_xll.BDP($A59&amp;" EQUITY",DataH!$C$23, "BEST_FPERIOD_OVERRIDE", MID(DataH!I$22, 3, 2)&amp;"BC", "EQY_CONSOLIDATED", DataH!$D$18)*DataH!$D$23)</f>
        <v/>
      </c>
      <c r="U59" s="580" t="str">
        <f>IF($A59="","",_xll.BDP($A59&amp;" EQUITY",DataH!$C$23,"BEST_FPERIOD_OVERRIDE",MID(DataH!J$22,3,2)&amp;"BC","EQY_CONSOLIDATED",DataH!$D$18)*DataH!$D$23)</f>
        <v/>
      </c>
      <c r="V59" s="580" t="str">
        <f>IF($A59="","",_xll.BDP($A59&amp;" EQUITY",DataH!$C$23, "BEST_FPERIOD_OVERRIDE", MID(DataH!K$22, 3, 2)&amp;"BC", "EQY_CONSOLIDATED", DataH!$D$18)*DataH!$D$23)</f>
        <v/>
      </c>
      <c r="W59" s="498" t="str">
        <f>IF($A59="","",_xll.BDP($A59&amp;" EQUITY",DataH!$C$23, "BEST_FPERIOD_OVERRIDE", MID(DataH!L$22, 3, 2)&amp;"BC", "EQY_CONSOLIDATED", DataH!$D$18)*DataH!$D$23)</f>
        <v/>
      </c>
      <c r="X59" s="286" t="str">
        <f>IF($A59="","",_xll.BDP($A59&amp;" EQUITY",DataH!$C$23, "BEST_FPERIOD_OVERRIDE", MID(DataH!M$22, 3, 2)&amp;"BC", "EQY_CONSOLIDATED", DataH!$D$18)*DataH!$D$23)</f>
        <v/>
      </c>
      <c r="Y59" s="287" t="str">
        <f>IF($A59="","",_xll.BDP($A58&amp;" EQUITY",DataH!$C$23, "BEST_FPERIOD_OVERRIDE", MID(DataH!N$22, 3, 2)&amp;"BC", "EQY_CONSOLIDATED", DataH!$D$18)*DataH!$D$23)</f>
        <v/>
      </c>
      <c r="AC59" s="5" t="e">
        <f>IF(YEAR(_xll.BToday())-YEAR(_xll.BDP($A59 &amp;" EQUITY", "EQY_FISCAL_YR_END"))&gt;=2, YEAR(_xll.BToday())-1, YEAR(_xll.BToday()))</f>
        <v>#N/A</v>
      </c>
    </row>
    <row r="60" spans="1:29" ht="15" customHeight="1">
      <c r="A60" s="164" t="str">
        <f>IF(C60&lt;&gt;"", IF(ISNUMBER(FIND("EQUITY", UPPER(C60), 1)), _xll.BDP(C60, "TICKER_AND_EXCH_CODE"), C60), "")</f>
        <v/>
      </c>
      <c r="C60" s="589"/>
      <c r="D60" s="568"/>
      <c r="E60" s="763" t="str">
        <f>IF(A60="","",IF(Lang="English",_xll.BDP(A60&amp;" EQUITY","NAME"),IF(Lang="中文",_xll.BDP(A60&amp;" EQUITY","NAME_CHINESE_TRADITIONAL"),_xll.BDP(A60&amp;" EQUITY","NAME_KANJI"))))</f>
        <v/>
      </c>
      <c r="F60" s="764"/>
      <c r="G60" s="765"/>
      <c r="H60" s="763" t="str">
        <f>IF(A60="", "", _xll.BDP(A60 &amp; " EQUITY", "GICS_SUB_INDUSTRY_NAME"))</f>
        <v/>
      </c>
      <c r="I60" s="764"/>
      <c r="J60" s="765"/>
      <c r="K60" s="509" t="str">
        <f>IF($A60="", "", _xll.BDP($A60 &amp; " EQUITY", "CRNCY"))</f>
        <v/>
      </c>
      <c r="L60" s="276"/>
      <c r="M60" s="277" t="str">
        <f>IF(OR($A60="", ISERROR(_xll.BDP($A60 &amp; " EQUITY", "CRNCY_ADJ_MKT_CAP")*1)), "", _xll.BDP($A60 &amp; " EQUITY", "CRNCY_ADJ_MKT_CAP"))</f>
        <v/>
      </c>
      <c r="N60" s="278" t="str">
        <f>IF(OR($A60="", ISERROR(_xll.BDP($A60 &amp; " EQUITY", "CRNCY_ADJ_MKT_CAP", "EQY_FUND_CRNCY", CURRENCY)*1)), "", _xll.BDP($A60 &amp; " EQUITY", "CRNCY_ADJ_MKT_CAP", "EQY_FUND_CRNCY", CURRENCY))</f>
        <v/>
      </c>
      <c r="O60" s="146"/>
      <c r="P60" s="279" t="str">
        <f>IF($A60="","",_xll.BDP($A60 &amp;" EQUITY", "CUST_TRR_RETURN_HOLDING_PER", "CUST_TRR_START_DT", DataH!$F$22, "CUST_TRR_END_DT", DataH!$F$21, "CUST_TRR_CRNCY", CURRENCY)/100)</f>
        <v/>
      </c>
      <c r="Q60" s="102" t="str">
        <f>IF($A60="","",_xll.BDP($A60&amp;" EQUITY","CUST_TRR_RETURN_HOLDING_PER","CUST_TRR_START_DT",DataH!$G$22,"CUST_TRR_END_DT",DataH!$F$21,"CUST_TRR_CRNCY",CURRENCY)/100)</f>
        <v/>
      </c>
      <c r="R60" s="216"/>
      <c r="S60" s="280" t="str">
        <f>IF($A60="","",_xll.BDP($A60&amp;" EQUITY",DataH!$C$23, "BEST_FPERIOD_OVERRIDE", MID(DataH!H$22, 3, 2)&amp;"BC", "EQY_CONSOLIDATED", DataH!$D$18)*DataH!$D$23)</f>
        <v/>
      </c>
      <c r="T60" s="127" t="str">
        <f>IF($A60="","",_xll.BDP($A60&amp;" EQUITY",DataH!$C$23, "BEST_FPERIOD_OVERRIDE", MID(DataH!I$22, 3, 2)&amp;"BC", "EQY_CONSOLIDATED", DataH!$D$18)*DataH!$D$23)</f>
        <v/>
      </c>
      <c r="U60" s="127" t="str">
        <f>IF($A60="","",_xll.BDP($A60&amp;" EQUITY",DataH!$C$23,"BEST_FPERIOD_OVERRIDE",MID(DataH!J$22,3,2)&amp;"BC","EQY_CONSOLIDATED",DataH!$D$18)*DataH!$D$23)</f>
        <v/>
      </c>
      <c r="V60" s="127" t="str">
        <f>IF($A60="","",_xll.BDP($A60&amp;" EQUITY",DataH!$C$23, "BEST_FPERIOD_OVERRIDE", MID(DataH!K$22, 3, 2)&amp;"BC", "EQY_CONSOLIDATED", DataH!$D$18)*DataH!$D$23)</f>
        <v/>
      </c>
      <c r="W60" s="494" t="str">
        <f>IF($A60="","",_xll.BDP($A60&amp;" EQUITY",DataH!$C$23, "BEST_FPERIOD_OVERRIDE", MID(DataH!L$22, 3, 2)&amp;"BC", "EQY_CONSOLIDATED", DataH!$D$18)*DataH!$D$23)</f>
        <v/>
      </c>
      <c r="X60" s="256" t="str">
        <f>IF($A60="","",_xll.BDP($A60&amp;" EQUITY",DataH!$C$23, "BEST_FPERIOD_OVERRIDE", MID(DataH!M$22, 3, 2)&amp;"BC", "EQY_CONSOLIDATED", DataH!$D$18)*DataH!$D$23)</f>
        <v/>
      </c>
      <c r="Y60" s="257" t="str">
        <f>IF($A60="","",_xll.BDP($A59&amp;" EQUITY",DataH!$C$23, "BEST_FPERIOD_OVERRIDE", MID(DataH!N$22, 3, 2)&amp;"BC", "EQY_CONSOLIDATED", DataH!$D$18)*DataH!$D$23)</f>
        <v/>
      </c>
      <c r="AC60" s="5" t="e">
        <f>IF(YEAR(_xll.BToday())-YEAR(_xll.BDP($A60 &amp;" EQUITY", "EQY_FISCAL_YR_END"))&gt;=2, YEAR(_xll.BToday())-1, YEAR(_xll.BToday()))</f>
        <v>#N/A</v>
      </c>
    </row>
    <row r="61" spans="1:29" ht="15" customHeight="1">
      <c r="A61" s="164" t="str">
        <f>IF(C61&lt;&gt;"", IF(ISNUMBER(FIND("EQUITY", UPPER(C61), 1)), _xll.BDP(C61, "TICKER_AND_EXCH_CODE"), C61), "")</f>
        <v/>
      </c>
      <c r="C61" s="590"/>
      <c r="D61" s="571"/>
      <c r="E61" s="780" t="str">
        <f>IF(A61="","",IF(Lang="English",_xll.BDP(A61&amp;" EQUITY","NAME"),IF(Lang="中文",_xll.BDP(A61&amp;" EQUITY","NAME_CHINESE_TRADITIONAL"),_xll.BDP(A61&amp;" EQUITY","NAME_KANJI"))))</f>
        <v/>
      </c>
      <c r="F61" s="781"/>
      <c r="G61" s="782"/>
      <c r="H61" s="780" t="str">
        <f>IF(A61="", "", _xll.BDP(A61 &amp; " EQUITY", "GICS_SUB_INDUSTRY_NAME"))</f>
        <v/>
      </c>
      <c r="I61" s="781"/>
      <c r="J61" s="782"/>
      <c r="K61" s="572" t="str">
        <f>IF($A61="", "", _xll.BDP($A61 &amp; " EQUITY", "CRNCY"))</f>
        <v/>
      </c>
      <c r="L61" s="573"/>
      <c r="M61" s="574" t="str">
        <f>IF(OR($A61="", ISERROR(_xll.BDP($A61 &amp; " EQUITY", "CRNCY_ADJ_MKT_CAP")*1)), "", _xll.BDP($A61 &amp; " EQUITY", "CRNCY_ADJ_MKT_CAP"))</f>
        <v/>
      </c>
      <c r="N61" s="575" t="str">
        <f>IF(OR($A61="", ISERROR(_xll.BDP($A61 &amp; " EQUITY", "CRNCY_ADJ_MKT_CAP", "EQY_FUND_CRNCY", CURRENCY)*1)), "", _xll.BDP($A61 &amp; " EQUITY", "CRNCY_ADJ_MKT_CAP", "EQY_FUND_CRNCY", CURRENCY))</f>
        <v/>
      </c>
      <c r="O61" s="146"/>
      <c r="P61" s="576" t="str">
        <f>IF($A61="","",_xll.BDP($A61 &amp;" EQUITY", "CUST_TRR_RETURN_HOLDING_PER", "CUST_TRR_START_DT", DataH!$F$22, "CUST_TRR_END_DT", DataH!$F$21, "CUST_TRR_CRNCY", CURRENCY)/100)</f>
        <v/>
      </c>
      <c r="Q61" s="577" t="str">
        <f>IF($A61="","",_xll.BDP($A61&amp;" EQUITY","CUST_TRR_RETURN_HOLDING_PER","CUST_TRR_START_DT",DataH!$G$22,"CUST_TRR_END_DT",DataH!$F$21,"CUST_TRR_CRNCY",CURRENCY)/100)</f>
        <v/>
      </c>
      <c r="R61" s="578"/>
      <c r="S61" s="579" t="str">
        <f>IF($A61="","",_xll.BDP($A61&amp;" EQUITY",DataH!$C$23, "BEST_FPERIOD_OVERRIDE", MID(DataH!H$22, 3, 2)&amp;"BC", "EQY_CONSOLIDATED", DataH!$D$18)*DataH!$D$23)</f>
        <v/>
      </c>
      <c r="T61" s="580" t="str">
        <f>IF($A61="","",_xll.BDP($A61&amp;" EQUITY",DataH!$C$23, "BEST_FPERIOD_OVERRIDE", MID(DataH!I$22, 3, 2)&amp;"BC", "EQY_CONSOLIDATED", DataH!$D$18)*DataH!$D$23)</f>
        <v/>
      </c>
      <c r="U61" s="580" t="str">
        <f>IF($A61="","",_xll.BDP($A61&amp;" EQUITY",DataH!$C$23,"BEST_FPERIOD_OVERRIDE",MID(DataH!J$22,3,2)&amp;"BC","EQY_CONSOLIDATED",DataH!$D$18)*DataH!$D$23)</f>
        <v/>
      </c>
      <c r="V61" s="580" t="str">
        <f>IF($A61="","",_xll.BDP($A61&amp;" EQUITY",DataH!$C$23, "BEST_FPERIOD_OVERRIDE", MID(DataH!K$22, 3, 2)&amp;"BC", "EQY_CONSOLIDATED", DataH!$D$18)*DataH!$D$23)</f>
        <v/>
      </c>
      <c r="W61" s="498" t="str">
        <f>IF($A61="","",_xll.BDP($A61&amp;" EQUITY",DataH!$C$23, "BEST_FPERIOD_OVERRIDE", MID(DataH!L$22, 3, 2)&amp;"BC", "EQY_CONSOLIDATED", DataH!$D$18)*DataH!$D$23)</f>
        <v/>
      </c>
      <c r="X61" s="286" t="str">
        <f>IF($A61="","",_xll.BDP($A61&amp;" EQUITY",DataH!$C$23, "BEST_FPERIOD_OVERRIDE", MID(DataH!M$22, 3, 2)&amp;"BC", "EQY_CONSOLIDATED", DataH!$D$18)*DataH!$D$23)</f>
        <v/>
      </c>
      <c r="Y61" s="287" t="str">
        <f>IF($A61="","",_xll.BDP($A60&amp;" EQUITY",DataH!$C$23, "BEST_FPERIOD_OVERRIDE", MID(DataH!N$22, 3, 2)&amp;"BC", "EQY_CONSOLIDATED", DataH!$D$18)*DataH!$D$23)</f>
        <v/>
      </c>
      <c r="AC61" s="5" t="e">
        <f>IF(YEAR(_xll.BToday())-YEAR(_xll.BDP($A61 &amp;" EQUITY", "EQY_FISCAL_YR_END"))&gt;=2, YEAR(_xll.BToday())-1, YEAR(_xll.BToday()))</f>
        <v>#N/A</v>
      </c>
    </row>
    <row r="62" spans="1:29" ht="15" customHeight="1">
      <c r="A62" s="164" t="str">
        <f>IF(C62&lt;&gt;"", IF(ISNUMBER(FIND("EQUITY", UPPER(C62), 1)), _xll.BDP(C62, "TICKER_AND_EXCH_CODE"), C62), "")</f>
        <v/>
      </c>
      <c r="C62" s="589"/>
      <c r="D62" s="568"/>
      <c r="E62" s="763" t="str">
        <f>IF(A62="","",IF(Lang="English",_xll.BDP(A62&amp;" EQUITY","NAME"),IF(Lang="中文",_xll.BDP(A62&amp;" EQUITY","NAME_CHINESE_TRADITIONAL"),_xll.BDP(A62&amp;" EQUITY","NAME_KANJI"))))</f>
        <v/>
      </c>
      <c r="F62" s="764"/>
      <c r="G62" s="765"/>
      <c r="H62" s="763" t="str">
        <f>IF(A62="", "", _xll.BDP(A62 &amp; " EQUITY", "GICS_SUB_INDUSTRY_NAME"))</f>
        <v/>
      </c>
      <c r="I62" s="764"/>
      <c r="J62" s="765"/>
      <c r="K62" s="509" t="str">
        <f>IF($A62="", "", _xll.BDP($A62 &amp; " EQUITY", "CRNCY"))</f>
        <v/>
      </c>
      <c r="L62" s="276"/>
      <c r="M62" s="277" t="str">
        <f>IF(OR($A62="", ISERROR(_xll.BDP($A62 &amp; " EQUITY", "CRNCY_ADJ_MKT_CAP")*1)), "", _xll.BDP($A62 &amp; " EQUITY", "CRNCY_ADJ_MKT_CAP"))</f>
        <v/>
      </c>
      <c r="N62" s="278" t="str">
        <f>IF(OR($A62="", ISERROR(_xll.BDP($A62 &amp; " EQUITY", "CRNCY_ADJ_MKT_CAP", "EQY_FUND_CRNCY", CURRENCY)*1)), "", _xll.BDP($A62 &amp; " EQUITY", "CRNCY_ADJ_MKT_CAP", "EQY_FUND_CRNCY", CURRENCY))</f>
        <v/>
      </c>
      <c r="O62" s="146"/>
      <c r="P62" s="279" t="str">
        <f>IF($A62="","",_xll.BDP($A62 &amp;" EQUITY", "CUST_TRR_RETURN_HOLDING_PER", "CUST_TRR_START_DT", DataH!$F$22, "CUST_TRR_END_DT", DataH!$F$21, "CUST_TRR_CRNCY", CURRENCY)/100)</f>
        <v/>
      </c>
      <c r="Q62" s="102" t="str">
        <f>IF($A62="","",_xll.BDP($A62&amp;" EQUITY","CUST_TRR_RETURN_HOLDING_PER","CUST_TRR_START_DT",DataH!$G$22,"CUST_TRR_END_DT",DataH!$F$21,"CUST_TRR_CRNCY",CURRENCY)/100)</f>
        <v/>
      </c>
      <c r="R62" s="216"/>
      <c r="S62" s="280" t="str">
        <f>IF($A62="","",_xll.BDP($A62&amp;" EQUITY",DataH!$C$23, "BEST_FPERIOD_OVERRIDE", MID(DataH!H$22, 3, 2)&amp;"BC", "EQY_CONSOLIDATED", DataH!$D$18)*DataH!$D$23)</f>
        <v/>
      </c>
      <c r="T62" s="127" t="str">
        <f>IF($A62="","",_xll.BDP($A62&amp;" EQUITY",DataH!$C$23, "BEST_FPERIOD_OVERRIDE", MID(DataH!I$22, 3, 2)&amp;"BC", "EQY_CONSOLIDATED", DataH!$D$18)*DataH!$D$23)</f>
        <v/>
      </c>
      <c r="U62" s="127" t="str">
        <f>IF($A62="","",_xll.BDP($A62&amp;" EQUITY",DataH!$C$23,"BEST_FPERIOD_OVERRIDE",MID(DataH!J$22,3,2)&amp;"BC","EQY_CONSOLIDATED",DataH!$D$18)*DataH!$D$23)</f>
        <v/>
      </c>
      <c r="V62" s="127" t="str">
        <f>IF($A62="","",_xll.BDP($A62&amp;" EQUITY",DataH!$C$23, "BEST_FPERIOD_OVERRIDE", MID(DataH!K$22, 3, 2)&amp;"BC", "EQY_CONSOLIDATED", DataH!$D$18)*DataH!$D$23)</f>
        <v/>
      </c>
      <c r="W62" s="494" t="str">
        <f>IF($A62="","",_xll.BDP($A62&amp;" EQUITY",DataH!$C$23, "BEST_FPERIOD_OVERRIDE", MID(DataH!L$22, 3, 2)&amp;"BC", "EQY_CONSOLIDATED", DataH!$D$18)*DataH!$D$23)</f>
        <v/>
      </c>
      <c r="X62" s="256" t="str">
        <f>IF($A62="","",_xll.BDP($A62&amp;" EQUITY",DataH!$C$23, "BEST_FPERIOD_OVERRIDE", MID(DataH!M$22, 3, 2)&amp;"BC", "EQY_CONSOLIDATED", DataH!$D$18)*DataH!$D$23)</f>
        <v/>
      </c>
      <c r="Y62" s="257" t="str">
        <f>IF($A62="","",_xll.BDP($A61&amp;" EQUITY",DataH!$C$23, "BEST_FPERIOD_OVERRIDE", MID(DataH!N$22, 3, 2)&amp;"BC", "EQY_CONSOLIDATED", DataH!$D$18)*DataH!$D$23)</f>
        <v/>
      </c>
      <c r="AC62" s="5" t="e">
        <f>IF(YEAR(_xll.BToday())-YEAR(_xll.BDP($A62 &amp;" EQUITY", "EQY_FISCAL_YR_END"))&gt;=2, YEAR(_xll.BToday())-1, YEAR(_xll.BToday()))</f>
        <v>#N/A</v>
      </c>
    </row>
    <row r="63" spans="1:29" ht="15" customHeight="1">
      <c r="A63" s="164" t="str">
        <f>IF(C63&lt;&gt;"", IF(ISNUMBER(FIND("EQUITY", UPPER(C63), 1)), _xll.BDP(C63, "TICKER_AND_EXCH_CODE"), C63), "")</f>
        <v/>
      </c>
      <c r="C63" s="590"/>
      <c r="D63" s="571"/>
      <c r="E63" s="780" t="str">
        <f>IF(A63="","",IF(Lang="English",_xll.BDP(A63&amp;" EQUITY","NAME"),IF(Lang="中文",_xll.BDP(A63&amp;" EQUITY","NAME_CHINESE_TRADITIONAL"),_xll.BDP(A63&amp;" EQUITY","NAME_KANJI"))))</f>
        <v/>
      </c>
      <c r="F63" s="781"/>
      <c r="G63" s="782"/>
      <c r="H63" s="780" t="str">
        <f>IF(A63="", "", _xll.BDP(A63 &amp; " EQUITY", "GICS_SUB_INDUSTRY_NAME"))</f>
        <v/>
      </c>
      <c r="I63" s="781"/>
      <c r="J63" s="782"/>
      <c r="K63" s="572" t="str">
        <f>IF($A63="", "", _xll.BDP($A63 &amp; " EQUITY", "CRNCY"))</f>
        <v/>
      </c>
      <c r="L63" s="573"/>
      <c r="M63" s="574" t="str">
        <f>IF(OR($A63="", ISERROR(_xll.BDP($A63 &amp; " EQUITY", "CRNCY_ADJ_MKT_CAP")*1)), "", _xll.BDP($A63 &amp; " EQUITY", "CRNCY_ADJ_MKT_CAP"))</f>
        <v/>
      </c>
      <c r="N63" s="575" t="str">
        <f>IF(OR($A63="", ISERROR(_xll.BDP($A63 &amp; " EQUITY", "CRNCY_ADJ_MKT_CAP", "EQY_FUND_CRNCY", CURRENCY)*1)), "", _xll.BDP($A63 &amp; " EQUITY", "CRNCY_ADJ_MKT_CAP", "EQY_FUND_CRNCY", CURRENCY))</f>
        <v/>
      </c>
      <c r="O63" s="146"/>
      <c r="P63" s="576" t="str">
        <f>IF($A63="","",_xll.BDP($A63 &amp;" EQUITY", "CUST_TRR_RETURN_HOLDING_PER", "CUST_TRR_START_DT", DataH!$F$22, "CUST_TRR_END_DT", DataH!$F$21, "CUST_TRR_CRNCY", CURRENCY)/100)</f>
        <v/>
      </c>
      <c r="Q63" s="577" t="str">
        <f>IF($A63="","",_xll.BDP($A63&amp;" EQUITY","CUST_TRR_RETURN_HOLDING_PER","CUST_TRR_START_DT",DataH!$G$22,"CUST_TRR_END_DT",DataH!$F$21,"CUST_TRR_CRNCY",CURRENCY)/100)</f>
        <v/>
      </c>
      <c r="R63" s="578"/>
      <c r="S63" s="579" t="str">
        <f>IF($A63="","",_xll.BDP($A63&amp;" EQUITY",DataH!$C$23, "BEST_FPERIOD_OVERRIDE", MID(DataH!H$22, 3, 2)&amp;"BC", "EQY_CONSOLIDATED", DataH!$D$18)*DataH!$D$23)</f>
        <v/>
      </c>
      <c r="T63" s="580" t="str">
        <f>IF($A63="","",_xll.BDP($A63&amp;" EQUITY",DataH!$C$23, "BEST_FPERIOD_OVERRIDE", MID(DataH!I$22, 3, 2)&amp;"BC", "EQY_CONSOLIDATED", DataH!$D$18)*DataH!$D$23)</f>
        <v/>
      </c>
      <c r="U63" s="580" t="str">
        <f>IF($A63="","",_xll.BDP($A63&amp;" EQUITY",DataH!$C$23,"BEST_FPERIOD_OVERRIDE",MID(DataH!J$22,3,2)&amp;"BC","EQY_CONSOLIDATED",DataH!$D$18)*DataH!$D$23)</f>
        <v/>
      </c>
      <c r="V63" s="580" t="str">
        <f>IF($A63="","",_xll.BDP($A63&amp;" EQUITY",DataH!$C$23, "BEST_FPERIOD_OVERRIDE", MID(DataH!K$22, 3, 2)&amp;"BC", "EQY_CONSOLIDATED", DataH!$D$18)*DataH!$D$23)</f>
        <v/>
      </c>
      <c r="W63" s="498" t="str">
        <f>IF($A63="","",_xll.BDP($A63&amp;" EQUITY",DataH!$C$23, "BEST_FPERIOD_OVERRIDE", MID(DataH!L$22, 3, 2)&amp;"BC", "EQY_CONSOLIDATED", DataH!$D$18)*DataH!$D$23)</f>
        <v/>
      </c>
      <c r="X63" s="286" t="str">
        <f>IF($A63="","",_xll.BDP($A63&amp;" EQUITY",DataH!$C$23, "BEST_FPERIOD_OVERRIDE", MID(DataH!M$22, 3, 2)&amp;"BC", "EQY_CONSOLIDATED", DataH!$D$18)*DataH!$D$23)</f>
        <v/>
      </c>
      <c r="Y63" s="287" t="str">
        <f>IF($A63="","",_xll.BDP($A62&amp;" EQUITY",DataH!$C$23, "BEST_FPERIOD_OVERRIDE", MID(DataH!N$22, 3, 2)&amp;"BC", "EQY_CONSOLIDATED", DataH!$D$18)*DataH!$D$23)</f>
        <v/>
      </c>
      <c r="AC63" s="5" t="e">
        <f>IF(YEAR(_xll.BToday())-YEAR(_xll.BDP($A63 &amp;" EQUITY", "EQY_FISCAL_YR_END"))&gt;=2, YEAR(_xll.BToday())-1, YEAR(_xll.BToday()))</f>
        <v>#N/A</v>
      </c>
    </row>
    <row r="64" spans="1:29" ht="15" customHeight="1">
      <c r="A64" s="164" t="str">
        <f>IF(C64&lt;&gt;"", IF(ISNUMBER(FIND("EQUITY", UPPER(C64), 1)), _xll.BDP(C64, "TICKER_AND_EXCH_CODE"), C64), "")</f>
        <v/>
      </c>
      <c r="C64" s="589"/>
      <c r="D64" s="568"/>
      <c r="E64" s="763" t="str">
        <f>IF(A64="","",IF(Lang="English",_xll.BDP(A64&amp;" EQUITY","NAME"),IF(Lang="中文",_xll.BDP(A64&amp;" EQUITY","NAME_CHINESE_TRADITIONAL"),_xll.BDP(A64&amp;" EQUITY","NAME_KANJI"))))</f>
        <v/>
      </c>
      <c r="F64" s="764"/>
      <c r="G64" s="765"/>
      <c r="H64" s="763" t="str">
        <f>IF(A64="", "", _xll.BDP(A64 &amp; " EQUITY", "GICS_SUB_INDUSTRY_NAME"))</f>
        <v/>
      </c>
      <c r="I64" s="764"/>
      <c r="J64" s="765"/>
      <c r="K64" s="509" t="str">
        <f>IF($A64="", "", _xll.BDP($A64 &amp; " EQUITY", "CRNCY"))</f>
        <v/>
      </c>
      <c r="L64" s="276"/>
      <c r="M64" s="277" t="str">
        <f>IF(OR($A64="", ISERROR(_xll.BDP($A64 &amp; " EQUITY", "CRNCY_ADJ_MKT_CAP")*1)), "", _xll.BDP($A64 &amp; " EQUITY", "CRNCY_ADJ_MKT_CAP"))</f>
        <v/>
      </c>
      <c r="N64" s="278" t="str">
        <f>IF(OR($A64="", ISERROR(_xll.BDP($A64 &amp; " EQUITY", "CRNCY_ADJ_MKT_CAP", "EQY_FUND_CRNCY", CURRENCY)*1)), "", _xll.BDP($A64 &amp; " EQUITY", "CRNCY_ADJ_MKT_CAP", "EQY_FUND_CRNCY", CURRENCY))</f>
        <v/>
      </c>
      <c r="O64" s="146"/>
      <c r="P64" s="279" t="str">
        <f>IF($A64="","",_xll.BDP($A64 &amp;" EQUITY", "CUST_TRR_RETURN_HOLDING_PER", "CUST_TRR_START_DT", DataH!$F$22, "CUST_TRR_END_DT", DataH!$F$21, "CUST_TRR_CRNCY", CURRENCY)/100)</f>
        <v/>
      </c>
      <c r="Q64" s="102" t="str">
        <f>IF($A64="","",_xll.BDP($A64&amp;" EQUITY","CUST_TRR_RETURN_HOLDING_PER","CUST_TRR_START_DT",DataH!$G$22,"CUST_TRR_END_DT",DataH!$F$21,"CUST_TRR_CRNCY",CURRENCY)/100)</f>
        <v/>
      </c>
      <c r="R64" s="216"/>
      <c r="S64" s="280" t="str">
        <f>IF($A64="","",_xll.BDP($A64&amp;" EQUITY",DataH!$C$23, "BEST_FPERIOD_OVERRIDE", MID(DataH!H$22, 3, 2)&amp;"BC", "EQY_CONSOLIDATED", DataH!$D$18)*DataH!$D$23)</f>
        <v/>
      </c>
      <c r="T64" s="127" t="str">
        <f>IF($A64="","",_xll.BDP($A64&amp;" EQUITY",DataH!$C$23, "BEST_FPERIOD_OVERRIDE", MID(DataH!I$22, 3, 2)&amp;"BC", "EQY_CONSOLIDATED", DataH!$D$18)*DataH!$D$23)</f>
        <v/>
      </c>
      <c r="U64" s="127" t="str">
        <f>IF($A64="","",_xll.BDP($A64&amp;" EQUITY",DataH!$C$23,"BEST_FPERIOD_OVERRIDE",MID(DataH!J$22,3,2)&amp;"BC","EQY_CONSOLIDATED",DataH!$D$18)*DataH!$D$23)</f>
        <v/>
      </c>
      <c r="V64" s="127" t="str">
        <f>IF($A64="","",_xll.BDP($A64&amp;" EQUITY",DataH!$C$23, "BEST_FPERIOD_OVERRIDE", MID(DataH!K$22, 3, 2)&amp;"BC", "EQY_CONSOLIDATED", DataH!$D$18)*DataH!$D$23)</f>
        <v/>
      </c>
      <c r="W64" s="494" t="str">
        <f>IF($A64="","",_xll.BDP($A64&amp;" EQUITY",DataH!$C$23, "BEST_FPERIOD_OVERRIDE", MID(DataH!L$22, 3, 2)&amp;"BC", "EQY_CONSOLIDATED", DataH!$D$18)*DataH!$D$23)</f>
        <v/>
      </c>
      <c r="X64" s="256" t="str">
        <f>IF($A64="","",_xll.BDP($A64&amp;" EQUITY",DataH!$C$23, "BEST_FPERIOD_OVERRIDE", MID(DataH!M$22, 3, 2)&amp;"BC", "EQY_CONSOLIDATED", DataH!$D$18)*DataH!$D$23)</f>
        <v/>
      </c>
      <c r="Y64" s="257" t="str">
        <f>IF($A64="","",_xll.BDP($A63&amp;" EQUITY",DataH!$C$23, "BEST_FPERIOD_OVERRIDE", MID(DataH!N$22, 3, 2)&amp;"BC", "EQY_CONSOLIDATED", DataH!$D$18)*DataH!$D$23)</f>
        <v/>
      </c>
      <c r="AC64" s="5" t="e">
        <f>IF(YEAR(_xll.BToday())-YEAR(_xll.BDP($A64 &amp;" EQUITY", "EQY_FISCAL_YR_END"))&gt;=2, YEAR(_xll.BToday())-1, YEAR(_xll.BToday()))</f>
        <v>#N/A</v>
      </c>
    </row>
    <row r="65" spans="1:29" ht="15" customHeight="1">
      <c r="A65" s="164" t="str">
        <f>IF(C65&lt;&gt;"", IF(ISNUMBER(FIND("EQUITY", UPPER(C65), 1)), _xll.BDP(C65, "TICKER_AND_EXCH_CODE"), C65), "")</f>
        <v/>
      </c>
      <c r="C65" s="590"/>
      <c r="D65" s="571"/>
      <c r="E65" s="780" t="str">
        <f>IF(A65="","",IF(Lang="English",_xll.BDP(A65&amp;" EQUITY","NAME"),IF(Lang="中文",_xll.BDP(A65&amp;" EQUITY","NAME_CHINESE_TRADITIONAL"),_xll.BDP(A65&amp;" EQUITY","NAME_KANJI"))))</f>
        <v/>
      </c>
      <c r="F65" s="781"/>
      <c r="G65" s="782"/>
      <c r="H65" s="780" t="str">
        <f>IF(A65="", "", _xll.BDP(A65 &amp; " EQUITY", "GICS_SUB_INDUSTRY_NAME"))</f>
        <v/>
      </c>
      <c r="I65" s="781"/>
      <c r="J65" s="782"/>
      <c r="K65" s="572" t="str">
        <f>IF($A65="", "", _xll.BDP($A65 &amp; " EQUITY", "CRNCY"))</f>
        <v/>
      </c>
      <c r="L65" s="573"/>
      <c r="M65" s="574" t="str">
        <f>IF(OR($A65="", ISERROR(_xll.BDP($A65 &amp; " EQUITY", "CRNCY_ADJ_MKT_CAP")*1)), "", _xll.BDP($A65 &amp; " EQUITY", "CRNCY_ADJ_MKT_CAP"))</f>
        <v/>
      </c>
      <c r="N65" s="575" t="str">
        <f>IF(OR($A65="", ISERROR(_xll.BDP($A65 &amp; " EQUITY", "CRNCY_ADJ_MKT_CAP", "EQY_FUND_CRNCY", CURRENCY)*1)), "", _xll.BDP($A65 &amp; " EQUITY", "CRNCY_ADJ_MKT_CAP", "EQY_FUND_CRNCY", CURRENCY))</f>
        <v/>
      </c>
      <c r="O65" s="146"/>
      <c r="P65" s="576" t="str">
        <f>IF($A65="","",_xll.BDP($A65 &amp;" EQUITY", "CUST_TRR_RETURN_HOLDING_PER", "CUST_TRR_START_DT", DataH!$F$22, "CUST_TRR_END_DT", DataH!$F$21, "CUST_TRR_CRNCY", CURRENCY)/100)</f>
        <v/>
      </c>
      <c r="Q65" s="577" t="str">
        <f>IF($A65="","",_xll.BDP($A65&amp;" EQUITY","CUST_TRR_RETURN_HOLDING_PER","CUST_TRR_START_DT",DataH!$G$22,"CUST_TRR_END_DT",DataH!$F$21,"CUST_TRR_CRNCY",CURRENCY)/100)</f>
        <v/>
      </c>
      <c r="R65" s="578"/>
      <c r="S65" s="579" t="str">
        <f>IF($A65="","",_xll.BDP($A65&amp;" EQUITY",DataH!$C$23, "BEST_FPERIOD_OVERRIDE", MID(DataH!H$22, 3, 2)&amp;"BC", "EQY_CONSOLIDATED", DataH!$D$18)*DataH!$D$23)</f>
        <v/>
      </c>
      <c r="T65" s="580" t="str">
        <f>IF($A65="","",_xll.BDP($A65&amp;" EQUITY",DataH!$C$23, "BEST_FPERIOD_OVERRIDE", MID(DataH!I$22, 3, 2)&amp;"BC", "EQY_CONSOLIDATED", DataH!$D$18)*DataH!$D$23)</f>
        <v/>
      </c>
      <c r="U65" s="580" t="str">
        <f>IF($A65="","",_xll.BDP($A65&amp;" EQUITY",DataH!$C$23,"BEST_FPERIOD_OVERRIDE",MID(DataH!J$22,3,2)&amp;"BC","EQY_CONSOLIDATED",DataH!$D$18)*DataH!$D$23)</f>
        <v/>
      </c>
      <c r="V65" s="580" t="str">
        <f>IF($A65="","",_xll.BDP($A65&amp;" EQUITY",DataH!$C$23, "BEST_FPERIOD_OVERRIDE", MID(DataH!K$22, 3, 2)&amp;"BC", "EQY_CONSOLIDATED", DataH!$D$18)*DataH!$D$23)</f>
        <v/>
      </c>
      <c r="W65" s="498" t="str">
        <f>IF($A65="","",_xll.BDP($A65&amp;" EQUITY",DataH!$C$23, "BEST_FPERIOD_OVERRIDE", MID(DataH!L$22, 3, 2)&amp;"BC", "EQY_CONSOLIDATED", DataH!$D$18)*DataH!$D$23)</f>
        <v/>
      </c>
      <c r="X65" s="286" t="str">
        <f>IF($A65="","",_xll.BDP($A65&amp;" EQUITY",DataH!$C$23, "BEST_FPERIOD_OVERRIDE", MID(DataH!M$22, 3, 2)&amp;"BC", "EQY_CONSOLIDATED", DataH!$D$18)*DataH!$D$23)</f>
        <v/>
      </c>
      <c r="Y65" s="287" t="str">
        <f>IF($A65="","",_xll.BDP($A64&amp;" EQUITY",DataH!$C$23, "BEST_FPERIOD_OVERRIDE", MID(DataH!N$22, 3, 2)&amp;"BC", "EQY_CONSOLIDATED", DataH!$D$18)*DataH!$D$23)</f>
        <v/>
      </c>
      <c r="AC65" s="5" t="e">
        <f>IF(YEAR(_xll.BToday())-YEAR(_xll.BDP($A65 &amp;" EQUITY", "EQY_FISCAL_YR_END"))&gt;=2, YEAR(_xll.BToday())-1, YEAR(_xll.BToday()))</f>
        <v>#N/A</v>
      </c>
    </row>
    <row r="66" spans="1:29" ht="15" customHeight="1">
      <c r="A66" s="164" t="str">
        <f>IF(C66&lt;&gt;"", IF(ISNUMBER(FIND("EQUITY", UPPER(C66), 1)), _xll.BDP(C66, "TICKER_AND_EXCH_CODE"), C66), "")</f>
        <v/>
      </c>
      <c r="C66" s="589"/>
      <c r="D66" s="568"/>
      <c r="E66" s="763" t="str">
        <f>IF(A66="","",IF(Lang="English",_xll.BDP(A66&amp;" EQUITY","NAME"),IF(Lang="中文",_xll.BDP(A66&amp;" EQUITY","NAME_CHINESE_TRADITIONAL"),_xll.BDP(A66&amp;" EQUITY","NAME_KANJI"))))</f>
        <v/>
      </c>
      <c r="F66" s="764"/>
      <c r="G66" s="765"/>
      <c r="H66" s="763" t="str">
        <f>IF(A66="", "", _xll.BDP(A66 &amp; " EQUITY", "GICS_SUB_INDUSTRY_NAME"))</f>
        <v/>
      </c>
      <c r="I66" s="764"/>
      <c r="J66" s="765"/>
      <c r="K66" s="509" t="str">
        <f>IF($A66="", "", _xll.BDP($A66 &amp; " EQUITY", "CRNCY"))</f>
        <v/>
      </c>
      <c r="L66" s="276"/>
      <c r="M66" s="277" t="str">
        <f>IF(OR($A66="", ISERROR(_xll.BDP($A66 &amp; " EQUITY", "CRNCY_ADJ_MKT_CAP")*1)), "", _xll.BDP($A66 &amp; " EQUITY", "CRNCY_ADJ_MKT_CAP"))</f>
        <v/>
      </c>
      <c r="N66" s="278" t="str">
        <f>IF(OR($A66="", ISERROR(_xll.BDP($A66 &amp; " EQUITY", "CRNCY_ADJ_MKT_CAP", "EQY_FUND_CRNCY", CURRENCY)*1)), "", _xll.BDP($A66 &amp; " EQUITY", "CRNCY_ADJ_MKT_CAP", "EQY_FUND_CRNCY", CURRENCY))</f>
        <v/>
      </c>
      <c r="O66" s="146"/>
      <c r="P66" s="279" t="str">
        <f>IF($A66="","",_xll.BDP($A66 &amp;" EQUITY", "CUST_TRR_RETURN_HOLDING_PER", "CUST_TRR_START_DT", DataH!$F$22, "CUST_TRR_END_DT", DataH!$F$21, "CUST_TRR_CRNCY", CURRENCY)/100)</f>
        <v/>
      </c>
      <c r="Q66" s="102" t="str">
        <f>IF($A66="","",_xll.BDP($A66&amp;" EQUITY","CUST_TRR_RETURN_HOLDING_PER","CUST_TRR_START_DT",DataH!$G$22,"CUST_TRR_END_DT",DataH!$F$21,"CUST_TRR_CRNCY",CURRENCY)/100)</f>
        <v/>
      </c>
      <c r="R66" s="216"/>
      <c r="S66" s="280" t="str">
        <f>IF($A66="","",_xll.BDP($A66&amp;" EQUITY",DataH!$C$23, "BEST_FPERIOD_OVERRIDE", MID(DataH!H$22, 3, 2)&amp;"BC", "EQY_CONSOLIDATED", DataH!$D$18)*DataH!$D$23)</f>
        <v/>
      </c>
      <c r="T66" s="127" t="str">
        <f>IF($A66="","",_xll.BDP($A66&amp;" EQUITY",DataH!$C$23, "BEST_FPERIOD_OVERRIDE", MID(DataH!I$22, 3, 2)&amp;"BC", "EQY_CONSOLIDATED", DataH!$D$18)*DataH!$D$23)</f>
        <v/>
      </c>
      <c r="U66" s="127" t="str">
        <f>IF($A66="","",_xll.BDP($A66&amp;" EQUITY",DataH!$C$23,"BEST_FPERIOD_OVERRIDE",MID(DataH!J$22,3,2)&amp;"BC","EQY_CONSOLIDATED",DataH!$D$18)*DataH!$D$23)</f>
        <v/>
      </c>
      <c r="V66" s="127" t="str">
        <f>IF($A66="","",_xll.BDP($A66&amp;" EQUITY",DataH!$C$23, "BEST_FPERIOD_OVERRIDE", MID(DataH!K$22, 3, 2)&amp;"BC", "EQY_CONSOLIDATED", DataH!$D$18)*DataH!$D$23)</f>
        <v/>
      </c>
      <c r="W66" s="494" t="str">
        <f>IF($A66="","",_xll.BDP($A66&amp;" EQUITY",DataH!$C$23, "BEST_FPERIOD_OVERRIDE", MID(DataH!L$22, 3, 2)&amp;"BC", "EQY_CONSOLIDATED", DataH!$D$18)*DataH!$D$23)</f>
        <v/>
      </c>
      <c r="X66" s="256" t="str">
        <f>IF($A66="","",_xll.BDP($A66&amp;" EQUITY",DataH!$C$23, "BEST_FPERIOD_OVERRIDE", MID(DataH!M$22, 3, 2)&amp;"BC", "EQY_CONSOLIDATED", DataH!$D$18)*DataH!$D$23)</f>
        <v/>
      </c>
      <c r="Y66" s="257" t="str">
        <f>IF($A66="","",_xll.BDP($A65&amp;" EQUITY",DataH!$C$23, "BEST_FPERIOD_OVERRIDE", MID(DataH!N$22, 3, 2)&amp;"BC", "EQY_CONSOLIDATED", DataH!$D$18)*DataH!$D$23)</f>
        <v/>
      </c>
      <c r="AC66" s="5" t="e">
        <f>IF(YEAR(_xll.BToday())-YEAR(_xll.BDP($A66 &amp;" EQUITY", "EQY_FISCAL_YR_END"))&gt;=2, YEAR(_xll.BToday())-1, YEAR(_xll.BToday()))</f>
        <v>#N/A</v>
      </c>
    </row>
    <row r="67" spans="1:29" ht="15" customHeight="1">
      <c r="A67" s="164" t="str">
        <f>IF(C67&lt;&gt;"", IF(ISNUMBER(FIND("EQUITY", UPPER(C67), 1)), _xll.BDP(C67, "TICKER_AND_EXCH_CODE"), C67), "")</f>
        <v/>
      </c>
      <c r="C67" s="590"/>
      <c r="D67" s="571"/>
      <c r="E67" s="780" t="str">
        <f>IF(A67="","",IF(Lang="English",_xll.BDP(A67&amp;" EQUITY","NAME"),IF(Lang="中文",_xll.BDP(A67&amp;" EQUITY","NAME_CHINESE_TRADITIONAL"),_xll.BDP(A67&amp;" EQUITY","NAME_KANJI"))))</f>
        <v/>
      </c>
      <c r="F67" s="781"/>
      <c r="G67" s="782"/>
      <c r="H67" s="780" t="str">
        <f>IF(A67="", "", _xll.BDP(A67 &amp; " EQUITY", "GICS_SUB_INDUSTRY_NAME"))</f>
        <v/>
      </c>
      <c r="I67" s="781"/>
      <c r="J67" s="782"/>
      <c r="K67" s="572" t="str">
        <f>IF($A67="", "", _xll.BDP($A67 &amp; " EQUITY", "CRNCY"))</f>
        <v/>
      </c>
      <c r="L67" s="573"/>
      <c r="M67" s="574" t="str">
        <f>IF(OR($A67="", ISERROR(_xll.BDP($A67 &amp; " EQUITY", "CRNCY_ADJ_MKT_CAP")*1)), "", _xll.BDP($A67 &amp; " EQUITY", "CRNCY_ADJ_MKT_CAP"))</f>
        <v/>
      </c>
      <c r="N67" s="575" t="str">
        <f>IF(OR($A67="", ISERROR(_xll.BDP($A67 &amp; " EQUITY", "CRNCY_ADJ_MKT_CAP", "EQY_FUND_CRNCY", CURRENCY)*1)), "", _xll.BDP($A67 &amp; " EQUITY", "CRNCY_ADJ_MKT_CAP", "EQY_FUND_CRNCY", CURRENCY))</f>
        <v/>
      </c>
      <c r="O67" s="146"/>
      <c r="P67" s="576" t="str">
        <f>IF($A67="","",_xll.BDP($A67 &amp;" EQUITY", "CUST_TRR_RETURN_HOLDING_PER", "CUST_TRR_START_DT", DataH!$F$22, "CUST_TRR_END_DT", DataH!$F$21, "CUST_TRR_CRNCY", CURRENCY)/100)</f>
        <v/>
      </c>
      <c r="Q67" s="577" t="str">
        <f>IF($A67="","",_xll.BDP($A67&amp;" EQUITY","CUST_TRR_RETURN_HOLDING_PER","CUST_TRR_START_DT",DataH!$G$22,"CUST_TRR_END_DT",DataH!$F$21,"CUST_TRR_CRNCY",CURRENCY)/100)</f>
        <v/>
      </c>
      <c r="R67" s="578"/>
      <c r="S67" s="579" t="str">
        <f>IF($A67="","",_xll.BDP($A67&amp;" EQUITY",DataH!$C$23, "BEST_FPERIOD_OVERRIDE", MID(DataH!H$22, 3, 2)&amp;"BC", "EQY_CONSOLIDATED", DataH!$D$18)*DataH!$D$23)</f>
        <v/>
      </c>
      <c r="T67" s="580" t="str">
        <f>IF($A67="","",_xll.BDP($A67&amp;" EQUITY",DataH!$C$23, "BEST_FPERIOD_OVERRIDE", MID(DataH!I$22, 3, 2)&amp;"BC", "EQY_CONSOLIDATED", DataH!$D$18)*DataH!$D$23)</f>
        <v/>
      </c>
      <c r="U67" s="580" t="str">
        <f>IF($A67="","",_xll.BDP($A67&amp;" EQUITY",DataH!$C$23,"BEST_FPERIOD_OVERRIDE",MID(DataH!J$22,3,2)&amp;"BC","EQY_CONSOLIDATED",DataH!$D$18)*DataH!$D$23)</f>
        <v/>
      </c>
      <c r="V67" s="580" t="str">
        <f>IF($A67="","",_xll.BDP($A67&amp;" EQUITY",DataH!$C$23, "BEST_FPERIOD_OVERRIDE", MID(DataH!K$22, 3, 2)&amp;"BC", "EQY_CONSOLIDATED", DataH!$D$18)*DataH!$D$23)</f>
        <v/>
      </c>
      <c r="W67" s="498" t="str">
        <f>IF($A67="","",_xll.BDP($A67&amp;" EQUITY",DataH!$C$23, "BEST_FPERIOD_OVERRIDE", MID(DataH!L$22, 3, 2)&amp;"BC", "EQY_CONSOLIDATED", DataH!$D$18)*DataH!$D$23)</f>
        <v/>
      </c>
      <c r="X67" s="286" t="str">
        <f>IF($A67="","",_xll.BDP($A67&amp;" EQUITY",DataH!$C$23, "BEST_FPERIOD_OVERRIDE", MID(DataH!M$22, 3, 2)&amp;"BC", "EQY_CONSOLIDATED", DataH!$D$18)*DataH!$D$23)</f>
        <v/>
      </c>
      <c r="Y67" s="287" t="str">
        <f>IF($A67="","",_xll.BDP($A66&amp;" EQUITY",DataH!$C$23, "BEST_FPERIOD_OVERRIDE", MID(DataH!N$22, 3, 2)&amp;"BC", "EQY_CONSOLIDATED", DataH!$D$18)*DataH!$D$23)</f>
        <v/>
      </c>
      <c r="AC67" s="5" t="e">
        <f>IF(YEAR(_xll.BToday())-YEAR(_xll.BDP($A67 &amp;" EQUITY", "EQY_FISCAL_YR_END"))&gt;=2, YEAR(_xll.BToday())-1, YEAR(_xll.BToday()))</f>
        <v>#N/A</v>
      </c>
    </row>
    <row r="68" spans="1:29" ht="15" customHeight="1">
      <c r="A68" s="164" t="str">
        <f>IF(C68&lt;&gt;"", IF(ISNUMBER(FIND("EQUITY", UPPER(C68), 1)), _xll.BDP(C68, "TICKER_AND_EXCH_CODE"), C68), "")</f>
        <v/>
      </c>
      <c r="C68" s="589"/>
      <c r="D68" s="568"/>
      <c r="E68" s="763" t="str">
        <f>IF(A68="","",IF(Lang="English",_xll.BDP(A68&amp;" EQUITY","NAME"),IF(Lang="中文",_xll.BDP(A68&amp;" EQUITY","NAME_CHINESE_TRADITIONAL"),_xll.BDP(A68&amp;" EQUITY","NAME_KANJI"))))</f>
        <v/>
      </c>
      <c r="F68" s="764"/>
      <c r="G68" s="765"/>
      <c r="H68" s="763" t="str">
        <f>IF(A68="", "", _xll.BDP(A68 &amp; " EQUITY", "GICS_SUB_INDUSTRY_NAME"))</f>
        <v/>
      </c>
      <c r="I68" s="764"/>
      <c r="J68" s="765"/>
      <c r="K68" s="509" t="str">
        <f>IF($A68="", "", _xll.BDP($A68 &amp; " EQUITY", "CRNCY"))</f>
        <v/>
      </c>
      <c r="L68" s="276"/>
      <c r="M68" s="277" t="str">
        <f>IF(OR($A68="", ISERROR(_xll.BDP($A68 &amp; " EQUITY", "CRNCY_ADJ_MKT_CAP")*1)), "", _xll.BDP($A68 &amp; " EQUITY", "CRNCY_ADJ_MKT_CAP"))</f>
        <v/>
      </c>
      <c r="N68" s="278" t="str">
        <f>IF(OR($A68="", ISERROR(_xll.BDP($A68 &amp; " EQUITY", "CRNCY_ADJ_MKT_CAP", "EQY_FUND_CRNCY", CURRENCY)*1)), "", _xll.BDP($A68 &amp; " EQUITY", "CRNCY_ADJ_MKT_CAP", "EQY_FUND_CRNCY", CURRENCY))</f>
        <v/>
      </c>
      <c r="O68" s="146"/>
      <c r="P68" s="279" t="str">
        <f>IF($A68="","",_xll.BDP($A68 &amp;" EQUITY", "CUST_TRR_RETURN_HOLDING_PER", "CUST_TRR_START_DT", DataH!$F$22, "CUST_TRR_END_DT", DataH!$F$21, "CUST_TRR_CRNCY", CURRENCY)/100)</f>
        <v/>
      </c>
      <c r="Q68" s="102" t="str">
        <f>IF($A68="","",_xll.BDP($A68&amp;" EQUITY","CUST_TRR_RETURN_HOLDING_PER","CUST_TRR_START_DT",DataH!$G$22,"CUST_TRR_END_DT",DataH!$F$21,"CUST_TRR_CRNCY",CURRENCY)/100)</f>
        <v/>
      </c>
      <c r="R68" s="216"/>
      <c r="S68" s="280" t="str">
        <f>IF($A68="","",_xll.BDP($A68&amp;" EQUITY",DataH!$C$23, "BEST_FPERIOD_OVERRIDE", MID(DataH!H$22, 3, 2)&amp;"BC", "EQY_CONSOLIDATED", DataH!$D$18)*DataH!$D$23)</f>
        <v/>
      </c>
      <c r="T68" s="127" t="str">
        <f>IF($A68="","",_xll.BDP($A68&amp;" EQUITY",DataH!$C$23, "BEST_FPERIOD_OVERRIDE", MID(DataH!I$22, 3, 2)&amp;"BC", "EQY_CONSOLIDATED", DataH!$D$18)*DataH!$D$23)</f>
        <v/>
      </c>
      <c r="U68" s="127" t="str">
        <f>IF($A68="","",_xll.BDP($A68&amp;" EQUITY",DataH!$C$23,"BEST_FPERIOD_OVERRIDE",MID(DataH!J$22,3,2)&amp;"BC","EQY_CONSOLIDATED",DataH!$D$18)*DataH!$D$23)</f>
        <v/>
      </c>
      <c r="V68" s="127" t="str">
        <f>IF($A68="","",_xll.BDP($A68&amp;" EQUITY",DataH!$C$23, "BEST_FPERIOD_OVERRIDE", MID(DataH!K$22, 3, 2)&amp;"BC", "EQY_CONSOLIDATED", DataH!$D$18)*DataH!$D$23)</f>
        <v/>
      </c>
      <c r="W68" s="494" t="str">
        <f>IF($A68="","",_xll.BDP($A68&amp;" EQUITY",DataH!$C$23, "BEST_FPERIOD_OVERRIDE", MID(DataH!L$22, 3, 2)&amp;"BC", "EQY_CONSOLIDATED", DataH!$D$18)*DataH!$D$23)</f>
        <v/>
      </c>
      <c r="X68" s="256" t="str">
        <f>IF($A68="","",_xll.BDP($A68&amp;" EQUITY",DataH!$C$23, "BEST_FPERIOD_OVERRIDE", MID(DataH!M$22, 3, 2)&amp;"BC", "EQY_CONSOLIDATED", DataH!$D$18)*DataH!$D$23)</f>
        <v/>
      </c>
      <c r="Y68" s="257" t="str">
        <f>IF($A68="","",_xll.BDP($A67&amp;" EQUITY",DataH!$C$23, "BEST_FPERIOD_OVERRIDE", MID(DataH!N$22, 3, 2)&amp;"BC", "EQY_CONSOLIDATED", DataH!$D$18)*DataH!$D$23)</f>
        <v/>
      </c>
      <c r="AC68" s="5" t="e">
        <f>IF(YEAR(_xll.BToday())-YEAR(_xll.BDP($A68 &amp;" EQUITY", "EQY_FISCAL_YR_END"))&gt;=2, YEAR(_xll.BToday())-1, YEAR(_xll.BToday()))</f>
        <v>#N/A</v>
      </c>
    </row>
    <row r="69" spans="1:29" ht="15" customHeight="1">
      <c r="A69" s="164" t="str">
        <f>IF(C69&lt;&gt;"", IF(ISNUMBER(FIND("EQUITY", UPPER(C69), 1)), _xll.BDP(C69, "TICKER_AND_EXCH_CODE"), C69), "")</f>
        <v/>
      </c>
      <c r="C69" s="590"/>
      <c r="D69" s="571"/>
      <c r="E69" s="780" t="str">
        <f>IF(A69="","",IF(Lang="English",_xll.BDP(A69&amp;" EQUITY","NAME"),IF(Lang="中文",_xll.BDP(A69&amp;" EQUITY","NAME_CHINESE_TRADITIONAL"),_xll.BDP(A69&amp;" EQUITY","NAME_KANJI"))))</f>
        <v/>
      </c>
      <c r="F69" s="781"/>
      <c r="G69" s="782"/>
      <c r="H69" s="780" t="str">
        <f>IF(A69="", "", _xll.BDP(A69 &amp; " EQUITY", "GICS_SUB_INDUSTRY_NAME"))</f>
        <v/>
      </c>
      <c r="I69" s="781"/>
      <c r="J69" s="782"/>
      <c r="K69" s="572" t="str">
        <f>IF($A69="", "", _xll.BDP($A69 &amp; " EQUITY", "CRNCY"))</f>
        <v/>
      </c>
      <c r="L69" s="573"/>
      <c r="M69" s="574" t="str">
        <f>IF(OR($A69="", ISERROR(_xll.BDP($A69 &amp; " EQUITY", "CRNCY_ADJ_MKT_CAP")*1)), "", _xll.BDP($A69 &amp; " EQUITY", "CRNCY_ADJ_MKT_CAP"))</f>
        <v/>
      </c>
      <c r="N69" s="575" t="str">
        <f>IF(OR($A69="", ISERROR(_xll.BDP($A69 &amp; " EQUITY", "CRNCY_ADJ_MKT_CAP", "EQY_FUND_CRNCY", CURRENCY)*1)), "", _xll.BDP($A69 &amp; " EQUITY", "CRNCY_ADJ_MKT_CAP", "EQY_FUND_CRNCY", CURRENCY))</f>
        <v/>
      </c>
      <c r="O69" s="146"/>
      <c r="P69" s="576" t="str">
        <f>IF($A69="","",_xll.BDP($A69 &amp;" EQUITY", "CUST_TRR_RETURN_HOLDING_PER", "CUST_TRR_START_DT", DataH!$F$22, "CUST_TRR_END_DT", DataH!$F$21, "CUST_TRR_CRNCY", CURRENCY)/100)</f>
        <v/>
      </c>
      <c r="Q69" s="577" t="str">
        <f>IF($A69="","",_xll.BDP($A69&amp;" EQUITY","CUST_TRR_RETURN_HOLDING_PER","CUST_TRR_START_DT",DataH!$G$22,"CUST_TRR_END_DT",DataH!$F$21,"CUST_TRR_CRNCY",CURRENCY)/100)</f>
        <v/>
      </c>
      <c r="R69" s="578"/>
      <c r="S69" s="579" t="str">
        <f>IF($A69="","",_xll.BDP($A69&amp;" EQUITY",DataH!$C$23, "BEST_FPERIOD_OVERRIDE", MID(DataH!H$22, 3, 2)&amp;"BC", "EQY_CONSOLIDATED", DataH!$D$18)*DataH!$D$23)</f>
        <v/>
      </c>
      <c r="T69" s="580" t="str">
        <f>IF($A69="","",_xll.BDP($A69&amp;" EQUITY",DataH!$C$23, "BEST_FPERIOD_OVERRIDE", MID(DataH!I$22, 3, 2)&amp;"BC", "EQY_CONSOLIDATED", DataH!$D$18)*DataH!$D$23)</f>
        <v/>
      </c>
      <c r="U69" s="580" t="str">
        <f>IF($A69="","",_xll.BDP($A69&amp;" EQUITY",DataH!$C$23,"BEST_FPERIOD_OVERRIDE",MID(DataH!J$22,3,2)&amp;"BC","EQY_CONSOLIDATED",DataH!$D$18)*DataH!$D$23)</f>
        <v/>
      </c>
      <c r="V69" s="580" t="str">
        <f>IF($A69="","",_xll.BDP($A69&amp;" EQUITY",DataH!$C$23, "BEST_FPERIOD_OVERRIDE", MID(DataH!K$22, 3, 2)&amp;"BC", "EQY_CONSOLIDATED", DataH!$D$18)*DataH!$D$23)</f>
        <v/>
      </c>
      <c r="W69" s="581" t="str">
        <f>IF($A69="","",_xll.BDP($A69&amp;" EQUITY",DataH!$C$23, "BEST_FPERIOD_OVERRIDE", MID(DataH!L$22, 3, 2)&amp;"BC", "EQY_CONSOLIDATED", DataH!$D$18)*DataH!$D$23)</f>
        <v/>
      </c>
      <c r="X69" s="582" t="str">
        <f>IF($A69="","",_xll.BDP($A69&amp;" EQUITY",DataH!$C$23, "BEST_FPERIOD_OVERRIDE", MID(DataH!M$22, 3, 2)&amp;"BC", "EQY_CONSOLIDATED", DataH!$D$18)*DataH!$D$23)</f>
        <v/>
      </c>
      <c r="Y69" s="583" t="str">
        <f>IF($A69="","",_xll.BDP($A68&amp;" EQUITY",DataH!$C$23, "BEST_FPERIOD_OVERRIDE", MID(DataH!N$22, 3, 2)&amp;"BC", "EQY_CONSOLIDATED", DataH!$D$18)*DataH!$D$23)</f>
        <v/>
      </c>
      <c r="AC69" s="5" t="e">
        <f>IF(YEAR(_xll.BToday())-YEAR(_xll.BDP($A69 &amp;" EQUITY", "EQY_FISCAL_YR_END"))&gt;=2, YEAR(_xll.BToday())-1, YEAR(_xll.BToday()))</f>
        <v>#N/A</v>
      </c>
    </row>
    <row r="70" spans="1:29" ht="15" customHeight="1">
      <c r="A70" s="164" t="str">
        <f>IF(C70&lt;&gt;"", IF(ISNUMBER(FIND("EQUITY", UPPER(C70), 1)), _xll.BDP(C70, "TICKER_AND_EXCH_CODE"), C70), "")</f>
        <v/>
      </c>
      <c r="C70" s="589"/>
      <c r="D70" s="568"/>
      <c r="E70" s="763" t="str">
        <f>IF(A70="","",IF(Lang="English",_xll.BDP(A70&amp;" EQUITY","NAME"),IF(Lang="中文",_xll.BDP(A70&amp;" EQUITY","NAME_CHINESE_TRADITIONAL"),_xll.BDP(A70&amp;" EQUITY","NAME_KANJI"))))</f>
        <v/>
      </c>
      <c r="F70" s="764"/>
      <c r="G70" s="765"/>
      <c r="H70" s="763" t="str">
        <f>IF(A70="", "", _xll.BDP(A70 &amp; " EQUITY", "GICS_SUB_INDUSTRY_NAME"))</f>
        <v/>
      </c>
      <c r="I70" s="764"/>
      <c r="J70" s="765"/>
      <c r="K70" s="509" t="str">
        <f>IF($A70="", "", _xll.BDP($A70 &amp; " EQUITY", "CRNCY"))</f>
        <v/>
      </c>
      <c r="L70" s="276"/>
      <c r="M70" s="277" t="str">
        <f>IF(OR($A70="", ISERROR(_xll.BDP($A70 &amp; " EQUITY", "CRNCY_ADJ_MKT_CAP")*1)), "", _xll.BDP($A70 &amp; " EQUITY", "CRNCY_ADJ_MKT_CAP"))</f>
        <v/>
      </c>
      <c r="N70" s="278" t="str">
        <f>IF(OR($A70="", ISERROR(_xll.BDP($A70 &amp; " EQUITY", "CRNCY_ADJ_MKT_CAP", "EQY_FUND_CRNCY", CURRENCY)*1)), "", _xll.BDP($A70 &amp; " EQUITY", "CRNCY_ADJ_MKT_CAP", "EQY_FUND_CRNCY", CURRENCY))</f>
        <v/>
      </c>
      <c r="O70" s="146"/>
      <c r="P70" s="279" t="str">
        <f>IF($A70="","",_xll.BDP($A70 &amp;" EQUITY", "CUST_TRR_RETURN_HOLDING_PER", "CUST_TRR_START_DT", DataH!$F$22, "CUST_TRR_END_DT", DataH!$F$21, "CUST_TRR_CRNCY", CURRENCY)/100)</f>
        <v/>
      </c>
      <c r="Q70" s="102" t="str">
        <f>IF($A70="","",_xll.BDP($A70&amp;" EQUITY","CUST_TRR_RETURN_HOLDING_PER","CUST_TRR_START_DT",DataH!$G$22,"CUST_TRR_END_DT",DataH!$F$21,"CUST_TRR_CRNCY",CURRENCY)/100)</f>
        <v/>
      </c>
      <c r="R70" s="216"/>
      <c r="S70" s="280" t="str">
        <f>IF($A70="","",_xll.BDP($A70&amp;" EQUITY",DataH!$C$23, "BEST_FPERIOD_OVERRIDE", MID(DataH!H$22, 3, 2)&amp;"BC", "EQY_CONSOLIDATED", DataH!$D$18)*DataH!$D$23)</f>
        <v/>
      </c>
      <c r="T70" s="127" t="str">
        <f>IF($A70="","",_xll.BDP($A70&amp;" EQUITY",DataH!$C$23, "BEST_FPERIOD_OVERRIDE", MID(DataH!I$22, 3, 2)&amp;"BC", "EQY_CONSOLIDATED", DataH!$D$18)*DataH!$D$23)</f>
        <v/>
      </c>
      <c r="U70" s="127" t="str">
        <f>IF($A70="","",_xll.BDP($A70&amp;" EQUITY",DataH!$C$23,"BEST_FPERIOD_OVERRIDE",MID(DataH!J$22,3,2)&amp;"BC","EQY_CONSOLIDATED",DataH!$D$18)*DataH!$D$23)</f>
        <v/>
      </c>
      <c r="V70" s="127" t="str">
        <f>IF($A70="","",_xll.BDP($A70&amp;" EQUITY",DataH!$C$23, "BEST_FPERIOD_OVERRIDE", MID(DataH!K$22, 3, 2)&amp;"BC", "EQY_CONSOLIDATED", DataH!$D$18)*DataH!$D$23)</f>
        <v/>
      </c>
      <c r="W70" s="494" t="str">
        <f>IF($A70="","",_xll.BDP($A70&amp;" EQUITY",DataH!$C$23, "BEST_FPERIOD_OVERRIDE", MID(DataH!L$22, 3, 2)&amp;"BC", "EQY_CONSOLIDATED", DataH!$D$18)*DataH!$D$23)</f>
        <v/>
      </c>
      <c r="X70" s="256" t="str">
        <f>IF($A70="","",_xll.BDP($A70&amp;" EQUITY",DataH!$C$23, "BEST_FPERIOD_OVERRIDE", MID(DataH!M$22, 3, 2)&amp;"BC", "EQY_CONSOLIDATED", DataH!$D$18)*DataH!$D$23)</f>
        <v/>
      </c>
      <c r="Y70" s="257" t="str">
        <f>IF($A70="","",_xll.BDP($A69&amp;" EQUITY",DataH!$C$23, "BEST_FPERIOD_OVERRIDE", MID(DataH!N$22, 3, 2)&amp;"BC", "EQY_CONSOLIDATED", DataH!$D$18)*DataH!$D$23)</f>
        <v/>
      </c>
      <c r="AC70" s="5" t="e">
        <f>IF(YEAR(_xll.BToday())-YEAR(_xll.BDP($A70 &amp;" EQUITY", "EQY_FISCAL_YR_END"))&gt;=2, YEAR(_xll.BToday())-1, YEAR(_xll.BToday()))</f>
        <v>#N/A</v>
      </c>
    </row>
    <row r="71" spans="1:29" ht="15" customHeight="1">
      <c r="A71" s="164" t="str">
        <f>IF(C71&lt;&gt;"", IF(ISNUMBER(FIND("EQUITY", UPPER(C71), 1)), _xll.BDP(C71, "TICKER_AND_EXCH_CODE"), C71), "")</f>
        <v/>
      </c>
      <c r="C71" s="590"/>
      <c r="D71" s="571"/>
      <c r="E71" s="780" t="str">
        <f>IF(A71="","",IF(Lang="English",_xll.BDP(A71&amp;" EQUITY","NAME"),IF(Lang="中文",_xll.BDP(A71&amp;" EQUITY","NAME_CHINESE_TRADITIONAL"),_xll.BDP(A71&amp;" EQUITY","NAME_KANJI"))))</f>
        <v/>
      </c>
      <c r="F71" s="781"/>
      <c r="G71" s="782"/>
      <c r="H71" s="780" t="str">
        <f>IF(A71="", "", _xll.BDP(A71 &amp; " EQUITY", "GICS_SUB_INDUSTRY_NAME"))</f>
        <v/>
      </c>
      <c r="I71" s="781"/>
      <c r="J71" s="782"/>
      <c r="K71" s="572" t="str">
        <f>IF($A71="", "", _xll.BDP($A71 &amp; " EQUITY", "CRNCY"))</f>
        <v/>
      </c>
      <c r="L71" s="573"/>
      <c r="M71" s="574" t="str">
        <f>IF(OR($A71="", ISERROR(_xll.BDP($A71 &amp; " EQUITY", "CRNCY_ADJ_MKT_CAP")*1)), "", _xll.BDP($A71 &amp; " EQUITY", "CRNCY_ADJ_MKT_CAP"))</f>
        <v/>
      </c>
      <c r="N71" s="575" t="str">
        <f>IF(OR($A71="", ISERROR(_xll.BDP($A71 &amp; " EQUITY", "CRNCY_ADJ_MKT_CAP", "EQY_FUND_CRNCY", CURRENCY)*1)), "", _xll.BDP($A71 &amp; " EQUITY", "CRNCY_ADJ_MKT_CAP", "EQY_FUND_CRNCY", CURRENCY))</f>
        <v/>
      </c>
      <c r="O71" s="146"/>
      <c r="P71" s="576" t="str">
        <f>IF($A71="","",_xll.BDP($A71 &amp;" EQUITY", "CUST_TRR_RETURN_HOLDING_PER", "CUST_TRR_START_DT", DataH!$F$22, "CUST_TRR_END_DT", DataH!$F$21, "CUST_TRR_CRNCY", CURRENCY)/100)</f>
        <v/>
      </c>
      <c r="Q71" s="577" t="str">
        <f>IF($A71="","",_xll.BDP($A71&amp;" EQUITY","CUST_TRR_RETURN_HOLDING_PER","CUST_TRR_START_DT",DataH!$G$22,"CUST_TRR_END_DT",DataH!$F$21,"CUST_TRR_CRNCY",CURRENCY)/100)</f>
        <v/>
      </c>
      <c r="R71" s="578"/>
      <c r="S71" s="579" t="str">
        <f>IF($A71="","",_xll.BDP($A71&amp;" EQUITY",DataH!$C$23, "BEST_FPERIOD_OVERRIDE", MID(DataH!H$22, 3, 2)&amp;"BC", "EQY_CONSOLIDATED", DataH!$D$18)*DataH!$D$23)</f>
        <v/>
      </c>
      <c r="T71" s="580" t="str">
        <f>IF($A71="","",_xll.BDP($A71&amp;" EQUITY",DataH!$C$23, "BEST_FPERIOD_OVERRIDE", MID(DataH!I$22, 3, 2)&amp;"BC", "EQY_CONSOLIDATED", DataH!$D$18)*DataH!$D$23)</f>
        <v/>
      </c>
      <c r="U71" s="580" t="str">
        <f>IF($A71="","",_xll.BDP($A71&amp;" EQUITY",DataH!$C$23,"BEST_FPERIOD_OVERRIDE",MID(DataH!J$22,3,2)&amp;"BC","EQY_CONSOLIDATED",DataH!$D$18)*DataH!$D$23)</f>
        <v/>
      </c>
      <c r="V71" s="580" t="str">
        <f>IF($A71="","",_xll.BDP($A71&amp;" EQUITY",DataH!$C$23, "BEST_FPERIOD_OVERRIDE", MID(DataH!K$22, 3, 2)&amp;"BC", "EQY_CONSOLIDATED", DataH!$D$18)*DataH!$D$23)</f>
        <v/>
      </c>
      <c r="W71" s="581" t="str">
        <f>IF($A71="","",_xll.BDP($A71&amp;" EQUITY",DataH!$C$23, "BEST_FPERIOD_OVERRIDE", MID(DataH!L$22, 3, 2)&amp;"BC", "EQY_CONSOLIDATED", DataH!$D$18)*DataH!$D$23)</f>
        <v/>
      </c>
      <c r="X71" s="582" t="str">
        <f>IF($A71="","",_xll.BDP($A71&amp;" EQUITY",DataH!$C$23, "BEST_FPERIOD_OVERRIDE", MID(DataH!M$22, 3, 2)&amp;"BC", "EQY_CONSOLIDATED", DataH!$D$18)*DataH!$D$23)</f>
        <v/>
      </c>
      <c r="Y71" s="583" t="str">
        <f>IF($A71="","",_xll.BDP($A70&amp;" EQUITY",DataH!$C$23, "BEST_FPERIOD_OVERRIDE", MID(DataH!N$22, 3, 2)&amp;"BC", "EQY_CONSOLIDATED", DataH!$D$18)*DataH!$D$23)</f>
        <v/>
      </c>
      <c r="AC71" s="5" t="e">
        <f>IF(YEAR(_xll.BToday())-YEAR(_xll.BDP($A71 &amp;" EQUITY", "EQY_FISCAL_YR_END"))&gt;=2, YEAR(_xll.BToday())-1, YEAR(_xll.BToday()))</f>
        <v>#N/A</v>
      </c>
    </row>
    <row r="72" spans="1:29" ht="15" customHeight="1">
      <c r="A72" s="164" t="str">
        <f>IF(C72&lt;&gt;"", IF(ISNUMBER(FIND("EQUITY", UPPER(C72), 1)), _xll.BDP(C72, "TICKER_AND_EXCH_CODE"), C72), "")</f>
        <v/>
      </c>
      <c r="C72" s="589"/>
      <c r="D72" s="568"/>
      <c r="E72" s="763" t="str">
        <f>IF(A72="","",IF(Lang="English",_xll.BDP(A72&amp;" EQUITY","NAME"),IF(Lang="中文",_xll.BDP(A72&amp;" EQUITY","NAME_CHINESE_TRADITIONAL"),_xll.BDP(A72&amp;" EQUITY","NAME_KANJI"))))</f>
        <v/>
      </c>
      <c r="F72" s="764"/>
      <c r="G72" s="765"/>
      <c r="H72" s="763" t="str">
        <f>IF(A72="", "", _xll.BDP(A72 &amp; " EQUITY", "GICS_SUB_INDUSTRY_NAME"))</f>
        <v/>
      </c>
      <c r="I72" s="764"/>
      <c r="J72" s="765"/>
      <c r="K72" s="509" t="str">
        <f>IF($A72="", "", _xll.BDP($A72 &amp; " EQUITY", "CRNCY"))</f>
        <v/>
      </c>
      <c r="L72" s="276"/>
      <c r="M72" s="277" t="str">
        <f>IF(OR($A72="", ISERROR(_xll.BDP($A72 &amp; " EQUITY", "CRNCY_ADJ_MKT_CAP")*1)), "", _xll.BDP($A72 &amp; " EQUITY", "CRNCY_ADJ_MKT_CAP"))</f>
        <v/>
      </c>
      <c r="N72" s="278" t="str">
        <f>IF(OR($A72="", ISERROR(_xll.BDP($A72 &amp; " EQUITY", "CRNCY_ADJ_MKT_CAP", "EQY_FUND_CRNCY", CURRENCY)*1)), "", _xll.BDP($A72 &amp; " EQUITY", "CRNCY_ADJ_MKT_CAP", "EQY_FUND_CRNCY", CURRENCY))</f>
        <v/>
      </c>
      <c r="O72" s="146"/>
      <c r="P72" s="279" t="str">
        <f>IF($A72="","",_xll.BDP($A72 &amp;" EQUITY", "CUST_TRR_RETURN_HOLDING_PER", "CUST_TRR_START_DT", DataH!$F$22, "CUST_TRR_END_DT", DataH!$F$21, "CUST_TRR_CRNCY", CURRENCY)/100)</f>
        <v/>
      </c>
      <c r="Q72" s="102" t="str">
        <f>IF($A72="","",_xll.BDP($A72&amp;" EQUITY","CUST_TRR_RETURN_HOLDING_PER","CUST_TRR_START_DT",DataH!$G$22,"CUST_TRR_END_DT",DataH!$F$21,"CUST_TRR_CRNCY",CURRENCY)/100)</f>
        <v/>
      </c>
      <c r="R72" s="216"/>
      <c r="S72" s="280" t="str">
        <f>IF($A72="","",_xll.BDP($A72&amp;" EQUITY",DataH!$C$23, "BEST_FPERIOD_OVERRIDE", MID(DataH!H$22, 3, 2)&amp;"BC", "EQY_CONSOLIDATED", DataH!$D$18)*DataH!$D$23)</f>
        <v/>
      </c>
      <c r="T72" s="127" t="str">
        <f>IF($A72="","",_xll.BDP($A72&amp;" EQUITY",DataH!$C$23, "BEST_FPERIOD_OVERRIDE", MID(DataH!I$22, 3, 2)&amp;"BC", "EQY_CONSOLIDATED", DataH!$D$18)*DataH!$D$23)</f>
        <v/>
      </c>
      <c r="U72" s="127" t="str">
        <f>IF($A72="","",_xll.BDP($A72&amp;" EQUITY",DataH!$C$23,"BEST_FPERIOD_OVERRIDE",MID(DataH!J$22,3,2)&amp;"BC","EQY_CONSOLIDATED",DataH!$D$18)*DataH!$D$23)</f>
        <v/>
      </c>
      <c r="V72" s="127" t="str">
        <f>IF($A72="","",_xll.BDP($A72&amp;" EQUITY",DataH!$C$23, "BEST_FPERIOD_OVERRIDE", MID(DataH!K$22, 3, 2)&amp;"BC", "EQY_CONSOLIDATED", DataH!$D$18)*DataH!$D$23)</f>
        <v/>
      </c>
      <c r="W72" s="494" t="str">
        <f>IF($A72="","",_xll.BDP($A72&amp;" EQUITY",DataH!$C$23, "BEST_FPERIOD_OVERRIDE", MID(DataH!L$22, 3, 2)&amp;"BC", "EQY_CONSOLIDATED", DataH!$D$18)*DataH!$D$23)</f>
        <v/>
      </c>
      <c r="X72" s="256" t="str">
        <f>IF($A72="","",_xll.BDP($A72&amp;" EQUITY",DataH!$C$23, "BEST_FPERIOD_OVERRIDE", MID(DataH!M$22, 3, 2)&amp;"BC", "EQY_CONSOLIDATED", DataH!$D$18)*DataH!$D$23)</f>
        <v/>
      </c>
      <c r="Y72" s="257" t="str">
        <f>IF($A72="","",_xll.BDP($A71&amp;" EQUITY",DataH!$C$23, "BEST_FPERIOD_OVERRIDE", MID(DataH!N$22, 3, 2)&amp;"BC", "EQY_CONSOLIDATED", DataH!$D$18)*DataH!$D$23)</f>
        <v/>
      </c>
      <c r="AC72" s="5" t="e">
        <f>IF(YEAR(_xll.BToday())-YEAR(_xll.BDP($A72 &amp;" EQUITY", "EQY_FISCAL_YR_END"))&gt;=2, YEAR(_xll.BToday())-1, YEAR(_xll.BToday()))</f>
        <v>#N/A</v>
      </c>
    </row>
    <row r="73" spans="1:29" ht="15" customHeight="1">
      <c r="A73" s="164" t="str">
        <f>IF(C73&lt;&gt;"", IF(ISNUMBER(FIND("EQUITY", UPPER(C73), 1)), _xll.BDP(C73, "TICKER_AND_EXCH_CODE"), C73), "")</f>
        <v/>
      </c>
      <c r="C73" s="590"/>
      <c r="D73" s="571"/>
      <c r="E73" s="780" t="str">
        <f>IF(A73="","",IF(Lang="English",_xll.BDP(A73&amp;" EQUITY","NAME"),IF(Lang="中文",_xll.BDP(A73&amp;" EQUITY","NAME_CHINESE_TRADITIONAL"),_xll.BDP(A73&amp;" EQUITY","NAME_KANJI"))))</f>
        <v/>
      </c>
      <c r="F73" s="781"/>
      <c r="G73" s="782"/>
      <c r="H73" s="780" t="str">
        <f>IF(A73="", "", _xll.BDP(A73 &amp; " EQUITY", "GICS_SUB_INDUSTRY_NAME"))</f>
        <v/>
      </c>
      <c r="I73" s="781"/>
      <c r="J73" s="782"/>
      <c r="K73" s="572" t="str">
        <f>IF($A73="", "", _xll.BDP($A73 &amp; " EQUITY", "CRNCY"))</f>
        <v/>
      </c>
      <c r="L73" s="573"/>
      <c r="M73" s="574" t="str">
        <f>IF(OR($A73="", ISERROR(_xll.BDP($A73 &amp; " EQUITY", "CRNCY_ADJ_MKT_CAP")*1)), "", _xll.BDP($A73 &amp; " EQUITY", "CRNCY_ADJ_MKT_CAP"))</f>
        <v/>
      </c>
      <c r="N73" s="575" t="str">
        <f>IF(OR($A73="", ISERROR(_xll.BDP($A73 &amp; " EQUITY", "CRNCY_ADJ_MKT_CAP", "EQY_FUND_CRNCY", CURRENCY)*1)), "", _xll.BDP($A73 &amp; " EQUITY", "CRNCY_ADJ_MKT_CAP", "EQY_FUND_CRNCY", CURRENCY))</f>
        <v/>
      </c>
      <c r="O73" s="146"/>
      <c r="P73" s="576" t="str">
        <f>IF($A73="","",_xll.BDP($A73 &amp;" EQUITY", "CUST_TRR_RETURN_HOLDING_PER", "CUST_TRR_START_DT", DataH!$F$22, "CUST_TRR_END_DT", DataH!$F$21, "CUST_TRR_CRNCY", CURRENCY)/100)</f>
        <v/>
      </c>
      <c r="Q73" s="577" t="str">
        <f>IF($A73="","",_xll.BDP($A73&amp;" EQUITY","CUST_TRR_RETURN_HOLDING_PER","CUST_TRR_START_DT",DataH!$G$22,"CUST_TRR_END_DT",DataH!$F$21,"CUST_TRR_CRNCY",CURRENCY)/100)</f>
        <v/>
      </c>
      <c r="R73" s="578"/>
      <c r="S73" s="579" t="str">
        <f>IF($A73="","",_xll.BDP($A73&amp;" EQUITY",DataH!$C$23, "BEST_FPERIOD_OVERRIDE", MID(DataH!H$22, 3, 2)&amp;"BC", "EQY_CONSOLIDATED", DataH!$D$18)*DataH!$D$23)</f>
        <v/>
      </c>
      <c r="T73" s="580" t="str">
        <f>IF($A73="","",_xll.BDP($A73&amp;" EQUITY",DataH!$C$23, "BEST_FPERIOD_OVERRIDE", MID(DataH!I$22, 3, 2)&amp;"BC", "EQY_CONSOLIDATED", DataH!$D$18)*DataH!$D$23)</f>
        <v/>
      </c>
      <c r="U73" s="580" t="str">
        <f>IF($A73="","",_xll.BDP($A73&amp;" EQUITY",DataH!$C$23,"BEST_FPERIOD_OVERRIDE",MID(DataH!J$22,3,2)&amp;"BC","EQY_CONSOLIDATED",DataH!$D$18)*DataH!$D$23)</f>
        <v/>
      </c>
      <c r="V73" s="580" t="str">
        <f>IF($A73="","",_xll.BDP($A73&amp;" EQUITY",DataH!$C$23, "BEST_FPERIOD_OVERRIDE", MID(DataH!K$22, 3, 2)&amp;"BC", "EQY_CONSOLIDATED", DataH!$D$18)*DataH!$D$23)</f>
        <v/>
      </c>
      <c r="W73" s="581" t="str">
        <f>IF($A73="","",_xll.BDP($A73&amp;" EQUITY",DataH!$C$23, "BEST_FPERIOD_OVERRIDE", MID(DataH!L$22, 3, 2)&amp;"BC", "EQY_CONSOLIDATED", DataH!$D$18)*DataH!$D$23)</f>
        <v/>
      </c>
      <c r="X73" s="582" t="str">
        <f>IF($A73="","",_xll.BDP($A73&amp;" EQUITY",DataH!$C$23, "BEST_FPERIOD_OVERRIDE", MID(DataH!M$22, 3, 2)&amp;"BC", "EQY_CONSOLIDATED", DataH!$D$18)*DataH!$D$23)</f>
        <v/>
      </c>
      <c r="Y73" s="583" t="str">
        <f>IF($A73="","",_xll.BDP($A72&amp;" EQUITY",DataH!$C$23, "BEST_FPERIOD_OVERRIDE", MID(DataH!N$22, 3, 2)&amp;"BC", "EQY_CONSOLIDATED", DataH!$D$18)*DataH!$D$23)</f>
        <v/>
      </c>
      <c r="AC73" s="5" t="e">
        <f>IF(YEAR(_xll.BToday())-YEAR(_xll.BDP($A73 &amp;" EQUITY", "EQY_FISCAL_YR_END"))&gt;=2, YEAR(_xll.BToday())-1, YEAR(_xll.BToday()))</f>
        <v>#N/A</v>
      </c>
    </row>
    <row r="74" spans="1:29" ht="15" customHeight="1">
      <c r="A74" s="164" t="str">
        <f>IF(C74&lt;&gt;"", IF(ISNUMBER(FIND("EQUITY", UPPER(C74), 1)), _xll.BDP(C74, "TICKER_AND_EXCH_CODE"), C74), "")</f>
        <v/>
      </c>
      <c r="C74" s="589"/>
      <c r="D74" s="568"/>
      <c r="E74" s="763" t="str">
        <f>IF(A74="","",IF(Lang="English",_xll.BDP(A74&amp;" EQUITY","NAME"),IF(Lang="中文",_xll.BDP(A74&amp;" EQUITY","NAME_CHINESE_TRADITIONAL"),_xll.BDP(A74&amp;" EQUITY","NAME_KANJI"))))</f>
        <v/>
      </c>
      <c r="F74" s="764"/>
      <c r="G74" s="765"/>
      <c r="H74" s="763" t="str">
        <f>IF(A74="", "", _xll.BDP(A74 &amp; " EQUITY", "GICS_SUB_INDUSTRY_NAME"))</f>
        <v/>
      </c>
      <c r="I74" s="764"/>
      <c r="J74" s="765"/>
      <c r="K74" s="509" t="str">
        <f>IF($A74="", "", _xll.BDP($A74 &amp; " EQUITY", "CRNCY"))</f>
        <v/>
      </c>
      <c r="L74" s="276"/>
      <c r="M74" s="277" t="str">
        <f>IF(OR($A74="", ISERROR(_xll.BDP($A74 &amp; " EQUITY", "CRNCY_ADJ_MKT_CAP")*1)), "", _xll.BDP($A74 &amp; " EQUITY", "CRNCY_ADJ_MKT_CAP"))</f>
        <v/>
      </c>
      <c r="N74" s="278" t="str">
        <f>IF(OR($A74="", ISERROR(_xll.BDP($A74 &amp; " EQUITY", "CRNCY_ADJ_MKT_CAP", "EQY_FUND_CRNCY", CURRENCY)*1)), "", _xll.BDP($A74 &amp; " EQUITY", "CRNCY_ADJ_MKT_CAP", "EQY_FUND_CRNCY", CURRENCY))</f>
        <v/>
      </c>
      <c r="O74" s="146"/>
      <c r="P74" s="279" t="str">
        <f>IF($A74="","",_xll.BDP($A74 &amp;" EQUITY", "CUST_TRR_RETURN_HOLDING_PER", "CUST_TRR_START_DT", DataH!$F$22, "CUST_TRR_END_DT", DataH!$F$21, "CUST_TRR_CRNCY", CURRENCY)/100)</f>
        <v/>
      </c>
      <c r="Q74" s="102" t="str">
        <f>IF($A74="","",_xll.BDP($A74&amp;" EQUITY","CUST_TRR_RETURN_HOLDING_PER","CUST_TRR_START_DT",DataH!$G$22,"CUST_TRR_END_DT",DataH!$F$21,"CUST_TRR_CRNCY",CURRENCY)/100)</f>
        <v/>
      </c>
      <c r="R74" s="216"/>
      <c r="S74" s="280" t="str">
        <f>IF($A74="","",_xll.BDP($A74&amp;" EQUITY",DataH!$C$23, "BEST_FPERIOD_OVERRIDE", MID(DataH!H$22, 3, 2)&amp;"BC", "EQY_CONSOLIDATED", DataH!$D$18)*DataH!$D$23)</f>
        <v/>
      </c>
      <c r="T74" s="127" t="str">
        <f>IF($A74="","",_xll.BDP($A74&amp;" EQUITY",DataH!$C$23, "BEST_FPERIOD_OVERRIDE", MID(DataH!I$22, 3, 2)&amp;"BC", "EQY_CONSOLIDATED", DataH!$D$18)*DataH!$D$23)</f>
        <v/>
      </c>
      <c r="U74" s="127" t="str">
        <f>IF($A74="","",_xll.BDP($A74&amp;" EQUITY",DataH!$C$23,"BEST_FPERIOD_OVERRIDE",MID(DataH!J$22,3,2)&amp;"BC","EQY_CONSOLIDATED",DataH!$D$18)*DataH!$D$23)</f>
        <v/>
      </c>
      <c r="V74" s="127" t="str">
        <f>IF($A74="","",_xll.BDP($A74&amp;" EQUITY",DataH!$C$23, "BEST_FPERIOD_OVERRIDE", MID(DataH!K$22, 3, 2)&amp;"BC", "EQY_CONSOLIDATED", DataH!$D$18)*DataH!$D$23)</f>
        <v/>
      </c>
      <c r="W74" s="494" t="str">
        <f>IF($A74="","",_xll.BDP($A74&amp;" EQUITY",DataH!$C$23, "BEST_FPERIOD_OVERRIDE", MID(DataH!L$22, 3, 2)&amp;"BC", "EQY_CONSOLIDATED", DataH!$D$18)*DataH!$D$23)</f>
        <v/>
      </c>
      <c r="X74" s="256" t="str">
        <f>IF($A74="","",_xll.BDP($A74&amp;" EQUITY",DataH!$C$23, "BEST_FPERIOD_OVERRIDE", MID(DataH!M$22, 3, 2)&amp;"BC", "EQY_CONSOLIDATED", DataH!$D$18)*DataH!$D$23)</f>
        <v/>
      </c>
      <c r="Y74" s="257" t="str">
        <f>IF($A74="","",_xll.BDP($A73&amp;" EQUITY",DataH!$C$23, "BEST_FPERIOD_OVERRIDE", MID(DataH!N$22, 3, 2)&amp;"BC", "EQY_CONSOLIDATED", DataH!$D$18)*DataH!$D$23)</f>
        <v/>
      </c>
      <c r="AC74" s="5" t="e">
        <f>IF(YEAR(_xll.BToday())-YEAR(_xll.BDP($A74 &amp;" EQUITY", "EQY_FISCAL_YR_END"))&gt;=2, YEAR(_xll.BToday())-1, YEAR(_xll.BToday()))</f>
        <v>#N/A</v>
      </c>
    </row>
    <row r="75" spans="1:29" ht="15" customHeight="1">
      <c r="A75" s="164" t="str">
        <f>IF(C75&lt;&gt;"", IF(ISNUMBER(FIND("EQUITY", UPPER(C75), 1)), _xll.BDP(C75, "TICKER_AND_EXCH_CODE"), C75), "")</f>
        <v/>
      </c>
      <c r="C75" s="590"/>
      <c r="D75" s="571"/>
      <c r="E75" s="780" t="str">
        <f>IF(A75="","",IF(Lang="English",_xll.BDP(A75&amp;" EQUITY","NAME"),IF(Lang="中文",_xll.BDP(A75&amp;" EQUITY","NAME_CHINESE_TRADITIONAL"),_xll.BDP(A75&amp;" EQUITY","NAME_KANJI"))))</f>
        <v/>
      </c>
      <c r="F75" s="781"/>
      <c r="G75" s="782"/>
      <c r="H75" s="780" t="str">
        <f>IF(A75="", "", _xll.BDP(A75 &amp; " EQUITY", "GICS_SUB_INDUSTRY_NAME"))</f>
        <v/>
      </c>
      <c r="I75" s="781"/>
      <c r="J75" s="782"/>
      <c r="K75" s="572" t="str">
        <f>IF($A75="", "", _xll.BDP($A75 &amp; " EQUITY", "CRNCY"))</f>
        <v/>
      </c>
      <c r="L75" s="573"/>
      <c r="M75" s="574" t="str">
        <f>IF(OR($A75="", ISERROR(_xll.BDP($A75 &amp; " EQUITY", "CRNCY_ADJ_MKT_CAP")*1)), "", _xll.BDP($A75 &amp; " EQUITY", "CRNCY_ADJ_MKT_CAP"))</f>
        <v/>
      </c>
      <c r="N75" s="575" t="str">
        <f>IF(OR($A75="", ISERROR(_xll.BDP($A75 &amp; " EQUITY", "CRNCY_ADJ_MKT_CAP", "EQY_FUND_CRNCY", CURRENCY)*1)), "", _xll.BDP($A75 &amp; " EQUITY", "CRNCY_ADJ_MKT_CAP", "EQY_FUND_CRNCY", CURRENCY))</f>
        <v/>
      </c>
      <c r="O75" s="146"/>
      <c r="P75" s="576" t="str">
        <f>IF($A75="","",_xll.BDP($A75 &amp;" EQUITY", "CUST_TRR_RETURN_HOLDING_PER", "CUST_TRR_START_DT", DataH!$F$22, "CUST_TRR_END_DT", DataH!$F$21, "CUST_TRR_CRNCY", CURRENCY)/100)</f>
        <v/>
      </c>
      <c r="Q75" s="577" t="str">
        <f>IF($A75="","",_xll.BDP($A75&amp;" EQUITY","CUST_TRR_RETURN_HOLDING_PER","CUST_TRR_START_DT",DataH!$G$22,"CUST_TRR_END_DT",DataH!$F$21,"CUST_TRR_CRNCY",CURRENCY)/100)</f>
        <v/>
      </c>
      <c r="R75" s="578"/>
      <c r="S75" s="579" t="str">
        <f>IF($A75="","",_xll.BDP($A75&amp;" EQUITY",DataH!$C$23, "BEST_FPERIOD_OVERRIDE", MID(DataH!H$22, 3, 2)&amp;"BC", "EQY_CONSOLIDATED", DataH!$D$18)*DataH!$D$23)</f>
        <v/>
      </c>
      <c r="T75" s="580" t="str">
        <f>IF($A75="","",_xll.BDP($A75&amp;" EQUITY",DataH!$C$23, "BEST_FPERIOD_OVERRIDE", MID(DataH!I$22, 3, 2)&amp;"BC", "EQY_CONSOLIDATED", DataH!$D$18)*DataH!$D$23)</f>
        <v/>
      </c>
      <c r="U75" s="580" t="str">
        <f>IF($A75="","",_xll.BDP($A75&amp;" EQUITY",DataH!$C$23,"BEST_FPERIOD_OVERRIDE",MID(DataH!J$22,3,2)&amp;"BC","EQY_CONSOLIDATED",DataH!$D$18)*DataH!$D$23)</f>
        <v/>
      </c>
      <c r="V75" s="580" t="str">
        <f>IF($A75="","",_xll.BDP($A75&amp;" EQUITY",DataH!$C$23, "BEST_FPERIOD_OVERRIDE", MID(DataH!K$22, 3, 2)&amp;"BC", "EQY_CONSOLIDATED", DataH!$D$18)*DataH!$D$23)</f>
        <v/>
      </c>
      <c r="W75" s="581" t="str">
        <f>IF($A75="","",_xll.BDP($A75&amp;" EQUITY",DataH!$C$23, "BEST_FPERIOD_OVERRIDE", MID(DataH!L$22, 3, 2)&amp;"BC", "EQY_CONSOLIDATED", DataH!$D$18)*DataH!$D$23)</f>
        <v/>
      </c>
      <c r="X75" s="582" t="str">
        <f>IF($A75="","",_xll.BDP($A75&amp;" EQUITY",DataH!$C$23, "BEST_FPERIOD_OVERRIDE", MID(DataH!M$22, 3, 2)&amp;"BC", "EQY_CONSOLIDATED", DataH!$D$18)*DataH!$D$23)</f>
        <v/>
      </c>
      <c r="Y75" s="583" t="str">
        <f>IF($A75="","",_xll.BDP($A74&amp;" EQUITY",DataH!$C$23, "BEST_FPERIOD_OVERRIDE", MID(DataH!N$22, 3, 2)&amp;"BC", "EQY_CONSOLIDATED", DataH!$D$18)*DataH!$D$23)</f>
        <v/>
      </c>
      <c r="AC75" s="5" t="e">
        <f>IF(YEAR(_xll.BToday())-YEAR(_xll.BDP($A75 &amp;" EQUITY", "EQY_FISCAL_YR_END"))&gt;=2, YEAR(_xll.BToday())-1, YEAR(_xll.BToday()))</f>
        <v>#N/A</v>
      </c>
    </row>
    <row r="76" spans="1:29" ht="15" customHeight="1">
      <c r="A76" s="164" t="str">
        <f>IF(C76&lt;&gt;"", IF(ISNUMBER(FIND("EQUITY", UPPER(C76), 1)), _xll.BDP(C76, "TICKER_AND_EXCH_CODE"), C76), "")</f>
        <v/>
      </c>
      <c r="C76" s="589"/>
      <c r="D76" s="568"/>
      <c r="E76" s="763" t="str">
        <f>IF(A76="","",IF(Lang="English",_xll.BDP(A76&amp;" EQUITY","NAME"),IF(Lang="中文",_xll.BDP(A76&amp;" EQUITY","NAME_CHINESE_TRADITIONAL"),_xll.BDP(A76&amp;" EQUITY","NAME_KANJI"))))</f>
        <v/>
      </c>
      <c r="F76" s="764"/>
      <c r="G76" s="765"/>
      <c r="H76" s="763" t="str">
        <f>IF(A76="", "", _xll.BDP(A76 &amp; " EQUITY", "GICS_SUB_INDUSTRY_NAME"))</f>
        <v/>
      </c>
      <c r="I76" s="764"/>
      <c r="J76" s="765"/>
      <c r="K76" s="509" t="str">
        <f>IF($A76="", "", _xll.BDP($A76 &amp; " EQUITY", "CRNCY"))</f>
        <v/>
      </c>
      <c r="L76" s="276"/>
      <c r="M76" s="277" t="str">
        <f>IF(OR($A76="", ISERROR(_xll.BDP($A76 &amp; " EQUITY", "CRNCY_ADJ_MKT_CAP")*1)), "", _xll.BDP($A76 &amp; " EQUITY", "CRNCY_ADJ_MKT_CAP"))</f>
        <v/>
      </c>
      <c r="N76" s="278" t="str">
        <f>IF(OR($A76="", ISERROR(_xll.BDP($A76 &amp; " EQUITY", "CRNCY_ADJ_MKT_CAP", "EQY_FUND_CRNCY", CURRENCY)*1)), "", _xll.BDP($A76 &amp; " EQUITY", "CRNCY_ADJ_MKT_CAP", "EQY_FUND_CRNCY", CURRENCY))</f>
        <v/>
      </c>
      <c r="O76" s="146"/>
      <c r="P76" s="279" t="str">
        <f>IF($A76="","",_xll.BDP($A76 &amp;" EQUITY", "CUST_TRR_RETURN_HOLDING_PER", "CUST_TRR_START_DT", DataH!$F$22, "CUST_TRR_END_DT", DataH!$F$21, "CUST_TRR_CRNCY", CURRENCY)/100)</f>
        <v/>
      </c>
      <c r="Q76" s="102" t="str">
        <f>IF($A76="","",_xll.BDP($A76&amp;" EQUITY","CUST_TRR_RETURN_HOLDING_PER","CUST_TRR_START_DT",DataH!$G$22,"CUST_TRR_END_DT",DataH!$F$21,"CUST_TRR_CRNCY",CURRENCY)/100)</f>
        <v/>
      </c>
      <c r="R76" s="216"/>
      <c r="S76" s="280" t="str">
        <f>IF($A76="","",_xll.BDP($A76&amp;" EQUITY",DataH!$C$23, "BEST_FPERIOD_OVERRIDE", MID(DataH!H$22, 3, 2)&amp;"BC", "EQY_CONSOLIDATED", DataH!$D$18)*DataH!$D$23)</f>
        <v/>
      </c>
      <c r="T76" s="127" t="str">
        <f>IF($A76="","",_xll.BDP($A76&amp;" EQUITY",DataH!$C$23, "BEST_FPERIOD_OVERRIDE", MID(DataH!I$22, 3, 2)&amp;"BC", "EQY_CONSOLIDATED", DataH!$D$18)*DataH!$D$23)</f>
        <v/>
      </c>
      <c r="U76" s="127" t="str">
        <f>IF($A76="","",_xll.BDP($A76&amp;" EQUITY",DataH!$C$23,"BEST_FPERIOD_OVERRIDE",MID(DataH!J$22,3,2)&amp;"BC","EQY_CONSOLIDATED",DataH!$D$18)*DataH!$D$23)</f>
        <v/>
      </c>
      <c r="V76" s="127" t="str">
        <f>IF($A76="","",_xll.BDP($A76&amp;" EQUITY",DataH!$C$23, "BEST_FPERIOD_OVERRIDE", MID(DataH!K$22, 3, 2)&amp;"BC", "EQY_CONSOLIDATED", DataH!$D$18)*DataH!$D$23)</f>
        <v/>
      </c>
      <c r="W76" s="494" t="str">
        <f>IF($A76="","",_xll.BDP($A76&amp;" EQUITY",DataH!$C$23, "BEST_FPERIOD_OVERRIDE", MID(DataH!L$22, 3, 2)&amp;"BC", "EQY_CONSOLIDATED", DataH!$D$18)*DataH!$D$23)</f>
        <v/>
      </c>
      <c r="X76" s="256" t="str">
        <f>IF($A76="","",_xll.BDP($A76&amp;" EQUITY",DataH!$C$23, "BEST_FPERIOD_OVERRIDE", MID(DataH!M$22, 3, 2)&amp;"BC", "EQY_CONSOLIDATED", DataH!$D$18)*DataH!$D$23)</f>
        <v/>
      </c>
      <c r="Y76" s="257" t="str">
        <f>IF($A76="","",_xll.BDP($A75&amp;" EQUITY",DataH!$C$23, "BEST_FPERIOD_OVERRIDE", MID(DataH!N$22, 3, 2)&amp;"BC", "EQY_CONSOLIDATED", DataH!$D$18)*DataH!$D$23)</f>
        <v/>
      </c>
      <c r="AC76" s="5" t="e">
        <f>IF(YEAR(_xll.BToday())-YEAR(_xll.BDP($A76 &amp;" EQUITY", "EQY_FISCAL_YR_END"))&gt;=2, YEAR(_xll.BToday())-1, YEAR(_xll.BToday()))</f>
        <v>#N/A</v>
      </c>
    </row>
    <row r="77" spans="1:29" ht="15" customHeight="1">
      <c r="A77" s="164" t="str">
        <f>IF(C77&lt;&gt;"", IF(ISNUMBER(FIND("EQUITY", UPPER(C77), 1)), _xll.BDP(C77, "TICKER_AND_EXCH_CODE"), C77), "")</f>
        <v/>
      </c>
      <c r="C77" s="590"/>
      <c r="D77" s="571"/>
      <c r="E77" s="780" t="str">
        <f>IF(A77="","",IF(Lang="English",_xll.BDP(A77&amp;" EQUITY","NAME"),IF(Lang="中文",_xll.BDP(A77&amp;" EQUITY","NAME_CHINESE_TRADITIONAL"),_xll.BDP(A77&amp;" EQUITY","NAME_KANJI"))))</f>
        <v/>
      </c>
      <c r="F77" s="781"/>
      <c r="G77" s="782"/>
      <c r="H77" s="780" t="str">
        <f>IF(A77="", "", _xll.BDP(A77 &amp; " EQUITY", "GICS_SUB_INDUSTRY_NAME"))</f>
        <v/>
      </c>
      <c r="I77" s="781"/>
      <c r="J77" s="782"/>
      <c r="K77" s="572" t="str">
        <f>IF($A77="", "", _xll.BDP($A77 &amp; " EQUITY", "CRNCY"))</f>
        <v/>
      </c>
      <c r="L77" s="573"/>
      <c r="M77" s="574" t="str">
        <f>IF(OR($A77="", ISERROR(_xll.BDP($A77 &amp; " EQUITY", "CRNCY_ADJ_MKT_CAP")*1)), "", _xll.BDP($A77 &amp; " EQUITY", "CRNCY_ADJ_MKT_CAP"))</f>
        <v/>
      </c>
      <c r="N77" s="575" t="str">
        <f>IF(OR($A77="", ISERROR(_xll.BDP($A77 &amp; " EQUITY", "CRNCY_ADJ_MKT_CAP", "EQY_FUND_CRNCY", CURRENCY)*1)), "", _xll.BDP($A77 &amp; " EQUITY", "CRNCY_ADJ_MKT_CAP", "EQY_FUND_CRNCY", CURRENCY))</f>
        <v/>
      </c>
      <c r="O77" s="146"/>
      <c r="P77" s="576" t="str">
        <f>IF($A77="","",_xll.BDP($A77 &amp;" EQUITY", "CUST_TRR_RETURN_HOLDING_PER", "CUST_TRR_START_DT", DataH!$F$22, "CUST_TRR_END_DT", DataH!$F$21, "CUST_TRR_CRNCY", CURRENCY)/100)</f>
        <v/>
      </c>
      <c r="Q77" s="577" t="str">
        <f>IF($A77="","",_xll.BDP($A77&amp;" EQUITY","CUST_TRR_RETURN_HOLDING_PER","CUST_TRR_START_DT",DataH!$G$22,"CUST_TRR_END_DT",DataH!$F$21,"CUST_TRR_CRNCY",CURRENCY)/100)</f>
        <v/>
      </c>
      <c r="R77" s="578"/>
      <c r="S77" s="579" t="str">
        <f>IF($A77="","",_xll.BDP($A77&amp;" EQUITY",DataH!$C$23, "BEST_FPERIOD_OVERRIDE", MID(DataH!H$22, 3, 2)&amp;"BC", "EQY_CONSOLIDATED", DataH!$D$18)*DataH!$D$23)</f>
        <v/>
      </c>
      <c r="T77" s="580" t="str">
        <f>IF($A77="","",_xll.BDP($A77&amp;" EQUITY",DataH!$C$23, "BEST_FPERIOD_OVERRIDE", MID(DataH!I$22, 3, 2)&amp;"BC", "EQY_CONSOLIDATED", DataH!$D$18)*DataH!$D$23)</f>
        <v/>
      </c>
      <c r="U77" s="580" t="str">
        <f>IF($A77="","",_xll.BDP($A77&amp;" EQUITY",DataH!$C$23,"BEST_FPERIOD_OVERRIDE",MID(DataH!J$22,3,2)&amp;"BC","EQY_CONSOLIDATED",DataH!$D$18)*DataH!$D$23)</f>
        <v/>
      </c>
      <c r="V77" s="580" t="str">
        <f>IF($A77="","",_xll.BDP($A77&amp;" EQUITY",DataH!$C$23, "BEST_FPERIOD_OVERRIDE", MID(DataH!K$22, 3, 2)&amp;"BC", "EQY_CONSOLIDATED", DataH!$D$18)*DataH!$D$23)</f>
        <v/>
      </c>
      <c r="W77" s="581" t="str">
        <f>IF($A77="","",_xll.BDP($A77&amp;" EQUITY",DataH!$C$23, "BEST_FPERIOD_OVERRIDE", MID(DataH!L$22, 3, 2)&amp;"BC", "EQY_CONSOLIDATED", DataH!$D$18)*DataH!$D$23)</f>
        <v/>
      </c>
      <c r="X77" s="582" t="str">
        <f>IF($A77="","",_xll.BDP($A77&amp;" EQUITY",DataH!$C$23, "BEST_FPERIOD_OVERRIDE", MID(DataH!M$22, 3, 2)&amp;"BC", "EQY_CONSOLIDATED", DataH!$D$18)*DataH!$D$23)</f>
        <v/>
      </c>
      <c r="Y77" s="583" t="str">
        <f>IF($A77="","",_xll.BDP($A76&amp;" EQUITY",DataH!$C$23, "BEST_FPERIOD_OVERRIDE", MID(DataH!N$22, 3, 2)&amp;"BC", "EQY_CONSOLIDATED", DataH!$D$18)*DataH!$D$23)</f>
        <v/>
      </c>
      <c r="AC77" s="5" t="e">
        <f>IF(YEAR(_xll.BToday())-YEAR(_xll.BDP($A77 &amp;" EQUITY", "EQY_FISCAL_YR_END"))&gt;=2, YEAR(_xll.BToday())-1, YEAR(_xll.BToday()))</f>
        <v>#N/A</v>
      </c>
    </row>
    <row r="78" spans="1:29" ht="15" customHeight="1">
      <c r="A78" s="164" t="str">
        <f>IF(C78&lt;&gt;"", IF(ISNUMBER(FIND("EQUITY", UPPER(C78), 1)), _xll.BDP(C78, "TICKER_AND_EXCH_CODE"), C78), "")</f>
        <v/>
      </c>
      <c r="C78" s="589"/>
      <c r="D78" s="568"/>
      <c r="E78" s="763" t="str">
        <f>IF(A78="","",IF(Lang="English",_xll.BDP(A78&amp;" EQUITY","NAME"),IF(Lang="中文",_xll.BDP(A78&amp;" EQUITY","NAME_CHINESE_TRADITIONAL"),_xll.BDP(A78&amp;" EQUITY","NAME_KANJI"))))</f>
        <v/>
      </c>
      <c r="F78" s="764"/>
      <c r="G78" s="765"/>
      <c r="H78" s="763" t="str">
        <f>IF(A78="", "", _xll.BDP(A78 &amp; " EQUITY", "GICS_SUB_INDUSTRY_NAME"))</f>
        <v/>
      </c>
      <c r="I78" s="764"/>
      <c r="J78" s="765"/>
      <c r="K78" s="509" t="str">
        <f>IF($A78="", "", _xll.BDP($A78 &amp; " EQUITY", "CRNCY"))</f>
        <v/>
      </c>
      <c r="L78" s="276"/>
      <c r="M78" s="277" t="str">
        <f>IF(OR($A78="", ISERROR(_xll.BDP($A78 &amp; " EQUITY", "CRNCY_ADJ_MKT_CAP")*1)), "", _xll.BDP($A78 &amp; " EQUITY", "CRNCY_ADJ_MKT_CAP"))</f>
        <v/>
      </c>
      <c r="N78" s="278" t="str">
        <f>IF(OR($A78="", ISERROR(_xll.BDP($A78 &amp; " EQUITY", "CRNCY_ADJ_MKT_CAP", "EQY_FUND_CRNCY", CURRENCY)*1)), "", _xll.BDP($A78 &amp; " EQUITY", "CRNCY_ADJ_MKT_CAP", "EQY_FUND_CRNCY", CURRENCY))</f>
        <v/>
      </c>
      <c r="O78" s="146"/>
      <c r="P78" s="279" t="str">
        <f>IF($A78="","",_xll.BDP($A78 &amp;" EQUITY", "CUST_TRR_RETURN_HOLDING_PER", "CUST_TRR_START_DT", DataH!$F$22, "CUST_TRR_END_DT", DataH!$F$21, "CUST_TRR_CRNCY", CURRENCY)/100)</f>
        <v/>
      </c>
      <c r="Q78" s="102" t="str">
        <f>IF($A78="","",_xll.BDP($A78&amp;" EQUITY","CUST_TRR_RETURN_HOLDING_PER","CUST_TRR_START_DT",DataH!$G$22,"CUST_TRR_END_DT",DataH!$F$21,"CUST_TRR_CRNCY",CURRENCY)/100)</f>
        <v/>
      </c>
      <c r="R78" s="216"/>
      <c r="S78" s="280" t="str">
        <f>IF($A78="","",_xll.BDP($A78&amp;" EQUITY",DataH!$C$23, "BEST_FPERIOD_OVERRIDE", MID(DataH!H$22, 3, 2)&amp;"BC", "EQY_CONSOLIDATED", DataH!$D$18)*DataH!$D$23)</f>
        <v/>
      </c>
      <c r="T78" s="127" t="str">
        <f>IF($A78="","",_xll.BDP($A78&amp;" EQUITY",DataH!$C$23, "BEST_FPERIOD_OVERRIDE", MID(DataH!I$22, 3, 2)&amp;"BC", "EQY_CONSOLIDATED", DataH!$D$18)*DataH!$D$23)</f>
        <v/>
      </c>
      <c r="U78" s="127" t="str">
        <f>IF($A78="","",_xll.BDP($A78&amp;" EQUITY",DataH!$C$23,"BEST_FPERIOD_OVERRIDE",MID(DataH!J$22,3,2)&amp;"BC","EQY_CONSOLIDATED",DataH!$D$18)*DataH!$D$23)</f>
        <v/>
      </c>
      <c r="V78" s="127" t="str">
        <f>IF($A78="","",_xll.BDP($A78&amp;" EQUITY",DataH!$C$23, "BEST_FPERIOD_OVERRIDE", MID(DataH!K$22, 3, 2)&amp;"BC", "EQY_CONSOLIDATED", DataH!$D$18)*DataH!$D$23)</f>
        <v/>
      </c>
      <c r="W78" s="494" t="str">
        <f>IF($A78="","",_xll.BDP($A78&amp;" EQUITY",DataH!$C$23, "BEST_FPERIOD_OVERRIDE", MID(DataH!L$22, 3, 2)&amp;"BC", "EQY_CONSOLIDATED", DataH!$D$18)*DataH!$D$23)</f>
        <v/>
      </c>
      <c r="X78" s="256" t="str">
        <f>IF($A78="","",_xll.BDP($A78&amp;" EQUITY",DataH!$C$23, "BEST_FPERIOD_OVERRIDE", MID(DataH!M$22, 3, 2)&amp;"BC", "EQY_CONSOLIDATED", DataH!$D$18)*DataH!$D$23)</f>
        <v/>
      </c>
      <c r="Y78" s="257" t="str">
        <f>IF($A78="","",_xll.BDP($A77&amp;" EQUITY",DataH!$C$23, "BEST_FPERIOD_OVERRIDE", MID(DataH!N$22, 3, 2)&amp;"BC", "EQY_CONSOLIDATED", DataH!$D$18)*DataH!$D$23)</f>
        <v/>
      </c>
      <c r="AC78" s="5" t="e">
        <f>IF(YEAR(_xll.BToday())-YEAR(_xll.BDP($A78 &amp;" EQUITY", "EQY_FISCAL_YR_END"))&gt;=2, YEAR(_xll.BToday())-1, YEAR(_xll.BToday()))</f>
        <v>#N/A</v>
      </c>
    </row>
    <row r="79" spans="1:29" ht="15" customHeight="1">
      <c r="A79" s="164" t="str">
        <f>IF(C79&lt;&gt;"", IF(ISNUMBER(FIND("EQUITY", UPPER(C79), 1)), _xll.BDP(C79, "TICKER_AND_EXCH_CODE"), C79), "")</f>
        <v/>
      </c>
      <c r="C79" s="590"/>
      <c r="D79" s="571"/>
      <c r="E79" s="780" t="str">
        <f>IF(A79="","",IF(Lang="English",_xll.BDP(A79&amp;" EQUITY","NAME"),IF(Lang="中文",_xll.BDP(A79&amp;" EQUITY","NAME_CHINESE_TRADITIONAL"),_xll.BDP(A79&amp;" EQUITY","NAME_KANJI"))))</f>
        <v/>
      </c>
      <c r="F79" s="781"/>
      <c r="G79" s="782"/>
      <c r="H79" s="780" t="str">
        <f>IF(A79="", "", _xll.BDP(A79 &amp; " EQUITY", "GICS_SUB_INDUSTRY_NAME"))</f>
        <v/>
      </c>
      <c r="I79" s="781"/>
      <c r="J79" s="782"/>
      <c r="K79" s="572" t="str">
        <f>IF($A79="", "", _xll.BDP($A79 &amp; " EQUITY", "CRNCY"))</f>
        <v/>
      </c>
      <c r="L79" s="573"/>
      <c r="M79" s="574" t="str">
        <f>IF(OR($A79="", ISERROR(_xll.BDP($A79 &amp; " EQUITY", "CRNCY_ADJ_MKT_CAP")*1)), "", _xll.BDP($A79 &amp; " EQUITY", "CRNCY_ADJ_MKT_CAP"))</f>
        <v/>
      </c>
      <c r="N79" s="575" t="str">
        <f>IF(OR($A79="", ISERROR(_xll.BDP($A79 &amp; " EQUITY", "CRNCY_ADJ_MKT_CAP", "EQY_FUND_CRNCY", CURRENCY)*1)), "", _xll.BDP($A79 &amp; " EQUITY", "CRNCY_ADJ_MKT_CAP", "EQY_FUND_CRNCY", CURRENCY))</f>
        <v/>
      </c>
      <c r="O79" s="146"/>
      <c r="P79" s="576" t="str">
        <f>IF($A79="","",_xll.BDP($A79 &amp;" EQUITY", "CUST_TRR_RETURN_HOLDING_PER", "CUST_TRR_START_DT", DataH!$F$22, "CUST_TRR_END_DT", DataH!$F$21, "CUST_TRR_CRNCY", CURRENCY)/100)</f>
        <v/>
      </c>
      <c r="Q79" s="577" t="str">
        <f>IF($A79="","",_xll.BDP($A79&amp;" EQUITY","CUST_TRR_RETURN_HOLDING_PER","CUST_TRR_START_DT",DataH!$G$22,"CUST_TRR_END_DT",DataH!$F$21,"CUST_TRR_CRNCY",CURRENCY)/100)</f>
        <v/>
      </c>
      <c r="R79" s="578"/>
      <c r="S79" s="579" t="str">
        <f>IF($A79="","",_xll.BDP($A79&amp;" EQUITY",DataH!$C$23, "BEST_FPERIOD_OVERRIDE", MID(DataH!H$22, 3, 2)&amp;"BC", "EQY_CONSOLIDATED", DataH!$D$18)*DataH!$D$23)</f>
        <v/>
      </c>
      <c r="T79" s="580" t="str">
        <f>IF($A79="","",_xll.BDP($A79&amp;" EQUITY",DataH!$C$23, "BEST_FPERIOD_OVERRIDE", MID(DataH!I$22, 3, 2)&amp;"BC", "EQY_CONSOLIDATED", DataH!$D$18)*DataH!$D$23)</f>
        <v/>
      </c>
      <c r="U79" s="580" t="str">
        <f>IF($A79="","",_xll.BDP($A79&amp;" EQUITY",DataH!$C$23,"BEST_FPERIOD_OVERRIDE",MID(DataH!J$22,3,2)&amp;"BC","EQY_CONSOLIDATED",DataH!$D$18)*DataH!$D$23)</f>
        <v/>
      </c>
      <c r="V79" s="580" t="str">
        <f>IF($A79="","",_xll.BDP($A79&amp;" EQUITY",DataH!$C$23, "BEST_FPERIOD_OVERRIDE", MID(DataH!K$22, 3, 2)&amp;"BC", "EQY_CONSOLIDATED", DataH!$D$18)*DataH!$D$23)</f>
        <v/>
      </c>
      <c r="W79" s="581" t="str">
        <f>IF($A79="","",_xll.BDP($A79&amp;" EQUITY",DataH!$C$23, "BEST_FPERIOD_OVERRIDE", MID(DataH!L$22, 3, 2)&amp;"BC", "EQY_CONSOLIDATED", DataH!$D$18)*DataH!$D$23)</f>
        <v/>
      </c>
      <c r="X79" s="582" t="str">
        <f>IF($A79="","",_xll.BDP($A79&amp;" EQUITY",DataH!$C$23, "BEST_FPERIOD_OVERRIDE", MID(DataH!M$22, 3, 2)&amp;"BC", "EQY_CONSOLIDATED", DataH!$D$18)*DataH!$D$23)</f>
        <v/>
      </c>
      <c r="Y79" s="583" t="str">
        <f>IF($A79="","",_xll.BDP($A78&amp;" EQUITY",DataH!$C$23, "BEST_FPERIOD_OVERRIDE", MID(DataH!N$22, 3, 2)&amp;"BC", "EQY_CONSOLIDATED", DataH!$D$18)*DataH!$D$23)</f>
        <v/>
      </c>
      <c r="AC79" s="5" t="e">
        <f>IF(YEAR(_xll.BToday())-YEAR(_xll.BDP($A79 &amp;" EQUITY", "EQY_FISCAL_YR_END"))&gt;=2, YEAR(_xll.BToday())-1, YEAR(_xll.BToday()))</f>
        <v>#N/A</v>
      </c>
    </row>
    <row r="80" spans="1:29" ht="15" customHeight="1">
      <c r="A80" s="164" t="str">
        <f>IF(C80&lt;&gt;"", IF(ISNUMBER(FIND("EQUITY", UPPER(C80), 1)), _xll.BDP(C80, "TICKER_AND_EXCH_CODE"), C80), "")</f>
        <v/>
      </c>
      <c r="C80" s="589"/>
      <c r="D80" s="568"/>
      <c r="E80" s="763" t="str">
        <f>IF(A80="","",IF(Lang="English",_xll.BDP(A80&amp;" EQUITY","NAME"),IF(Lang="中文",_xll.BDP(A80&amp;" EQUITY","NAME_CHINESE_TRADITIONAL"),_xll.BDP(A80&amp;" EQUITY","NAME_KANJI"))))</f>
        <v/>
      </c>
      <c r="F80" s="764"/>
      <c r="G80" s="765"/>
      <c r="H80" s="763" t="str">
        <f>IF(A80="", "", _xll.BDP(A80 &amp; " EQUITY", "GICS_SUB_INDUSTRY_NAME"))</f>
        <v/>
      </c>
      <c r="I80" s="764"/>
      <c r="J80" s="765"/>
      <c r="K80" s="509" t="str">
        <f>IF($A80="", "", _xll.BDP($A80 &amp; " EQUITY", "CRNCY"))</f>
        <v/>
      </c>
      <c r="L80" s="276"/>
      <c r="M80" s="277" t="str">
        <f>IF(OR($A80="", ISERROR(_xll.BDP($A80 &amp; " EQUITY", "CRNCY_ADJ_MKT_CAP")*1)), "", _xll.BDP($A80 &amp; " EQUITY", "CRNCY_ADJ_MKT_CAP"))</f>
        <v/>
      </c>
      <c r="N80" s="278" t="str">
        <f>IF(OR($A80="", ISERROR(_xll.BDP($A80 &amp; " EQUITY", "CRNCY_ADJ_MKT_CAP", "EQY_FUND_CRNCY", CURRENCY)*1)), "", _xll.BDP($A80 &amp; " EQUITY", "CRNCY_ADJ_MKT_CAP", "EQY_FUND_CRNCY", CURRENCY))</f>
        <v/>
      </c>
      <c r="O80" s="146"/>
      <c r="P80" s="279" t="str">
        <f>IF($A80="","",_xll.BDP($A80 &amp;" EQUITY", "CUST_TRR_RETURN_HOLDING_PER", "CUST_TRR_START_DT", DataH!$F$22, "CUST_TRR_END_DT", DataH!$F$21, "CUST_TRR_CRNCY", CURRENCY)/100)</f>
        <v/>
      </c>
      <c r="Q80" s="102" t="str">
        <f>IF($A80="","",_xll.BDP($A80&amp;" EQUITY","CUST_TRR_RETURN_HOLDING_PER","CUST_TRR_START_DT",DataH!$G$22,"CUST_TRR_END_DT",DataH!$F$21,"CUST_TRR_CRNCY",CURRENCY)/100)</f>
        <v/>
      </c>
      <c r="R80" s="216"/>
      <c r="S80" s="280" t="str">
        <f>IF($A80="","",_xll.BDP($A80&amp;" EQUITY",DataH!$C$23, "BEST_FPERIOD_OVERRIDE", MID(DataH!H$22, 3, 2)&amp;"BC", "EQY_CONSOLIDATED", DataH!$D$18)*DataH!$D$23)</f>
        <v/>
      </c>
      <c r="T80" s="127" t="str">
        <f>IF($A80="","",_xll.BDP($A80&amp;" EQUITY",DataH!$C$23, "BEST_FPERIOD_OVERRIDE", MID(DataH!I$22, 3, 2)&amp;"BC", "EQY_CONSOLIDATED", DataH!$D$18)*DataH!$D$23)</f>
        <v/>
      </c>
      <c r="U80" s="127" t="str">
        <f>IF($A80="","",_xll.BDP($A80&amp;" EQUITY",DataH!$C$23,"BEST_FPERIOD_OVERRIDE",MID(DataH!J$22,3,2)&amp;"BC","EQY_CONSOLIDATED",DataH!$D$18)*DataH!$D$23)</f>
        <v/>
      </c>
      <c r="V80" s="127" t="str">
        <f>IF($A80="","",_xll.BDP($A80&amp;" EQUITY",DataH!$C$23, "BEST_FPERIOD_OVERRIDE", MID(DataH!K$22, 3, 2)&amp;"BC", "EQY_CONSOLIDATED", DataH!$D$18)*DataH!$D$23)</f>
        <v/>
      </c>
      <c r="W80" s="494" t="str">
        <f>IF($A80="","",_xll.BDP($A80&amp;" EQUITY",DataH!$C$23, "BEST_FPERIOD_OVERRIDE", MID(DataH!L$22, 3, 2)&amp;"BC", "EQY_CONSOLIDATED", DataH!$D$18)*DataH!$D$23)</f>
        <v/>
      </c>
      <c r="X80" s="256" t="str">
        <f>IF($A80="","",_xll.BDP($A80&amp;" EQUITY",DataH!$C$23, "BEST_FPERIOD_OVERRIDE", MID(DataH!M$22, 3, 2)&amp;"BC", "EQY_CONSOLIDATED", DataH!$D$18)*DataH!$D$23)</f>
        <v/>
      </c>
      <c r="Y80" s="257" t="str">
        <f>IF($A80="","",_xll.BDP($A79&amp;" EQUITY",DataH!$C$23, "BEST_FPERIOD_OVERRIDE", MID(DataH!N$22, 3, 2)&amp;"BC", "EQY_CONSOLIDATED", DataH!$D$18)*DataH!$D$23)</f>
        <v/>
      </c>
      <c r="AC80" s="5" t="e">
        <f>IF(YEAR(_xll.BToday())-YEAR(_xll.BDP($A80 &amp;" EQUITY", "EQY_FISCAL_YR_END"))&gt;=2, YEAR(_xll.BToday())-1, YEAR(_xll.BToday()))</f>
        <v>#N/A</v>
      </c>
    </row>
    <row r="81" spans="1:29" ht="15" customHeight="1">
      <c r="A81" s="164" t="str">
        <f>IF(C81&lt;&gt;"", IF(ISNUMBER(FIND("EQUITY", UPPER(C81), 1)), _xll.BDP(C81, "TICKER_AND_EXCH_CODE"), C81), "")</f>
        <v/>
      </c>
      <c r="C81" s="590"/>
      <c r="D81" s="571"/>
      <c r="E81" s="780" t="str">
        <f>IF(A81="","",IF(Lang="English",_xll.BDP(A81&amp;" EQUITY","NAME"),IF(Lang="中文",_xll.BDP(A81&amp;" EQUITY","NAME_CHINESE_TRADITIONAL"),_xll.BDP(A81&amp;" EQUITY","NAME_KANJI"))))</f>
        <v/>
      </c>
      <c r="F81" s="781"/>
      <c r="G81" s="782"/>
      <c r="H81" s="780" t="str">
        <f>IF(A81="", "", _xll.BDP(A81 &amp; " EQUITY", "GICS_SUB_INDUSTRY_NAME"))</f>
        <v/>
      </c>
      <c r="I81" s="781"/>
      <c r="J81" s="782"/>
      <c r="K81" s="572" t="str">
        <f>IF($A81="", "", _xll.BDP($A81 &amp; " EQUITY", "CRNCY"))</f>
        <v/>
      </c>
      <c r="L81" s="573"/>
      <c r="M81" s="574" t="str">
        <f>IF(OR($A81="", ISERROR(_xll.BDP($A81 &amp; " EQUITY", "CRNCY_ADJ_MKT_CAP")*1)), "", _xll.BDP($A81 &amp; " EQUITY", "CRNCY_ADJ_MKT_CAP"))</f>
        <v/>
      </c>
      <c r="N81" s="575" t="str">
        <f>IF(OR($A81="", ISERROR(_xll.BDP($A81 &amp; " EQUITY", "CRNCY_ADJ_MKT_CAP", "EQY_FUND_CRNCY", CURRENCY)*1)), "", _xll.BDP($A81 &amp; " EQUITY", "CRNCY_ADJ_MKT_CAP", "EQY_FUND_CRNCY", CURRENCY))</f>
        <v/>
      </c>
      <c r="O81" s="146"/>
      <c r="P81" s="576" t="str">
        <f>IF($A81="","",_xll.BDP($A81 &amp;" EQUITY", "CUST_TRR_RETURN_HOLDING_PER", "CUST_TRR_START_DT", DataH!$F$22, "CUST_TRR_END_DT", DataH!$F$21, "CUST_TRR_CRNCY", CURRENCY)/100)</f>
        <v/>
      </c>
      <c r="Q81" s="577" t="str">
        <f>IF($A81="","",_xll.BDP($A81&amp;" EQUITY","CUST_TRR_RETURN_HOLDING_PER","CUST_TRR_START_DT",DataH!$G$22,"CUST_TRR_END_DT",DataH!$F$21,"CUST_TRR_CRNCY",CURRENCY)/100)</f>
        <v/>
      </c>
      <c r="R81" s="578"/>
      <c r="S81" s="579" t="str">
        <f>IF($A81="","",_xll.BDP($A81&amp;" EQUITY",DataH!$C$23, "BEST_FPERIOD_OVERRIDE", MID(DataH!H$22, 3, 2)&amp;"BC", "EQY_CONSOLIDATED", DataH!$D$18)*DataH!$D$23)</f>
        <v/>
      </c>
      <c r="T81" s="580" t="str">
        <f>IF($A81="","",_xll.BDP($A81&amp;" EQUITY",DataH!$C$23, "BEST_FPERIOD_OVERRIDE", MID(DataH!I$22, 3, 2)&amp;"BC", "EQY_CONSOLIDATED", DataH!$D$18)*DataH!$D$23)</f>
        <v/>
      </c>
      <c r="U81" s="580" t="str">
        <f>IF($A81="","",_xll.BDP($A81&amp;" EQUITY",DataH!$C$23,"BEST_FPERIOD_OVERRIDE",MID(DataH!J$22,3,2)&amp;"BC","EQY_CONSOLIDATED",DataH!$D$18)*DataH!$D$23)</f>
        <v/>
      </c>
      <c r="V81" s="580" t="str">
        <f>IF($A81="","",_xll.BDP($A81&amp;" EQUITY",DataH!$C$23, "BEST_FPERIOD_OVERRIDE", MID(DataH!K$22, 3, 2)&amp;"BC", "EQY_CONSOLIDATED", DataH!$D$18)*DataH!$D$23)</f>
        <v/>
      </c>
      <c r="W81" s="581" t="str">
        <f>IF($A81="","",_xll.BDP($A81&amp;" EQUITY",DataH!$C$23, "BEST_FPERIOD_OVERRIDE", MID(DataH!L$22, 3, 2)&amp;"BC", "EQY_CONSOLIDATED", DataH!$D$18)*DataH!$D$23)</f>
        <v/>
      </c>
      <c r="X81" s="582" t="str">
        <f>IF($A81="","",_xll.BDP($A81&amp;" EQUITY",DataH!$C$23, "BEST_FPERIOD_OVERRIDE", MID(DataH!M$22, 3, 2)&amp;"BC", "EQY_CONSOLIDATED", DataH!$D$18)*DataH!$D$23)</f>
        <v/>
      </c>
      <c r="Y81" s="583" t="str">
        <f>IF($A81="","",_xll.BDP($A80&amp;" EQUITY",DataH!$C$23, "BEST_FPERIOD_OVERRIDE", MID(DataH!N$22, 3, 2)&amp;"BC", "EQY_CONSOLIDATED", DataH!$D$18)*DataH!$D$23)</f>
        <v/>
      </c>
      <c r="AC81" s="5" t="e">
        <f>IF(YEAR(_xll.BToday())-YEAR(_xll.BDP($A81 &amp;" EQUITY", "EQY_FISCAL_YR_END"))&gt;=2, YEAR(_xll.BToday())-1, YEAR(_xll.BToday()))</f>
        <v>#N/A</v>
      </c>
    </row>
    <row r="82" spans="1:29" ht="15" customHeight="1">
      <c r="A82" s="164" t="str">
        <f>IF(C82&lt;&gt;"", IF(ISNUMBER(FIND("EQUITY", UPPER(C82), 1)), _xll.BDP(C82, "TICKER_AND_EXCH_CODE"), C82), "")</f>
        <v/>
      </c>
      <c r="C82" s="589"/>
      <c r="D82" s="568"/>
      <c r="E82" s="763" t="str">
        <f>IF(A82="","",IF(Lang="English",_xll.BDP(A82&amp;" EQUITY","NAME"),IF(Lang="中文",_xll.BDP(A82&amp;" EQUITY","NAME_CHINESE_TRADITIONAL"),_xll.BDP(A82&amp;" EQUITY","NAME_KANJI"))))</f>
        <v/>
      </c>
      <c r="F82" s="764"/>
      <c r="G82" s="765"/>
      <c r="H82" s="763" t="str">
        <f>IF(A82="", "", _xll.BDP(A82 &amp; " EQUITY", "GICS_SUB_INDUSTRY_NAME"))</f>
        <v/>
      </c>
      <c r="I82" s="764"/>
      <c r="J82" s="765"/>
      <c r="K82" s="509" t="str">
        <f>IF($A82="", "", _xll.BDP($A82 &amp; " EQUITY", "CRNCY"))</f>
        <v/>
      </c>
      <c r="L82" s="276"/>
      <c r="M82" s="277" t="str">
        <f>IF(OR($A82="", ISERROR(_xll.BDP($A82 &amp; " EQUITY", "CRNCY_ADJ_MKT_CAP")*1)), "", _xll.BDP($A82 &amp; " EQUITY", "CRNCY_ADJ_MKT_CAP"))</f>
        <v/>
      </c>
      <c r="N82" s="278" t="str">
        <f>IF(OR($A82="", ISERROR(_xll.BDP($A82 &amp; " EQUITY", "CRNCY_ADJ_MKT_CAP", "EQY_FUND_CRNCY", CURRENCY)*1)), "", _xll.BDP($A82 &amp; " EQUITY", "CRNCY_ADJ_MKT_CAP", "EQY_FUND_CRNCY", CURRENCY))</f>
        <v/>
      </c>
      <c r="O82" s="146"/>
      <c r="P82" s="279" t="str">
        <f>IF($A82="","",_xll.BDP($A82 &amp;" EQUITY", "CUST_TRR_RETURN_HOLDING_PER", "CUST_TRR_START_DT", DataH!$F$22, "CUST_TRR_END_DT", DataH!$F$21, "CUST_TRR_CRNCY", CURRENCY)/100)</f>
        <v/>
      </c>
      <c r="Q82" s="102" t="str">
        <f>IF($A82="","",_xll.BDP($A82&amp;" EQUITY","CUST_TRR_RETURN_HOLDING_PER","CUST_TRR_START_DT",DataH!$G$22,"CUST_TRR_END_DT",DataH!$F$21,"CUST_TRR_CRNCY",CURRENCY)/100)</f>
        <v/>
      </c>
      <c r="R82" s="216"/>
      <c r="S82" s="280" t="str">
        <f>IF($A82="","",_xll.BDP($A82&amp;" EQUITY",DataH!$C$23, "BEST_FPERIOD_OVERRIDE", MID(DataH!H$22, 3, 2)&amp;"BC", "EQY_CONSOLIDATED", DataH!$D$18)*DataH!$D$23)</f>
        <v/>
      </c>
      <c r="T82" s="127" t="str">
        <f>IF($A82="","",_xll.BDP($A82&amp;" EQUITY",DataH!$C$23, "BEST_FPERIOD_OVERRIDE", MID(DataH!I$22, 3, 2)&amp;"BC", "EQY_CONSOLIDATED", DataH!$D$18)*DataH!$D$23)</f>
        <v/>
      </c>
      <c r="U82" s="127" t="str">
        <f>IF($A82="","",_xll.BDP($A82&amp;" EQUITY",DataH!$C$23,"BEST_FPERIOD_OVERRIDE",MID(DataH!J$22,3,2)&amp;"BC","EQY_CONSOLIDATED",DataH!$D$18)*DataH!$D$23)</f>
        <v/>
      </c>
      <c r="V82" s="127" t="str">
        <f>IF($A82="","",_xll.BDP($A82&amp;" EQUITY",DataH!$C$23, "BEST_FPERIOD_OVERRIDE", MID(DataH!K$22, 3, 2)&amp;"BC", "EQY_CONSOLIDATED", DataH!$D$18)*DataH!$D$23)</f>
        <v/>
      </c>
      <c r="W82" s="494" t="str">
        <f>IF($A82="","",_xll.BDP($A82&amp;" EQUITY",DataH!$C$23, "BEST_FPERIOD_OVERRIDE", MID(DataH!L$22, 3, 2)&amp;"BC", "EQY_CONSOLIDATED", DataH!$D$18)*DataH!$D$23)</f>
        <v/>
      </c>
      <c r="X82" s="256" t="str">
        <f>IF($A82="","",_xll.BDP($A82&amp;" EQUITY",DataH!$C$23, "BEST_FPERIOD_OVERRIDE", MID(DataH!M$22, 3, 2)&amp;"BC", "EQY_CONSOLIDATED", DataH!$D$18)*DataH!$D$23)</f>
        <v/>
      </c>
      <c r="Y82" s="257" t="str">
        <f>IF($A82="","",_xll.BDP($A81&amp;" EQUITY",DataH!$C$23, "BEST_FPERIOD_OVERRIDE", MID(DataH!N$22, 3, 2)&amp;"BC", "EQY_CONSOLIDATED", DataH!$D$18)*DataH!$D$23)</f>
        <v/>
      </c>
      <c r="AC82" s="5" t="e">
        <f>IF(YEAR(_xll.BToday())-YEAR(_xll.BDP($A82 &amp;" EQUITY", "EQY_FISCAL_YR_END"))&gt;=2, YEAR(_xll.BToday())-1, YEAR(_xll.BToday()))</f>
        <v>#N/A</v>
      </c>
    </row>
    <row r="83" spans="1:29" ht="15" customHeight="1">
      <c r="A83" s="164" t="str">
        <f>IF(C83&lt;&gt;"", IF(ISNUMBER(FIND("EQUITY", UPPER(C83), 1)), _xll.BDP(C83, "TICKER_AND_EXCH_CODE"), C83), "")</f>
        <v/>
      </c>
      <c r="C83" s="590"/>
      <c r="D83" s="571"/>
      <c r="E83" s="780" t="str">
        <f>IF(A83="","",IF(Lang="English",_xll.BDP(A83&amp;" EQUITY","NAME"),IF(Lang="中文",_xll.BDP(A83&amp;" EQUITY","NAME_CHINESE_TRADITIONAL"),_xll.BDP(A83&amp;" EQUITY","NAME_KANJI"))))</f>
        <v/>
      </c>
      <c r="F83" s="781"/>
      <c r="G83" s="782"/>
      <c r="H83" s="780" t="str">
        <f>IF(A83="", "", _xll.BDP(A83 &amp; " EQUITY", "GICS_SUB_INDUSTRY_NAME"))</f>
        <v/>
      </c>
      <c r="I83" s="781"/>
      <c r="J83" s="782"/>
      <c r="K83" s="572" t="str">
        <f>IF($A83="", "", _xll.BDP($A83 &amp; " EQUITY", "CRNCY"))</f>
        <v/>
      </c>
      <c r="L83" s="573"/>
      <c r="M83" s="574" t="str">
        <f>IF(OR($A83="", ISERROR(_xll.BDP($A83 &amp; " EQUITY", "CRNCY_ADJ_MKT_CAP")*1)), "", _xll.BDP($A83 &amp; " EQUITY", "CRNCY_ADJ_MKT_CAP"))</f>
        <v/>
      </c>
      <c r="N83" s="575" t="str">
        <f>IF(OR($A83="", ISERROR(_xll.BDP($A83 &amp; " EQUITY", "CRNCY_ADJ_MKT_CAP", "EQY_FUND_CRNCY", CURRENCY)*1)), "", _xll.BDP($A83 &amp; " EQUITY", "CRNCY_ADJ_MKT_CAP", "EQY_FUND_CRNCY", CURRENCY))</f>
        <v/>
      </c>
      <c r="O83" s="146"/>
      <c r="P83" s="576" t="str">
        <f>IF($A83="","",_xll.BDP($A83 &amp;" EQUITY", "CUST_TRR_RETURN_HOLDING_PER", "CUST_TRR_START_DT", DataH!$F$22, "CUST_TRR_END_DT", DataH!$F$21, "CUST_TRR_CRNCY", CURRENCY)/100)</f>
        <v/>
      </c>
      <c r="Q83" s="577" t="str">
        <f>IF($A83="","",_xll.BDP($A83&amp;" EQUITY","CUST_TRR_RETURN_HOLDING_PER","CUST_TRR_START_DT",DataH!$G$22,"CUST_TRR_END_DT",DataH!$F$21,"CUST_TRR_CRNCY",CURRENCY)/100)</f>
        <v/>
      </c>
      <c r="R83" s="578"/>
      <c r="S83" s="579" t="str">
        <f>IF($A83="","",_xll.BDP($A83&amp;" EQUITY",DataH!$C$23, "BEST_FPERIOD_OVERRIDE", MID(DataH!H$22, 3, 2)&amp;"BC", "EQY_CONSOLIDATED", DataH!$D$18)*DataH!$D$23)</f>
        <v/>
      </c>
      <c r="T83" s="580" t="str">
        <f>IF($A83="","",_xll.BDP($A83&amp;" EQUITY",DataH!$C$23, "BEST_FPERIOD_OVERRIDE", MID(DataH!I$22, 3, 2)&amp;"BC", "EQY_CONSOLIDATED", DataH!$D$18)*DataH!$D$23)</f>
        <v/>
      </c>
      <c r="U83" s="580" t="str">
        <f>IF($A83="","",_xll.BDP($A83&amp;" EQUITY",DataH!$C$23,"BEST_FPERIOD_OVERRIDE",MID(DataH!J$22,3,2)&amp;"BC","EQY_CONSOLIDATED",DataH!$D$18)*DataH!$D$23)</f>
        <v/>
      </c>
      <c r="V83" s="580" t="str">
        <f>IF($A83="","",_xll.BDP($A83&amp;" EQUITY",DataH!$C$23, "BEST_FPERIOD_OVERRIDE", MID(DataH!K$22, 3, 2)&amp;"BC", "EQY_CONSOLIDATED", DataH!$D$18)*DataH!$D$23)</f>
        <v/>
      </c>
      <c r="W83" s="581" t="str">
        <f>IF($A83="","",_xll.BDP($A83&amp;" EQUITY",DataH!$C$23, "BEST_FPERIOD_OVERRIDE", MID(DataH!L$22, 3, 2)&amp;"BC", "EQY_CONSOLIDATED", DataH!$D$18)*DataH!$D$23)</f>
        <v/>
      </c>
      <c r="X83" s="582" t="str">
        <f>IF($A83="","",_xll.BDP($A83&amp;" EQUITY",DataH!$C$23, "BEST_FPERIOD_OVERRIDE", MID(DataH!M$22, 3, 2)&amp;"BC", "EQY_CONSOLIDATED", DataH!$D$18)*DataH!$D$23)</f>
        <v/>
      </c>
      <c r="Y83" s="583" t="str">
        <f>IF($A83="","",_xll.BDP($A82&amp;" EQUITY",DataH!$C$23, "BEST_FPERIOD_OVERRIDE", MID(DataH!N$22, 3, 2)&amp;"BC", "EQY_CONSOLIDATED", DataH!$D$18)*DataH!$D$23)</f>
        <v/>
      </c>
      <c r="AC83" s="5" t="e">
        <f>IF(YEAR(_xll.BToday())-YEAR(_xll.BDP($A83 &amp;" EQUITY", "EQY_FISCAL_YR_END"))&gt;=2, YEAR(_xll.BToday())-1, YEAR(_xll.BToday()))</f>
        <v>#N/A</v>
      </c>
    </row>
    <row r="84" spans="1:29" ht="15" customHeight="1">
      <c r="A84" s="164" t="str">
        <f>IF(C84&lt;&gt;"", IF(ISNUMBER(FIND("EQUITY", UPPER(C84), 1)), _xll.BDP(C84, "TICKER_AND_EXCH_CODE"), C84), "")</f>
        <v/>
      </c>
      <c r="C84" s="589"/>
      <c r="D84" s="568"/>
      <c r="E84" s="763" t="str">
        <f>IF(A84="","",IF(Lang="English",_xll.BDP(A84&amp;" EQUITY","NAME"),IF(Lang="中文",_xll.BDP(A84&amp;" EQUITY","NAME_CHINESE_TRADITIONAL"),_xll.BDP(A84&amp;" EQUITY","NAME_KANJI"))))</f>
        <v/>
      </c>
      <c r="F84" s="764"/>
      <c r="G84" s="765"/>
      <c r="H84" s="763" t="str">
        <f>IF(A84="", "", _xll.BDP(A84 &amp; " EQUITY", "GICS_SUB_INDUSTRY_NAME"))</f>
        <v/>
      </c>
      <c r="I84" s="764"/>
      <c r="J84" s="765"/>
      <c r="K84" s="509" t="str">
        <f>IF($A84="", "", _xll.BDP($A84 &amp; " EQUITY", "CRNCY"))</f>
        <v/>
      </c>
      <c r="L84" s="276"/>
      <c r="M84" s="277" t="str">
        <f>IF(OR($A84="", ISERROR(_xll.BDP($A84 &amp; " EQUITY", "CRNCY_ADJ_MKT_CAP")*1)), "", _xll.BDP($A84 &amp; " EQUITY", "CRNCY_ADJ_MKT_CAP"))</f>
        <v/>
      </c>
      <c r="N84" s="278" t="str">
        <f>IF(OR($A84="", ISERROR(_xll.BDP($A84 &amp; " EQUITY", "CRNCY_ADJ_MKT_CAP", "EQY_FUND_CRNCY", CURRENCY)*1)), "", _xll.BDP($A84 &amp; " EQUITY", "CRNCY_ADJ_MKT_CAP", "EQY_FUND_CRNCY", CURRENCY))</f>
        <v/>
      </c>
      <c r="O84" s="146"/>
      <c r="P84" s="279" t="str">
        <f>IF($A84="","",_xll.BDP($A84 &amp;" EQUITY", "CUST_TRR_RETURN_HOLDING_PER", "CUST_TRR_START_DT", DataH!$F$22, "CUST_TRR_END_DT", DataH!$F$21, "CUST_TRR_CRNCY", CURRENCY)/100)</f>
        <v/>
      </c>
      <c r="Q84" s="102" t="str">
        <f>IF($A84="","",_xll.BDP($A84&amp;" EQUITY","CUST_TRR_RETURN_HOLDING_PER","CUST_TRR_START_DT",DataH!$G$22,"CUST_TRR_END_DT",DataH!$F$21,"CUST_TRR_CRNCY",CURRENCY)/100)</f>
        <v/>
      </c>
      <c r="R84" s="216"/>
      <c r="S84" s="280" t="str">
        <f>IF($A84="","",_xll.BDP($A84&amp;" EQUITY",DataH!$C$23, "BEST_FPERIOD_OVERRIDE", MID(DataH!H$22, 3, 2)&amp;"BC", "EQY_CONSOLIDATED", DataH!$D$18)*DataH!$D$23)</f>
        <v/>
      </c>
      <c r="T84" s="127" t="str">
        <f>IF($A84="","",_xll.BDP($A84&amp;" EQUITY",DataH!$C$23, "BEST_FPERIOD_OVERRIDE", MID(DataH!I$22, 3, 2)&amp;"BC", "EQY_CONSOLIDATED", DataH!$D$18)*DataH!$D$23)</f>
        <v/>
      </c>
      <c r="U84" s="127" t="str">
        <f>IF($A84="","",_xll.BDP($A84&amp;" EQUITY",DataH!$C$23,"BEST_FPERIOD_OVERRIDE",MID(DataH!J$22,3,2)&amp;"BC","EQY_CONSOLIDATED",DataH!$D$18)*DataH!$D$23)</f>
        <v/>
      </c>
      <c r="V84" s="127" t="str">
        <f>IF($A84="","",_xll.BDP($A84&amp;" EQUITY",DataH!$C$23, "BEST_FPERIOD_OVERRIDE", MID(DataH!K$22, 3, 2)&amp;"BC", "EQY_CONSOLIDATED", DataH!$D$18)*DataH!$D$23)</f>
        <v/>
      </c>
      <c r="W84" s="494" t="str">
        <f>IF($A84="","",_xll.BDP($A84&amp;" EQUITY",DataH!$C$23, "BEST_FPERIOD_OVERRIDE", MID(DataH!L$22, 3, 2)&amp;"BC", "EQY_CONSOLIDATED", DataH!$D$18)*DataH!$D$23)</f>
        <v/>
      </c>
      <c r="X84" s="256" t="str">
        <f>IF($A84="","",_xll.BDP($A84&amp;" EQUITY",DataH!$C$23, "BEST_FPERIOD_OVERRIDE", MID(DataH!M$22, 3, 2)&amp;"BC", "EQY_CONSOLIDATED", DataH!$D$18)*DataH!$D$23)</f>
        <v/>
      </c>
      <c r="Y84" s="257" t="str">
        <f>IF($A84="","",_xll.BDP($A83&amp;" EQUITY",DataH!$C$23, "BEST_FPERIOD_OVERRIDE", MID(DataH!N$22, 3, 2)&amp;"BC", "EQY_CONSOLIDATED", DataH!$D$18)*DataH!$D$23)</f>
        <v/>
      </c>
      <c r="AC84" s="5" t="e">
        <f>IF(YEAR(_xll.BToday())-YEAR(_xll.BDP($A84 &amp;" EQUITY", "EQY_FISCAL_YR_END"))&gt;=2, YEAR(_xll.BToday())-1, YEAR(_xll.BToday()))</f>
        <v>#N/A</v>
      </c>
    </row>
    <row r="85" spans="1:29" ht="15" customHeight="1">
      <c r="A85" s="164" t="str">
        <f>IF(C85&lt;&gt;"", IF(ISNUMBER(FIND("EQUITY", UPPER(C85), 1)), _xll.BDP(C85, "TICKER_AND_EXCH_CODE"), C85), "")</f>
        <v/>
      </c>
      <c r="C85" s="590"/>
      <c r="D85" s="571"/>
      <c r="E85" s="780" t="str">
        <f>IF(A85="","",IF(Lang="English",_xll.BDP(A85&amp;" EQUITY","NAME"),IF(Lang="中文",_xll.BDP(A85&amp;" EQUITY","NAME_CHINESE_TRADITIONAL"),_xll.BDP(A85&amp;" EQUITY","NAME_KANJI"))))</f>
        <v/>
      </c>
      <c r="F85" s="781"/>
      <c r="G85" s="782"/>
      <c r="H85" s="780" t="str">
        <f>IF(A85="", "", _xll.BDP(A85 &amp; " EQUITY", "GICS_SUB_INDUSTRY_NAME"))</f>
        <v/>
      </c>
      <c r="I85" s="781"/>
      <c r="J85" s="782"/>
      <c r="K85" s="572" t="str">
        <f>IF($A85="", "", _xll.BDP($A85 &amp; " EQUITY", "CRNCY"))</f>
        <v/>
      </c>
      <c r="L85" s="573"/>
      <c r="M85" s="574" t="str">
        <f>IF(OR($A85="", ISERROR(_xll.BDP($A85 &amp; " EQUITY", "CRNCY_ADJ_MKT_CAP")*1)), "", _xll.BDP($A85 &amp; " EQUITY", "CRNCY_ADJ_MKT_CAP"))</f>
        <v/>
      </c>
      <c r="N85" s="575" t="str">
        <f>IF(OR($A85="", ISERROR(_xll.BDP($A85 &amp; " EQUITY", "CRNCY_ADJ_MKT_CAP", "EQY_FUND_CRNCY", CURRENCY)*1)), "", _xll.BDP($A85 &amp; " EQUITY", "CRNCY_ADJ_MKT_CAP", "EQY_FUND_CRNCY", CURRENCY))</f>
        <v/>
      </c>
      <c r="O85" s="146"/>
      <c r="P85" s="576" t="str">
        <f>IF($A85="","",_xll.BDP($A85 &amp;" EQUITY", "CUST_TRR_RETURN_HOLDING_PER", "CUST_TRR_START_DT", DataH!$F$22, "CUST_TRR_END_DT", DataH!$F$21, "CUST_TRR_CRNCY", CURRENCY)/100)</f>
        <v/>
      </c>
      <c r="Q85" s="577" t="str">
        <f>IF($A85="","",_xll.BDP($A85&amp;" EQUITY","CUST_TRR_RETURN_HOLDING_PER","CUST_TRR_START_DT",DataH!$G$22,"CUST_TRR_END_DT",DataH!$F$21,"CUST_TRR_CRNCY",CURRENCY)/100)</f>
        <v/>
      </c>
      <c r="R85" s="578"/>
      <c r="S85" s="579" t="str">
        <f>IF($A85="","",_xll.BDP($A85&amp;" EQUITY",DataH!$C$23, "BEST_FPERIOD_OVERRIDE", MID(DataH!H$22, 3, 2)&amp;"BC", "EQY_CONSOLIDATED", DataH!$D$18)*DataH!$D$23)</f>
        <v/>
      </c>
      <c r="T85" s="580" t="str">
        <f>IF($A85="","",_xll.BDP($A85&amp;" EQUITY",DataH!$C$23, "BEST_FPERIOD_OVERRIDE", MID(DataH!I$22, 3, 2)&amp;"BC", "EQY_CONSOLIDATED", DataH!$D$18)*DataH!$D$23)</f>
        <v/>
      </c>
      <c r="U85" s="580" t="str">
        <f>IF($A85="","",_xll.BDP($A85&amp;" EQUITY",DataH!$C$23,"BEST_FPERIOD_OVERRIDE",MID(DataH!J$22,3,2)&amp;"BC","EQY_CONSOLIDATED",DataH!$D$18)*DataH!$D$23)</f>
        <v/>
      </c>
      <c r="V85" s="580" t="str">
        <f>IF($A85="","",_xll.BDP($A85&amp;" EQUITY",DataH!$C$23, "BEST_FPERIOD_OVERRIDE", MID(DataH!K$22, 3, 2)&amp;"BC", "EQY_CONSOLIDATED", DataH!$D$18)*DataH!$D$23)</f>
        <v/>
      </c>
      <c r="W85" s="581" t="str">
        <f>IF($A85="","",_xll.BDP($A85&amp;" EQUITY",DataH!$C$23, "BEST_FPERIOD_OVERRIDE", MID(DataH!L$22, 3, 2)&amp;"BC", "EQY_CONSOLIDATED", DataH!$D$18)*DataH!$D$23)</f>
        <v/>
      </c>
      <c r="X85" s="582" t="str">
        <f>IF($A85="","",_xll.BDP($A85&amp;" EQUITY",DataH!$C$23, "BEST_FPERIOD_OVERRIDE", MID(DataH!M$22, 3, 2)&amp;"BC", "EQY_CONSOLIDATED", DataH!$D$18)*DataH!$D$23)</f>
        <v/>
      </c>
      <c r="Y85" s="583" t="str">
        <f>IF($A85="","",_xll.BDP($A84&amp;" EQUITY",DataH!$C$23, "BEST_FPERIOD_OVERRIDE", MID(DataH!N$22, 3, 2)&amp;"BC", "EQY_CONSOLIDATED", DataH!$D$18)*DataH!$D$23)</f>
        <v/>
      </c>
      <c r="AC85" s="5" t="e">
        <f>IF(YEAR(_xll.BToday())-YEAR(_xll.BDP($A85 &amp;" EQUITY", "EQY_FISCAL_YR_END"))&gt;=2, YEAR(_xll.BToday())-1, YEAR(_xll.BToday()))</f>
        <v>#N/A</v>
      </c>
    </row>
    <row r="86" spans="1:29" ht="15" customHeight="1">
      <c r="A86" s="164" t="str">
        <f>IF(C86&lt;&gt;"", IF(ISNUMBER(FIND("EQUITY", UPPER(C86), 1)), _xll.BDP(C86, "TICKER_AND_EXCH_CODE"), C86), "")</f>
        <v/>
      </c>
      <c r="C86" s="589"/>
      <c r="D86" s="568"/>
      <c r="E86" s="763" t="str">
        <f>IF(A86="","",IF(Lang="English",_xll.BDP(A86&amp;" EQUITY","NAME"),IF(Lang="中文",_xll.BDP(A86&amp;" EQUITY","NAME_CHINESE_TRADITIONAL"),_xll.BDP(A86&amp;" EQUITY","NAME_KANJI"))))</f>
        <v/>
      </c>
      <c r="F86" s="764"/>
      <c r="G86" s="765"/>
      <c r="H86" s="763" t="str">
        <f>IF(A86="", "", _xll.BDP(A86 &amp; " EQUITY", "GICS_SUB_INDUSTRY_NAME"))</f>
        <v/>
      </c>
      <c r="I86" s="764"/>
      <c r="J86" s="765"/>
      <c r="K86" s="509" t="str">
        <f>IF($A86="", "", _xll.BDP($A86 &amp; " EQUITY", "CRNCY"))</f>
        <v/>
      </c>
      <c r="L86" s="276"/>
      <c r="M86" s="277" t="str">
        <f>IF(OR($A86="", ISERROR(_xll.BDP($A86 &amp; " EQUITY", "CRNCY_ADJ_MKT_CAP")*1)), "", _xll.BDP($A86 &amp; " EQUITY", "CRNCY_ADJ_MKT_CAP"))</f>
        <v/>
      </c>
      <c r="N86" s="278" t="str">
        <f>IF(OR($A86="", ISERROR(_xll.BDP($A86 &amp; " EQUITY", "CRNCY_ADJ_MKT_CAP", "EQY_FUND_CRNCY", CURRENCY)*1)), "", _xll.BDP($A86 &amp; " EQUITY", "CRNCY_ADJ_MKT_CAP", "EQY_FUND_CRNCY", CURRENCY))</f>
        <v/>
      </c>
      <c r="O86" s="146"/>
      <c r="P86" s="279" t="str">
        <f>IF($A86="","",_xll.BDP($A86 &amp;" EQUITY", "CUST_TRR_RETURN_HOLDING_PER", "CUST_TRR_START_DT", DataH!$F$22, "CUST_TRR_END_DT", DataH!$F$21, "CUST_TRR_CRNCY", CURRENCY)/100)</f>
        <v/>
      </c>
      <c r="Q86" s="102" t="str">
        <f>IF($A86="","",_xll.BDP($A86&amp;" EQUITY","CUST_TRR_RETURN_HOLDING_PER","CUST_TRR_START_DT",DataH!$G$22,"CUST_TRR_END_DT",DataH!$F$21,"CUST_TRR_CRNCY",CURRENCY)/100)</f>
        <v/>
      </c>
      <c r="R86" s="216"/>
      <c r="S86" s="280" t="str">
        <f>IF($A86="","",_xll.BDP($A86&amp;" EQUITY",DataH!$C$23, "BEST_FPERIOD_OVERRIDE", MID(DataH!H$22, 3, 2)&amp;"BC", "EQY_CONSOLIDATED", DataH!$D$18)*DataH!$D$23)</f>
        <v/>
      </c>
      <c r="T86" s="127" t="str">
        <f>IF($A86="","",_xll.BDP($A86&amp;" EQUITY",DataH!$C$23, "BEST_FPERIOD_OVERRIDE", MID(DataH!I$22, 3, 2)&amp;"BC", "EQY_CONSOLIDATED", DataH!$D$18)*DataH!$D$23)</f>
        <v/>
      </c>
      <c r="U86" s="127" t="str">
        <f>IF($A86="","",_xll.BDP($A86&amp;" EQUITY",DataH!$C$23,"BEST_FPERIOD_OVERRIDE",MID(DataH!J$22,3,2)&amp;"BC","EQY_CONSOLIDATED",DataH!$D$18)*DataH!$D$23)</f>
        <v/>
      </c>
      <c r="V86" s="127" t="str">
        <f>IF($A86="","",_xll.BDP($A86&amp;" EQUITY",DataH!$C$23, "BEST_FPERIOD_OVERRIDE", MID(DataH!K$22, 3, 2)&amp;"BC", "EQY_CONSOLIDATED", DataH!$D$18)*DataH!$D$23)</f>
        <v/>
      </c>
      <c r="W86" s="494" t="str">
        <f>IF($A86="","",_xll.BDP($A86&amp;" EQUITY",DataH!$C$23, "BEST_FPERIOD_OVERRIDE", MID(DataH!L$22, 3, 2)&amp;"BC", "EQY_CONSOLIDATED", DataH!$D$18)*DataH!$D$23)</f>
        <v/>
      </c>
      <c r="X86" s="256" t="str">
        <f>IF($A86="","",_xll.BDP($A86&amp;" EQUITY",DataH!$C$23, "BEST_FPERIOD_OVERRIDE", MID(DataH!M$22, 3, 2)&amp;"BC", "EQY_CONSOLIDATED", DataH!$D$18)*DataH!$D$23)</f>
        <v/>
      </c>
      <c r="Y86" s="257" t="str">
        <f>IF($A86="","",_xll.BDP($A85&amp;" EQUITY",DataH!$C$23, "BEST_FPERIOD_OVERRIDE", MID(DataH!N$22, 3, 2)&amp;"BC", "EQY_CONSOLIDATED", DataH!$D$18)*DataH!$D$23)</f>
        <v/>
      </c>
      <c r="AC86" s="5" t="e">
        <f>IF(YEAR(_xll.BToday())-YEAR(_xll.BDP($A86 &amp;" EQUITY", "EQY_FISCAL_YR_END"))&gt;=2, YEAR(_xll.BToday())-1, YEAR(_xll.BToday()))</f>
        <v>#N/A</v>
      </c>
    </row>
    <row r="87" spans="1:29" ht="15" customHeight="1">
      <c r="A87" s="164" t="str">
        <f>IF(C87&lt;&gt;"", IF(ISNUMBER(FIND("EQUITY", UPPER(C87), 1)), _xll.BDP(C87, "TICKER_AND_EXCH_CODE"), C87), "")</f>
        <v/>
      </c>
      <c r="C87" s="590"/>
      <c r="D87" s="571"/>
      <c r="E87" s="780" t="str">
        <f>IF(A87="","",IF(Lang="English",_xll.BDP(A87&amp;" EQUITY","NAME"),IF(Lang="中文",_xll.BDP(A87&amp;" EQUITY","NAME_CHINESE_TRADITIONAL"),_xll.BDP(A87&amp;" EQUITY","NAME_KANJI"))))</f>
        <v/>
      </c>
      <c r="F87" s="781"/>
      <c r="G87" s="782"/>
      <c r="H87" s="780" t="str">
        <f>IF(A87="", "", _xll.BDP(A87 &amp; " EQUITY", "GICS_SUB_INDUSTRY_NAME"))</f>
        <v/>
      </c>
      <c r="I87" s="781"/>
      <c r="J87" s="782"/>
      <c r="K87" s="572" t="str">
        <f>IF($A87="", "", _xll.BDP($A87 &amp; " EQUITY", "CRNCY"))</f>
        <v/>
      </c>
      <c r="L87" s="573"/>
      <c r="M87" s="574" t="str">
        <f>IF(OR($A87="", ISERROR(_xll.BDP($A87 &amp; " EQUITY", "CRNCY_ADJ_MKT_CAP")*1)), "", _xll.BDP($A87 &amp; " EQUITY", "CRNCY_ADJ_MKT_CAP"))</f>
        <v/>
      </c>
      <c r="N87" s="575" t="str">
        <f>IF(OR($A87="", ISERROR(_xll.BDP($A87 &amp; " EQUITY", "CRNCY_ADJ_MKT_CAP", "EQY_FUND_CRNCY", CURRENCY)*1)), "", _xll.BDP($A87 &amp; " EQUITY", "CRNCY_ADJ_MKT_CAP", "EQY_FUND_CRNCY", CURRENCY))</f>
        <v/>
      </c>
      <c r="O87" s="146"/>
      <c r="P87" s="576" t="str">
        <f>IF($A87="","",_xll.BDP($A87 &amp;" EQUITY", "CUST_TRR_RETURN_HOLDING_PER", "CUST_TRR_START_DT", DataH!$F$22, "CUST_TRR_END_DT", DataH!$F$21, "CUST_TRR_CRNCY", CURRENCY)/100)</f>
        <v/>
      </c>
      <c r="Q87" s="577" t="str">
        <f>IF($A87="","",_xll.BDP($A87&amp;" EQUITY","CUST_TRR_RETURN_HOLDING_PER","CUST_TRR_START_DT",DataH!$G$22,"CUST_TRR_END_DT",DataH!$F$21,"CUST_TRR_CRNCY",CURRENCY)/100)</f>
        <v/>
      </c>
      <c r="R87" s="578"/>
      <c r="S87" s="579" t="str">
        <f>IF($A87="","",_xll.BDP($A87&amp;" EQUITY",DataH!$C$23, "BEST_FPERIOD_OVERRIDE", MID(DataH!H$22, 3, 2)&amp;"BC", "EQY_CONSOLIDATED", DataH!$D$18)*DataH!$D$23)</f>
        <v/>
      </c>
      <c r="T87" s="580" t="str">
        <f>IF($A87="","",_xll.BDP($A87&amp;" EQUITY",DataH!$C$23, "BEST_FPERIOD_OVERRIDE", MID(DataH!I$22, 3, 2)&amp;"BC", "EQY_CONSOLIDATED", DataH!$D$18)*DataH!$D$23)</f>
        <v/>
      </c>
      <c r="U87" s="580" t="str">
        <f>IF($A87="","",_xll.BDP($A87&amp;" EQUITY",DataH!$C$23,"BEST_FPERIOD_OVERRIDE",MID(DataH!J$22,3,2)&amp;"BC","EQY_CONSOLIDATED",DataH!$D$18)*DataH!$D$23)</f>
        <v/>
      </c>
      <c r="V87" s="580" t="str">
        <f>IF($A87="","",_xll.BDP($A87&amp;" EQUITY",DataH!$C$23, "BEST_FPERIOD_OVERRIDE", MID(DataH!K$22, 3, 2)&amp;"BC", "EQY_CONSOLIDATED", DataH!$D$18)*DataH!$D$23)</f>
        <v/>
      </c>
      <c r="W87" s="581" t="str">
        <f>IF($A87="","",_xll.BDP($A87&amp;" EQUITY",DataH!$C$23, "BEST_FPERIOD_OVERRIDE", MID(DataH!L$22, 3, 2)&amp;"BC", "EQY_CONSOLIDATED", DataH!$D$18)*DataH!$D$23)</f>
        <v/>
      </c>
      <c r="X87" s="582" t="str">
        <f>IF($A87="","",_xll.BDP($A87&amp;" EQUITY",DataH!$C$23, "BEST_FPERIOD_OVERRIDE", MID(DataH!M$22, 3, 2)&amp;"BC", "EQY_CONSOLIDATED", DataH!$D$18)*DataH!$D$23)</f>
        <v/>
      </c>
      <c r="Y87" s="583" t="str">
        <f>IF($A87="","",_xll.BDP($A86&amp;" EQUITY",DataH!$C$23, "BEST_FPERIOD_OVERRIDE", MID(DataH!N$22, 3, 2)&amp;"BC", "EQY_CONSOLIDATED", DataH!$D$18)*DataH!$D$23)</f>
        <v/>
      </c>
      <c r="AC87" s="5" t="e">
        <f>IF(YEAR(_xll.BToday())-YEAR(_xll.BDP($A87 &amp;" EQUITY", "EQY_FISCAL_YR_END"))&gt;=2, YEAR(_xll.BToday())-1, YEAR(_xll.BToday()))</f>
        <v>#N/A</v>
      </c>
    </row>
    <row r="88" spans="1:29" ht="15" customHeight="1">
      <c r="A88" s="164" t="str">
        <f>IF(C88&lt;&gt;"", IF(ISNUMBER(FIND("EQUITY", UPPER(C88), 1)), _xll.BDP(C88, "TICKER_AND_EXCH_CODE"), C88), "")</f>
        <v/>
      </c>
      <c r="C88" s="589"/>
      <c r="D88" s="568"/>
      <c r="E88" s="763" t="str">
        <f>IF(A88="","",IF(Lang="English",_xll.BDP(A88&amp;" EQUITY","NAME"),IF(Lang="中文",_xll.BDP(A88&amp;" EQUITY","NAME_CHINESE_TRADITIONAL"),_xll.BDP(A88&amp;" EQUITY","NAME_KANJI"))))</f>
        <v/>
      </c>
      <c r="F88" s="764"/>
      <c r="G88" s="765"/>
      <c r="H88" s="763" t="str">
        <f>IF(A88="", "", _xll.BDP(A88 &amp; " EQUITY", "GICS_SUB_INDUSTRY_NAME"))</f>
        <v/>
      </c>
      <c r="I88" s="764"/>
      <c r="J88" s="765"/>
      <c r="K88" s="509" t="str">
        <f>IF($A88="", "", _xll.BDP($A88 &amp; " EQUITY", "CRNCY"))</f>
        <v/>
      </c>
      <c r="L88" s="276"/>
      <c r="M88" s="277" t="str">
        <f>IF(OR($A88="", ISERROR(_xll.BDP($A88 &amp; " EQUITY", "CRNCY_ADJ_MKT_CAP")*1)), "", _xll.BDP($A88 &amp; " EQUITY", "CRNCY_ADJ_MKT_CAP"))</f>
        <v/>
      </c>
      <c r="N88" s="278" t="str">
        <f>IF(OR($A88="", ISERROR(_xll.BDP($A88 &amp; " EQUITY", "CRNCY_ADJ_MKT_CAP", "EQY_FUND_CRNCY", CURRENCY)*1)), "", _xll.BDP($A88 &amp; " EQUITY", "CRNCY_ADJ_MKT_CAP", "EQY_FUND_CRNCY", CURRENCY))</f>
        <v/>
      </c>
      <c r="O88" s="146"/>
      <c r="P88" s="279" t="str">
        <f>IF($A88="","",_xll.BDP($A88 &amp;" EQUITY", "CUST_TRR_RETURN_HOLDING_PER", "CUST_TRR_START_DT", DataH!$F$22, "CUST_TRR_END_DT", DataH!$F$21, "CUST_TRR_CRNCY", CURRENCY)/100)</f>
        <v/>
      </c>
      <c r="Q88" s="102" t="str">
        <f>IF($A88="","",_xll.BDP($A88&amp;" EQUITY","CUST_TRR_RETURN_HOLDING_PER","CUST_TRR_START_DT",DataH!$G$22,"CUST_TRR_END_DT",DataH!$F$21,"CUST_TRR_CRNCY",CURRENCY)/100)</f>
        <v/>
      </c>
      <c r="R88" s="216"/>
      <c r="S88" s="280" t="str">
        <f>IF($A88="","",_xll.BDP($A88&amp;" EQUITY",DataH!$C$23, "BEST_FPERIOD_OVERRIDE", MID(DataH!H$22, 3, 2)&amp;"BC", "EQY_CONSOLIDATED", DataH!$D$18)*DataH!$D$23)</f>
        <v/>
      </c>
      <c r="T88" s="127" t="str">
        <f>IF($A88="","",_xll.BDP($A88&amp;" EQUITY",DataH!$C$23, "BEST_FPERIOD_OVERRIDE", MID(DataH!I$22, 3, 2)&amp;"BC", "EQY_CONSOLIDATED", DataH!$D$18)*DataH!$D$23)</f>
        <v/>
      </c>
      <c r="U88" s="127" t="str">
        <f>IF($A88="","",_xll.BDP($A88&amp;" EQUITY",DataH!$C$23,"BEST_FPERIOD_OVERRIDE",MID(DataH!J$22,3,2)&amp;"BC","EQY_CONSOLIDATED",DataH!$D$18)*DataH!$D$23)</f>
        <v/>
      </c>
      <c r="V88" s="127" t="str">
        <f>IF($A88="","",_xll.BDP($A88&amp;" EQUITY",DataH!$C$23, "BEST_FPERIOD_OVERRIDE", MID(DataH!K$22, 3, 2)&amp;"BC", "EQY_CONSOLIDATED", DataH!$D$18)*DataH!$D$23)</f>
        <v/>
      </c>
      <c r="W88" s="494" t="str">
        <f>IF($A88="","",_xll.BDP($A88&amp;" EQUITY",DataH!$C$23, "BEST_FPERIOD_OVERRIDE", MID(DataH!L$22, 3, 2)&amp;"BC", "EQY_CONSOLIDATED", DataH!$D$18)*DataH!$D$23)</f>
        <v/>
      </c>
      <c r="X88" s="256" t="str">
        <f>IF($A88="","",_xll.BDP($A88&amp;" EQUITY",DataH!$C$23, "BEST_FPERIOD_OVERRIDE", MID(DataH!M$22, 3, 2)&amp;"BC", "EQY_CONSOLIDATED", DataH!$D$18)*DataH!$D$23)</f>
        <v/>
      </c>
      <c r="Y88" s="257" t="str">
        <f>IF($A88="","",_xll.BDP($A87&amp;" EQUITY",DataH!$C$23, "BEST_FPERIOD_OVERRIDE", MID(DataH!N$22, 3, 2)&amp;"BC", "EQY_CONSOLIDATED", DataH!$D$18)*DataH!$D$23)</f>
        <v/>
      </c>
      <c r="AC88" s="5" t="e">
        <f>IF(YEAR(_xll.BToday())-YEAR(_xll.BDP($A88 &amp;" EQUITY", "EQY_FISCAL_YR_END"))&gt;=2, YEAR(_xll.BToday())-1, YEAR(_xll.BToday()))</f>
        <v>#N/A</v>
      </c>
    </row>
    <row r="89" spans="1:29" ht="15" customHeight="1">
      <c r="A89" s="164" t="str">
        <f>IF(C89&lt;&gt;"", IF(ISNUMBER(FIND("EQUITY", UPPER(C89), 1)), _xll.BDP(C89, "TICKER_AND_EXCH_CODE"), C89), "")</f>
        <v/>
      </c>
      <c r="C89" s="590"/>
      <c r="D89" s="571"/>
      <c r="E89" s="780" t="str">
        <f>IF(A89="","",IF(Lang="English",_xll.BDP(A89&amp;" EQUITY","NAME"),IF(Lang="中文",_xll.BDP(A89&amp;" EQUITY","NAME_CHINESE_TRADITIONAL"),_xll.BDP(A89&amp;" EQUITY","NAME_KANJI"))))</f>
        <v/>
      </c>
      <c r="F89" s="781"/>
      <c r="G89" s="782"/>
      <c r="H89" s="780" t="str">
        <f>IF(A89="", "", _xll.BDP(A89 &amp; " EQUITY", "GICS_SUB_INDUSTRY_NAME"))</f>
        <v/>
      </c>
      <c r="I89" s="781"/>
      <c r="J89" s="782"/>
      <c r="K89" s="572" t="str">
        <f>IF($A89="", "", _xll.BDP($A89 &amp; " EQUITY", "CRNCY"))</f>
        <v/>
      </c>
      <c r="L89" s="573"/>
      <c r="M89" s="574" t="str">
        <f>IF(OR($A89="", ISERROR(_xll.BDP($A89 &amp; " EQUITY", "CRNCY_ADJ_MKT_CAP")*1)), "", _xll.BDP($A89 &amp; " EQUITY", "CRNCY_ADJ_MKT_CAP"))</f>
        <v/>
      </c>
      <c r="N89" s="575" t="str">
        <f>IF(OR($A89="", ISERROR(_xll.BDP($A89 &amp; " EQUITY", "CRNCY_ADJ_MKT_CAP", "EQY_FUND_CRNCY", CURRENCY)*1)), "", _xll.BDP($A89 &amp; " EQUITY", "CRNCY_ADJ_MKT_CAP", "EQY_FUND_CRNCY", CURRENCY))</f>
        <v/>
      </c>
      <c r="O89" s="146"/>
      <c r="P89" s="576" t="str">
        <f>IF($A89="","",_xll.BDP($A89 &amp;" EQUITY", "CUST_TRR_RETURN_HOLDING_PER", "CUST_TRR_START_DT", DataH!$F$22, "CUST_TRR_END_DT", DataH!$F$21, "CUST_TRR_CRNCY", CURRENCY)/100)</f>
        <v/>
      </c>
      <c r="Q89" s="577" t="str">
        <f>IF($A89="","",_xll.BDP($A89&amp;" EQUITY","CUST_TRR_RETURN_HOLDING_PER","CUST_TRR_START_DT",DataH!$G$22,"CUST_TRR_END_DT",DataH!$F$21,"CUST_TRR_CRNCY",CURRENCY)/100)</f>
        <v/>
      </c>
      <c r="R89" s="578"/>
      <c r="S89" s="579" t="str">
        <f>IF($A89="","",_xll.BDP($A89&amp;" EQUITY",DataH!$C$23, "BEST_FPERIOD_OVERRIDE", MID(DataH!H$22, 3, 2)&amp;"BC", "EQY_CONSOLIDATED", DataH!$D$18)*DataH!$D$23)</f>
        <v/>
      </c>
      <c r="T89" s="580" t="str">
        <f>IF($A89="","",_xll.BDP($A89&amp;" EQUITY",DataH!$C$23, "BEST_FPERIOD_OVERRIDE", MID(DataH!I$22, 3, 2)&amp;"BC", "EQY_CONSOLIDATED", DataH!$D$18)*DataH!$D$23)</f>
        <v/>
      </c>
      <c r="U89" s="580" t="str">
        <f>IF($A89="","",_xll.BDP($A89&amp;" EQUITY",DataH!$C$23,"BEST_FPERIOD_OVERRIDE",MID(DataH!J$22,3,2)&amp;"BC","EQY_CONSOLIDATED",DataH!$D$18)*DataH!$D$23)</f>
        <v/>
      </c>
      <c r="V89" s="580" t="str">
        <f>IF($A89="","",_xll.BDP($A89&amp;" EQUITY",DataH!$C$23, "BEST_FPERIOD_OVERRIDE", MID(DataH!K$22, 3, 2)&amp;"BC", "EQY_CONSOLIDATED", DataH!$D$18)*DataH!$D$23)</f>
        <v/>
      </c>
      <c r="W89" s="581" t="str">
        <f>IF($A89="","",_xll.BDP($A89&amp;" EQUITY",DataH!$C$23, "BEST_FPERIOD_OVERRIDE", MID(DataH!L$22, 3, 2)&amp;"BC", "EQY_CONSOLIDATED", DataH!$D$18)*DataH!$D$23)</f>
        <v/>
      </c>
      <c r="X89" s="582" t="str">
        <f>IF($A89="","",_xll.BDP($A89&amp;" EQUITY",DataH!$C$23, "BEST_FPERIOD_OVERRIDE", MID(DataH!M$22, 3, 2)&amp;"BC", "EQY_CONSOLIDATED", DataH!$D$18)*DataH!$D$23)</f>
        <v/>
      </c>
      <c r="Y89" s="583" t="str">
        <f>IF($A89="","",_xll.BDP($A88&amp;" EQUITY",DataH!$C$23, "BEST_FPERIOD_OVERRIDE", MID(DataH!N$22, 3, 2)&amp;"BC", "EQY_CONSOLIDATED", DataH!$D$18)*DataH!$D$23)</f>
        <v/>
      </c>
      <c r="AC89" s="5" t="e">
        <f>IF(YEAR(_xll.BToday())-YEAR(_xll.BDP($A89 &amp;" EQUITY", "EQY_FISCAL_YR_END"))&gt;=2, YEAR(_xll.BToday())-1, YEAR(_xll.BToday()))</f>
        <v>#N/A</v>
      </c>
    </row>
    <row r="90" spans="1:29" ht="15" customHeight="1">
      <c r="A90" s="164" t="str">
        <f>IF(C90&lt;&gt;"", IF(ISNUMBER(FIND("EQUITY", UPPER(C90), 1)), _xll.BDP(C90, "TICKER_AND_EXCH_CODE"), C90), "")</f>
        <v/>
      </c>
      <c r="C90" s="589"/>
      <c r="D90" s="568"/>
      <c r="E90" s="763" t="str">
        <f>IF(A90="","",IF(Lang="English",_xll.BDP(A90&amp;" EQUITY","NAME"),IF(Lang="中文",_xll.BDP(A90&amp;" EQUITY","NAME_CHINESE_TRADITIONAL"),_xll.BDP(A90&amp;" EQUITY","NAME_KANJI"))))</f>
        <v/>
      </c>
      <c r="F90" s="764"/>
      <c r="G90" s="765"/>
      <c r="H90" s="763" t="str">
        <f>IF(A90="", "", _xll.BDP(A90 &amp; " EQUITY", "GICS_SUB_INDUSTRY_NAME"))</f>
        <v/>
      </c>
      <c r="I90" s="764"/>
      <c r="J90" s="765"/>
      <c r="K90" s="509" t="str">
        <f>IF($A90="", "", _xll.BDP($A90 &amp; " EQUITY", "CRNCY"))</f>
        <v/>
      </c>
      <c r="L90" s="276"/>
      <c r="M90" s="277" t="str">
        <f>IF(OR($A90="", ISERROR(_xll.BDP($A90 &amp; " EQUITY", "CRNCY_ADJ_MKT_CAP")*1)), "", _xll.BDP($A90 &amp; " EQUITY", "CRNCY_ADJ_MKT_CAP"))</f>
        <v/>
      </c>
      <c r="N90" s="278" t="str">
        <f>IF(OR($A90="", ISERROR(_xll.BDP($A90 &amp; " EQUITY", "CRNCY_ADJ_MKT_CAP", "EQY_FUND_CRNCY", CURRENCY)*1)), "", _xll.BDP($A90 &amp; " EQUITY", "CRNCY_ADJ_MKT_CAP", "EQY_FUND_CRNCY", CURRENCY))</f>
        <v/>
      </c>
      <c r="O90" s="146"/>
      <c r="P90" s="279" t="str">
        <f>IF($A90="","",_xll.BDP($A90 &amp;" EQUITY", "CUST_TRR_RETURN_HOLDING_PER", "CUST_TRR_START_DT", DataH!$F$22, "CUST_TRR_END_DT", DataH!$F$21, "CUST_TRR_CRNCY", CURRENCY)/100)</f>
        <v/>
      </c>
      <c r="Q90" s="102" t="str">
        <f>IF($A90="","",_xll.BDP($A90&amp;" EQUITY","CUST_TRR_RETURN_HOLDING_PER","CUST_TRR_START_DT",DataH!$G$22,"CUST_TRR_END_DT",DataH!$F$21,"CUST_TRR_CRNCY",CURRENCY)/100)</f>
        <v/>
      </c>
      <c r="R90" s="216"/>
      <c r="S90" s="280" t="str">
        <f>IF($A90="","",_xll.BDP($A90&amp;" EQUITY",DataH!$C$23, "BEST_FPERIOD_OVERRIDE", MID(DataH!H$22, 3, 2)&amp;"BC", "EQY_CONSOLIDATED", DataH!$D$18)*DataH!$D$23)</f>
        <v/>
      </c>
      <c r="T90" s="127" t="str">
        <f>IF($A90="","",_xll.BDP($A90&amp;" EQUITY",DataH!$C$23, "BEST_FPERIOD_OVERRIDE", MID(DataH!I$22, 3, 2)&amp;"BC", "EQY_CONSOLIDATED", DataH!$D$18)*DataH!$D$23)</f>
        <v/>
      </c>
      <c r="U90" s="127" t="str">
        <f>IF($A90="","",_xll.BDP($A90&amp;" EQUITY",DataH!$C$23,"BEST_FPERIOD_OVERRIDE",MID(DataH!J$22,3,2)&amp;"BC","EQY_CONSOLIDATED",DataH!$D$18)*DataH!$D$23)</f>
        <v/>
      </c>
      <c r="V90" s="127" t="str">
        <f>IF($A90="","",_xll.BDP($A90&amp;" EQUITY",DataH!$C$23, "BEST_FPERIOD_OVERRIDE", MID(DataH!K$22, 3, 2)&amp;"BC", "EQY_CONSOLIDATED", DataH!$D$18)*DataH!$D$23)</f>
        <v/>
      </c>
      <c r="W90" s="494" t="str">
        <f>IF($A90="","",_xll.BDP($A90&amp;" EQUITY",DataH!$C$23, "BEST_FPERIOD_OVERRIDE", MID(DataH!L$22, 3, 2)&amp;"BC", "EQY_CONSOLIDATED", DataH!$D$18)*DataH!$D$23)</f>
        <v/>
      </c>
      <c r="X90" s="256" t="str">
        <f>IF($A90="","",_xll.BDP($A90&amp;" EQUITY",DataH!$C$23, "BEST_FPERIOD_OVERRIDE", MID(DataH!M$22, 3, 2)&amp;"BC", "EQY_CONSOLIDATED", DataH!$D$18)*DataH!$D$23)</f>
        <v/>
      </c>
      <c r="Y90" s="257" t="str">
        <f>IF($A90="","",_xll.BDP($A89&amp;" EQUITY",DataH!$C$23, "BEST_FPERIOD_OVERRIDE", MID(DataH!N$22, 3, 2)&amp;"BC", "EQY_CONSOLIDATED", DataH!$D$18)*DataH!$D$23)</f>
        <v/>
      </c>
      <c r="AC90" s="5" t="e">
        <f>IF(YEAR(_xll.BToday())-YEAR(_xll.BDP($A90 &amp;" EQUITY", "EQY_FISCAL_YR_END"))&gt;=2, YEAR(_xll.BToday())-1, YEAR(_xll.BToday()))</f>
        <v>#N/A</v>
      </c>
    </row>
    <row r="91" spans="1:29" ht="15" customHeight="1">
      <c r="A91" s="164" t="str">
        <f>IF(C91&lt;&gt;"", IF(ISNUMBER(FIND("EQUITY", UPPER(C91), 1)), _xll.BDP(C91, "TICKER_AND_EXCH_CODE"), C91), "")</f>
        <v/>
      </c>
      <c r="C91" s="590"/>
      <c r="D91" s="571"/>
      <c r="E91" s="780" t="str">
        <f>IF(A91="","",IF(Lang="English",_xll.BDP(A91&amp;" EQUITY","NAME"),IF(Lang="中文",_xll.BDP(A91&amp;" EQUITY","NAME_CHINESE_TRADITIONAL"),_xll.BDP(A91&amp;" EQUITY","NAME_KANJI"))))</f>
        <v/>
      </c>
      <c r="F91" s="781"/>
      <c r="G91" s="782"/>
      <c r="H91" s="780" t="str">
        <f>IF(A91="", "", _xll.BDP(A91 &amp; " EQUITY", "GICS_SUB_INDUSTRY_NAME"))</f>
        <v/>
      </c>
      <c r="I91" s="781"/>
      <c r="J91" s="782"/>
      <c r="K91" s="572" t="str">
        <f>IF($A91="", "", _xll.BDP($A91 &amp; " EQUITY", "CRNCY"))</f>
        <v/>
      </c>
      <c r="L91" s="573"/>
      <c r="M91" s="574" t="str">
        <f>IF(OR($A91="", ISERROR(_xll.BDP($A91 &amp; " EQUITY", "CRNCY_ADJ_MKT_CAP")*1)), "", _xll.BDP($A91 &amp; " EQUITY", "CRNCY_ADJ_MKT_CAP"))</f>
        <v/>
      </c>
      <c r="N91" s="575" t="str">
        <f>IF(OR($A91="", ISERROR(_xll.BDP($A91 &amp; " EQUITY", "CRNCY_ADJ_MKT_CAP", "EQY_FUND_CRNCY", CURRENCY)*1)), "", _xll.BDP($A91 &amp; " EQUITY", "CRNCY_ADJ_MKT_CAP", "EQY_FUND_CRNCY", CURRENCY))</f>
        <v/>
      </c>
      <c r="O91" s="146"/>
      <c r="P91" s="576" t="str">
        <f>IF($A91="","",_xll.BDP($A91 &amp;" EQUITY", "CUST_TRR_RETURN_HOLDING_PER", "CUST_TRR_START_DT", DataH!$F$22, "CUST_TRR_END_DT", DataH!$F$21, "CUST_TRR_CRNCY", CURRENCY)/100)</f>
        <v/>
      </c>
      <c r="Q91" s="577" t="str">
        <f>IF($A91="","",_xll.BDP($A91&amp;" EQUITY","CUST_TRR_RETURN_HOLDING_PER","CUST_TRR_START_DT",DataH!$G$22,"CUST_TRR_END_DT",DataH!$F$21,"CUST_TRR_CRNCY",CURRENCY)/100)</f>
        <v/>
      </c>
      <c r="R91" s="578"/>
      <c r="S91" s="579" t="str">
        <f>IF($A91="","",_xll.BDP($A91&amp;" EQUITY",DataH!$C$23, "BEST_FPERIOD_OVERRIDE", MID(DataH!H$22, 3, 2)&amp;"BC", "EQY_CONSOLIDATED", DataH!$D$18)*DataH!$D$23)</f>
        <v/>
      </c>
      <c r="T91" s="580" t="str">
        <f>IF($A91="","",_xll.BDP($A91&amp;" EQUITY",DataH!$C$23, "BEST_FPERIOD_OVERRIDE", MID(DataH!I$22, 3, 2)&amp;"BC", "EQY_CONSOLIDATED", DataH!$D$18)*DataH!$D$23)</f>
        <v/>
      </c>
      <c r="U91" s="580" t="str">
        <f>IF($A91="","",_xll.BDP($A91&amp;" EQUITY",DataH!$C$23,"BEST_FPERIOD_OVERRIDE",MID(DataH!J$22,3,2)&amp;"BC","EQY_CONSOLIDATED",DataH!$D$18)*DataH!$D$23)</f>
        <v/>
      </c>
      <c r="V91" s="580" t="str">
        <f>IF($A91="","",_xll.BDP($A91&amp;" EQUITY",DataH!$C$23, "BEST_FPERIOD_OVERRIDE", MID(DataH!K$22, 3, 2)&amp;"BC", "EQY_CONSOLIDATED", DataH!$D$18)*DataH!$D$23)</f>
        <v/>
      </c>
      <c r="W91" s="581" t="str">
        <f>IF($A91="","",_xll.BDP($A91&amp;" EQUITY",DataH!$C$23, "BEST_FPERIOD_OVERRIDE", MID(DataH!L$22, 3, 2)&amp;"BC", "EQY_CONSOLIDATED", DataH!$D$18)*DataH!$D$23)</f>
        <v/>
      </c>
      <c r="X91" s="582" t="str">
        <f>IF($A91="","",_xll.BDP($A91&amp;" EQUITY",DataH!$C$23, "BEST_FPERIOD_OVERRIDE", MID(DataH!M$22, 3, 2)&amp;"BC", "EQY_CONSOLIDATED", DataH!$D$18)*DataH!$D$23)</f>
        <v/>
      </c>
      <c r="Y91" s="583" t="str">
        <f>IF($A91="","",_xll.BDP($A90&amp;" EQUITY",DataH!$C$23, "BEST_FPERIOD_OVERRIDE", MID(DataH!N$22, 3, 2)&amp;"BC", "EQY_CONSOLIDATED", DataH!$D$18)*DataH!$D$23)</f>
        <v/>
      </c>
      <c r="AC91" s="5" t="e">
        <f>IF(YEAR(_xll.BToday())-YEAR(_xll.BDP($A91 &amp;" EQUITY", "EQY_FISCAL_YR_END"))&gt;=2, YEAR(_xll.BToday())-1, YEAR(_xll.BToday()))</f>
        <v>#N/A</v>
      </c>
    </row>
    <row r="92" spans="1:29" ht="15" customHeight="1">
      <c r="A92" s="164" t="str">
        <f>IF(C92&lt;&gt;"", IF(ISNUMBER(FIND("EQUITY", UPPER(C92), 1)), _xll.BDP(C92, "TICKER_AND_EXCH_CODE"), C92), "")</f>
        <v/>
      </c>
      <c r="C92" s="589"/>
      <c r="D92" s="568"/>
      <c r="E92" s="763" t="str">
        <f>IF(A92="","",IF(Lang="English",_xll.BDP(A92&amp;" EQUITY","NAME"),IF(Lang="中文",_xll.BDP(A92&amp;" EQUITY","NAME_CHINESE_TRADITIONAL"),_xll.BDP(A92&amp;" EQUITY","NAME_KANJI"))))</f>
        <v/>
      </c>
      <c r="F92" s="764"/>
      <c r="G92" s="765"/>
      <c r="H92" s="763" t="str">
        <f>IF(A92="", "", _xll.BDP(A92 &amp; " EQUITY", "GICS_SUB_INDUSTRY_NAME"))</f>
        <v/>
      </c>
      <c r="I92" s="764"/>
      <c r="J92" s="765"/>
      <c r="K92" s="509" t="str">
        <f>IF($A92="", "", _xll.BDP($A92 &amp; " EQUITY", "CRNCY"))</f>
        <v/>
      </c>
      <c r="L92" s="276"/>
      <c r="M92" s="277" t="str">
        <f>IF(OR($A92="", ISERROR(_xll.BDP($A92 &amp; " EQUITY", "CRNCY_ADJ_MKT_CAP")*1)), "", _xll.BDP($A92 &amp; " EQUITY", "CRNCY_ADJ_MKT_CAP"))</f>
        <v/>
      </c>
      <c r="N92" s="278" t="str">
        <f>IF(OR($A92="", ISERROR(_xll.BDP($A92 &amp; " EQUITY", "CRNCY_ADJ_MKT_CAP", "EQY_FUND_CRNCY", CURRENCY)*1)), "", _xll.BDP($A92 &amp; " EQUITY", "CRNCY_ADJ_MKT_CAP", "EQY_FUND_CRNCY", CURRENCY))</f>
        <v/>
      </c>
      <c r="O92" s="146"/>
      <c r="P92" s="279" t="str">
        <f>IF($A92="","",_xll.BDP($A92 &amp;" EQUITY", "CUST_TRR_RETURN_HOLDING_PER", "CUST_TRR_START_DT", DataH!$F$22, "CUST_TRR_END_DT", DataH!$F$21, "CUST_TRR_CRNCY", CURRENCY)/100)</f>
        <v/>
      </c>
      <c r="Q92" s="102" t="str">
        <f>IF($A92="","",_xll.BDP($A92&amp;" EQUITY","CUST_TRR_RETURN_HOLDING_PER","CUST_TRR_START_DT",DataH!$G$22,"CUST_TRR_END_DT",DataH!$F$21,"CUST_TRR_CRNCY",CURRENCY)/100)</f>
        <v/>
      </c>
      <c r="R92" s="216"/>
      <c r="S92" s="280" t="str">
        <f>IF($A92="","",_xll.BDP($A92&amp;" EQUITY",DataH!$C$23, "BEST_FPERIOD_OVERRIDE", MID(DataH!H$22, 3, 2)&amp;"BC", "EQY_CONSOLIDATED", DataH!$D$18)*DataH!$D$23)</f>
        <v/>
      </c>
      <c r="T92" s="127" t="str">
        <f>IF($A92="","",_xll.BDP($A92&amp;" EQUITY",DataH!$C$23, "BEST_FPERIOD_OVERRIDE", MID(DataH!I$22, 3, 2)&amp;"BC", "EQY_CONSOLIDATED", DataH!$D$18)*DataH!$D$23)</f>
        <v/>
      </c>
      <c r="U92" s="127" t="str">
        <f>IF($A92="","",_xll.BDP($A92&amp;" EQUITY",DataH!$C$23,"BEST_FPERIOD_OVERRIDE",MID(DataH!J$22,3,2)&amp;"BC","EQY_CONSOLIDATED",DataH!$D$18)*DataH!$D$23)</f>
        <v/>
      </c>
      <c r="V92" s="127" t="str">
        <f>IF($A92="","",_xll.BDP($A92&amp;" EQUITY",DataH!$C$23, "BEST_FPERIOD_OVERRIDE", MID(DataH!K$22, 3, 2)&amp;"BC", "EQY_CONSOLIDATED", DataH!$D$18)*DataH!$D$23)</f>
        <v/>
      </c>
      <c r="W92" s="494" t="str">
        <f>IF($A92="","",_xll.BDP($A92&amp;" EQUITY",DataH!$C$23, "BEST_FPERIOD_OVERRIDE", MID(DataH!L$22, 3, 2)&amp;"BC", "EQY_CONSOLIDATED", DataH!$D$18)*DataH!$D$23)</f>
        <v/>
      </c>
      <c r="X92" s="256" t="str">
        <f>IF($A92="","",_xll.BDP($A92&amp;" EQUITY",DataH!$C$23, "BEST_FPERIOD_OVERRIDE", MID(DataH!M$22, 3, 2)&amp;"BC", "EQY_CONSOLIDATED", DataH!$D$18)*DataH!$D$23)</f>
        <v/>
      </c>
      <c r="Y92" s="257" t="str">
        <f>IF($A92="","",_xll.BDP($A91&amp;" EQUITY",DataH!$C$23, "BEST_FPERIOD_OVERRIDE", MID(DataH!N$22, 3, 2)&amp;"BC", "EQY_CONSOLIDATED", DataH!$D$18)*DataH!$D$23)</f>
        <v/>
      </c>
      <c r="AC92" s="5" t="e">
        <f>IF(YEAR(_xll.BToday())-YEAR(_xll.BDP($A92 &amp;" EQUITY", "EQY_FISCAL_YR_END"))&gt;=2, YEAR(_xll.BToday())-1, YEAR(_xll.BToday()))</f>
        <v>#N/A</v>
      </c>
    </row>
    <row r="93" spans="1:29" ht="15" customHeight="1">
      <c r="A93" s="164" t="str">
        <f>IF(C93&lt;&gt;"", IF(ISNUMBER(FIND("EQUITY", UPPER(C93), 1)), _xll.BDP(C93, "TICKER_AND_EXCH_CODE"), C93), "")</f>
        <v/>
      </c>
      <c r="C93" s="590"/>
      <c r="D93" s="571"/>
      <c r="E93" s="780" t="str">
        <f>IF(A93="","",IF(Lang="English",_xll.BDP(A93&amp;" EQUITY","NAME"),IF(Lang="中文",_xll.BDP(A93&amp;" EQUITY","NAME_CHINESE_TRADITIONAL"),_xll.BDP(A93&amp;" EQUITY","NAME_KANJI"))))</f>
        <v/>
      </c>
      <c r="F93" s="781"/>
      <c r="G93" s="782"/>
      <c r="H93" s="780" t="str">
        <f>IF(A93="", "", _xll.BDP(A93 &amp; " EQUITY", "GICS_SUB_INDUSTRY_NAME"))</f>
        <v/>
      </c>
      <c r="I93" s="781"/>
      <c r="J93" s="782"/>
      <c r="K93" s="572" t="str">
        <f>IF($A93="", "", _xll.BDP($A93 &amp; " EQUITY", "CRNCY"))</f>
        <v/>
      </c>
      <c r="L93" s="573"/>
      <c r="M93" s="574" t="str">
        <f>IF(OR($A93="", ISERROR(_xll.BDP($A93 &amp; " EQUITY", "CRNCY_ADJ_MKT_CAP")*1)), "", _xll.BDP($A93 &amp; " EQUITY", "CRNCY_ADJ_MKT_CAP"))</f>
        <v/>
      </c>
      <c r="N93" s="575" t="str">
        <f>IF(OR($A93="", ISERROR(_xll.BDP($A93 &amp; " EQUITY", "CRNCY_ADJ_MKT_CAP", "EQY_FUND_CRNCY", CURRENCY)*1)), "", _xll.BDP($A93 &amp; " EQUITY", "CRNCY_ADJ_MKT_CAP", "EQY_FUND_CRNCY", CURRENCY))</f>
        <v/>
      </c>
      <c r="O93" s="146"/>
      <c r="P93" s="576" t="str">
        <f>IF($A93="","",_xll.BDP($A93 &amp;" EQUITY", "CUST_TRR_RETURN_HOLDING_PER", "CUST_TRR_START_DT", DataH!$F$22, "CUST_TRR_END_DT", DataH!$F$21, "CUST_TRR_CRNCY", CURRENCY)/100)</f>
        <v/>
      </c>
      <c r="Q93" s="577" t="str">
        <f>IF($A93="","",_xll.BDP($A93&amp;" EQUITY","CUST_TRR_RETURN_HOLDING_PER","CUST_TRR_START_DT",DataH!$G$22,"CUST_TRR_END_DT",DataH!$F$21,"CUST_TRR_CRNCY",CURRENCY)/100)</f>
        <v/>
      </c>
      <c r="R93" s="578"/>
      <c r="S93" s="579" t="str">
        <f>IF($A93="","",_xll.BDP($A93&amp;" EQUITY",DataH!$C$23, "BEST_FPERIOD_OVERRIDE", MID(DataH!H$22, 3, 2)&amp;"BC", "EQY_CONSOLIDATED", DataH!$D$18)*DataH!$D$23)</f>
        <v/>
      </c>
      <c r="T93" s="580" t="str">
        <f>IF($A93="","",_xll.BDP($A93&amp;" EQUITY",DataH!$C$23, "BEST_FPERIOD_OVERRIDE", MID(DataH!I$22, 3, 2)&amp;"BC", "EQY_CONSOLIDATED", DataH!$D$18)*DataH!$D$23)</f>
        <v/>
      </c>
      <c r="U93" s="580" t="str">
        <f>IF($A93="","",_xll.BDP($A93&amp;" EQUITY",DataH!$C$23,"BEST_FPERIOD_OVERRIDE",MID(DataH!J$22,3,2)&amp;"BC","EQY_CONSOLIDATED",DataH!$D$18)*DataH!$D$23)</f>
        <v/>
      </c>
      <c r="V93" s="580" t="str">
        <f>IF($A93="","",_xll.BDP($A93&amp;" EQUITY",DataH!$C$23, "BEST_FPERIOD_OVERRIDE", MID(DataH!K$22, 3, 2)&amp;"BC", "EQY_CONSOLIDATED", DataH!$D$18)*DataH!$D$23)</f>
        <v/>
      </c>
      <c r="W93" s="581" t="str">
        <f>IF($A93="","",_xll.BDP($A93&amp;" EQUITY",DataH!$C$23, "BEST_FPERIOD_OVERRIDE", MID(DataH!L$22, 3, 2)&amp;"BC", "EQY_CONSOLIDATED", DataH!$D$18)*DataH!$D$23)</f>
        <v/>
      </c>
      <c r="X93" s="582" t="str">
        <f>IF($A93="","",_xll.BDP($A93&amp;" EQUITY",DataH!$C$23, "BEST_FPERIOD_OVERRIDE", MID(DataH!M$22, 3, 2)&amp;"BC", "EQY_CONSOLIDATED", DataH!$D$18)*DataH!$D$23)</f>
        <v/>
      </c>
      <c r="Y93" s="583" t="str">
        <f>IF($A93="","",_xll.BDP($A92&amp;" EQUITY",DataH!$C$23, "BEST_FPERIOD_OVERRIDE", MID(DataH!N$22, 3, 2)&amp;"BC", "EQY_CONSOLIDATED", DataH!$D$18)*DataH!$D$23)</f>
        <v/>
      </c>
      <c r="AC93" s="5" t="e">
        <f>IF(YEAR(_xll.BToday())-YEAR(_xll.BDP($A93 &amp;" EQUITY", "EQY_FISCAL_YR_END"))&gt;=2, YEAR(_xll.BToday())-1, YEAR(_xll.BToday()))</f>
        <v>#N/A</v>
      </c>
    </row>
    <row r="94" spans="1:29" ht="15" customHeight="1">
      <c r="A94" s="164" t="str">
        <f>IF(C94&lt;&gt;"", IF(ISNUMBER(FIND("EQUITY", UPPER(C94), 1)), _xll.BDP(C94, "TICKER_AND_EXCH_CODE"), C94), "")</f>
        <v/>
      </c>
      <c r="C94" s="589"/>
      <c r="D94" s="568"/>
      <c r="E94" s="763" t="str">
        <f>IF(A94="","",IF(Lang="English",_xll.BDP(A94&amp;" EQUITY","NAME"),IF(Lang="中文",_xll.BDP(A94&amp;" EQUITY","NAME_CHINESE_TRADITIONAL"),_xll.BDP(A94&amp;" EQUITY","NAME_KANJI"))))</f>
        <v/>
      </c>
      <c r="F94" s="764"/>
      <c r="G94" s="765"/>
      <c r="H94" s="763" t="str">
        <f>IF(A94="", "", _xll.BDP(A94 &amp; " EQUITY", "GICS_SUB_INDUSTRY_NAME"))</f>
        <v/>
      </c>
      <c r="I94" s="764"/>
      <c r="J94" s="765"/>
      <c r="K94" s="509" t="str">
        <f>IF($A94="", "", _xll.BDP($A94 &amp; " EQUITY", "CRNCY"))</f>
        <v/>
      </c>
      <c r="L94" s="276"/>
      <c r="M94" s="277" t="str">
        <f>IF(OR($A94="", ISERROR(_xll.BDP($A94 &amp; " EQUITY", "CRNCY_ADJ_MKT_CAP")*1)), "", _xll.BDP($A94 &amp; " EQUITY", "CRNCY_ADJ_MKT_CAP"))</f>
        <v/>
      </c>
      <c r="N94" s="278" t="str">
        <f>IF(OR($A94="", ISERROR(_xll.BDP($A94 &amp; " EQUITY", "CRNCY_ADJ_MKT_CAP", "EQY_FUND_CRNCY", CURRENCY)*1)), "", _xll.BDP($A94 &amp; " EQUITY", "CRNCY_ADJ_MKT_CAP", "EQY_FUND_CRNCY", CURRENCY))</f>
        <v/>
      </c>
      <c r="O94" s="146"/>
      <c r="P94" s="279" t="str">
        <f>IF($A94="","",_xll.BDP($A94 &amp;" EQUITY", "CUST_TRR_RETURN_HOLDING_PER", "CUST_TRR_START_DT", DataH!$F$22, "CUST_TRR_END_DT", DataH!$F$21, "CUST_TRR_CRNCY", CURRENCY)/100)</f>
        <v/>
      </c>
      <c r="Q94" s="102" t="str">
        <f>IF($A94="","",_xll.BDP($A94&amp;" EQUITY","CUST_TRR_RETURN_HOLDING_PER","CUST_TRR_START_DT",DataH!$G$22,"CUST_TRR_END_DT",DataH!$F$21,"CUST_TRR_CRNCY",CURRENCY)/100)</f>
        <v/>
      </c>
      <c r="R94" s="216"/>
      <c r="S94" s="280" t="str">
        <f>IF($A94="","",_xll.BDP($A94&amp;" EQUITY",DataH!$C$23, "BEST_FPERIOD_OVERRIDE", MID(DataH!H$22, 3, 2)&amp;"BC", "EQY_CONSOLIDATED", DataH!$D$18)*DataH!$D$23)</f>
        <v/>
      </c>
      <c r="T94" s="127" t="str">
        <f>IF($A94="","",_xll.BDP($A94&amp;" EQUITY",DataH!$C$23, "BEST_FPERIOD_OVERRIDE", MID(DataH!I$22, 3, 2)&amp;"BC", "EQY_CONSOLIDATED", DataH!$D$18)*DataH!$D$23)</f>
        <v/>
      </c>
      <c r="U94" s="127" t="str">
        <f>IF($A94="","",_xll.BDP($A94&amp;" EQUITY",DataH!$C$23,"BEST_FPERIOD_OVERRIDE",MID(DataH!J$22,3,2)&amp;"BC","EQY_CONSOLIDATED",DataH!$D$18)*DataH!$D$23)</f>
        <v/>
      </c>
      <c r="V94" s="127" t="str">
        <f>IF($A94="","",_xll.BDP($A94&amp;" EQUITY",DataH!$C$23, "BEST_FPERIOD_OVERRIDE", MID(DataH!K$22, 3, 2)&amp;"BC", "EQY_CONSOLIDATED", DataH!$D$18)*DataH!$D$23)</f>
        <v/>
      </c>
      <c r="W94" s="494" t="str">
        <f>IF($A94="","",_xll.BDP($A94&amp;" EQUITY",DataH!$C$23, "BEST_FPERIOD_OVERRIDE", MID(DataH!L$22, 3, 2)&amp;"BC", "EQY_CONSOLIDATED", DataH!$D$18)*DataH!$D$23)</f>
        <v/>
      </c>
      <c r="X94" s="256" t="str">
        <f>IF($A94="","",_xll.BDP($A94&amp;" EQUITY",DataH!$C$23, "BEST_FPERIOD_OVERRIDE", MID(DataH!M$22, 3, 2)&amp;"BC", "EQY_CONSOLIDATED", DataH!$D$18)*DataH!$D$23)</f>
        <v/>
      </c>
      <c r="Y94" s="257" t="str">
        <f>IF($A94="","",_xll.BDP($A93&amp;" EQUITY",DataH!$C$23, "BEST_FPERIOD_OVERRIDE", MID(DataH!N$22, 3, 2)&amp;"BC", "EQY_CONSOLIDATED", DataH!$D$18)*DataH!$D$23)</f>
        <v/>
      </c>
      <c r="AC94" s="5" t="e">
        <f>IF(YEAR(_xll.BToday())-YEAR(_xll.BDP($A94 &amp;" EQUITY", "EQY_FISCAL_YR_END"))&gt;=2, YEAR(_xll.BToday())-1, YEAR(_xll.BToday()))</f>
        <v>#N/A</v>
      </c>
    </row>
    <row r="95" spans="1:29" ht="15" customHeight="1">
      <c r="A95" s="164" t="str">
        <f>IF(C95&lt;&gt;"", IF(ISNUMBER(FIND("EQUITY", UPPER(C95), 1)), _xll.BDP(C95, "TICKER_AND_EXCH_CODE"), C95), "")</f>
        <v/>
      </c>
      <c r="C95" s="590"/>
      <c r="D95" s="571"/>
      <c r="E95" s="780" t="str">
        <f>IF(A95="","",IF(Lang="English",_xll.BDP(A95&amp;" EQUITY","NAME"),IF(Lang="中文",_xll.BDP(A95&amp;" EQUITY","NAME_CHINESE_TRADITIONAL"),_xll.BDP(A95&amp;" EQUITY","NAME_KANJI"))))</f>
        <v/>
      </c>
      <c r="F95" s="781"/>
      <c r="G95" s="782"/>
      <c r="H95" s="780" t="str">
        <f>IF(A95="", "", _xll.BDP(A95 &amp; " EQUITY", "GICS_SUB_INDUSTRY_NAME"))</f>
        <v/>
      </c>
      <c r="I95" s="781"/>
      <c r="J95" s="782"/>
      <c r="K95" s="572" t="str">
        <f>IF($A95="", "", _xll.BDP($A95 &amp; " EQUITY", "CRNCY"))</f>
        <v/>
      </c>
      <c r="L95" s="573"/>
      <c r="M95" s="574" t="str">
        <f>IF(OR($A95="", ISERROR(_xll.BDP($A95 &amp; " EQUITY", "CRNCY_ADJ_MKT_CAP")*1)), "", _xll.BDP($A95 &amp; " EQUITY", "CRNCY_ADJ_MKT_CAP"))</f>
        <v/>
      </c>
      <c r="N95" s="575" t="str">
        <f>IF(OR($A95="", ISERROR(_xll.BDP($A95 &amp; " EQUITY", "CRNCY_ADJ_MKT_CAP", "EQY_FUND_CRNCY", CURRENCY)*1)), "", _xll.BDP($A95 &amp; " EQUITY", "CRNCY_ADJ_MKT_CAP", "EQY_FUND_CRNCY", CURRENCY))</f>
        <v/>
      </c>
      <c r="O95" s="146"/>
      <c r="P95" s="576" t="str">
        <f>IF($A95="","",_xll.BDP($A95 &amp;" EQUITY", "CUST_TRR_RETURN_HOLDING_PER", "CUST_TRR_START_DT", DataH!$F$22, "CUST_TRR_END_DT", DataH!$F$21, "CUST_TRR_CRNCY", CURRENCY)/100)</f>
        <v/>
      </c>
      <c r="Q95" s="577" t="str">
        <f>IF($A95="","",_xll.BDP($A95&amp;" EQUITY","CUST_TRR_RETURN_HOLDING_PER","CUST_TRR_START_DT",DataH!$G$22,"CUST_TRR_END_DT",DataH!$F$21,"CUST_TRR_CRNCY",CURRENCY)/100)</f>
        <v/>
      </c>
      <c r="R95" s="578"/>
      <c r="S95" s="579" t="str">
        <f>IF($A95="","",_xll.BDP($A95&amp;" EQUITY",DataH!$C$23, "BEST_FPERIOD_OVERRIDE", MID(DataH!H$22, 3, 2)&amp;"BC", "EQY_CONSOLIDATED", DataH!$D$18)*DataH!$D$23)</f>
        <v/>
      </c>
      <c r="T95" s="580" t="str">
        <f>IF($A95="","",_xll.BDP($A95&amp;" EQUITY",DataH!$C$23, "BEST_FPERIOD_OVERRIDE", MID(DataH!I$22, 3, 2)&amp;"BC", "EQY_CONSOLIDATED", DataH!$D$18)*DataH!$D$23)</f>
        <v/>
      </c>
      <c r="U95" s="580" t="str">
        <f>IF($A95="","",_xll.BDP($A95&amp;" EQUITY",DataH!$C$23,"BEST_FPERIOD_OVERRIDE",MID(DataH!J$22,3,2)&amp;"BC","EQY_CONSOLIDATED",DataH!$D$18)*DataH!$D$23)</f>
        <v/>
      </c>
      <c r="V95" s="580" t="str">
        <f>IF($A95="","",_xll.BDP($A95&amp;" EQUITY",DataH!$C$23, "BEST_FPERIOD_OVERRIDE", MID(DataH!K$22, 3, 2)&amp;"BC", "EQY_CONSOLIDATED", DataH!$D$18)*DataH!$D$23)</f>
        <v/>
      </c>
      <c r="W95" s="581" t="str">
        <f>IF($A95="","",_xll.BDP($A95&amp;" EQUITY",DataH!$C$23, "BEST_FPERIOD_OVERRIDE", MID(DataH!L$22, 3, 2)&amp;"BC", "EQY_CONSOLIDATED", DataH!$D$18)*DataH!$D$23)</f>
        <v/>
      </c>
      <c r="X95" s="582" t="str">
        <f>IF($A95="","",_xll.BDP($A95&amp;" EQUITY",DataH!$C$23, "BEST_FPERIOD_OVERRIDE", MID(DataH!M$22, 3, 2)&amp;"BC", "EQY_CONSOLIDATED", DataH!$D$18)*DataH!$D$23)</f>
        <v/>
      </c>
      <c r="Y95" s="583" t="str">
        <f>IF($A95="","",_xll.BDP($A94&amp;" EQUITY",DataH!$C$23, "BEST_FPERIOD_OVERRIDE", MID(DataH!N$22, 3, 2)&amp;"BC", "EQY_CONSOLIDATED", DataH!$D$18)*DataH!$D$23)</f>
        <v/>
      </c>
      <c r="AC95" s="5" t="e">
        <f>IF(YEAR(_xll.BToday())-YEAR(_xll.BDP($A95 &amp;" EQUITY", "EQY_FISCAL_YR_END"))&gt;=2, YEAR(_xll.BToday())-1, YEAR(_xll.BToday()))</f>
        <v>#N/A</v>
      </c>
    </row>
    <row r="96" spans="1:29" ht="15" customHeight="1">
      <c r="A96" s="164" t="str">
        <f>IF(C96&lt;&gt;"", IF(ISNUMBER(FIND("EQUITY", UPPER(C96), 1)), _xll.BDP(C96, "TICKER_AND_EXCH_CODE"), C96), "")</f>
        <v/>
      </c>
      <c r="C96" s="589"/>
      <c r="D96" s="568"/>
      <c r="E96" s="763" t="str">
        <f>IF(A96="","",IF(Lang="English",_xll.BDP(A96&amp;" EQUITY","NAME"),IF(Lang="中文",_xll.BDP(A96&amp;" EQUITY","NAME_CHINESE_TRADITIONAL"),_xll.BDP(A96&amp;" EQUITY","NAME_KANJI"))))</f>
        <v/>
      </c>
      <c r="F96" s="764"/>
      <c r="G96" s="765"/>
      <c r="H96" s="763" t="str">
        <f>IF(A96="", "", _xll.BDP(A96 &amp; " EQUITY", "GICS_SUB_INDUSTRY_NAME"))</f>
        <v/>
      </c>
      <c r="I96" s="764"/>
      <c r="J96" s="765"/>
      <c r="K96" s="509" t="str">
        <f>IF($A96="", "", _xll.BDP($A96 &amp; " EQUITY", "CRNCY"))</f>
        <v/>
      </c>
      <c r="L96" s="276"/>
      <c r="M96" s="277" t="str">
        <f>IF(OR($A96="", ISERROR(_xll.BDP($A96 &amp; " EQUITY", "CRNCY_ADJ_MKT_CAP")*1)), "", _xll.BDP($A96 &amp; " EQUITY", "CRNCY_ADJ_MKT_CAP"))</f>
        <v/>
      </c>
      <c r="N96" s="278" t="str">
        <f>IF(OR($A96="", ISERROR(_xll.BDP($A96 &amp; " EQUITY", "CRNCY_ADJ_MKT_CAP", "EQY_FUND_CRNCY", CURRENCY)*1)), "", _xll.BDP($A96 &amp; " EQUITY", "CRNCY_ADJ_MKT_CAP", "EQY_FUND_CRNCY", CURRENCY))</f>
        <v/>
      </c>
      <c r="O96" s="146"/>
      <c r="P96" s="279" t="str">
        <f>IF($A96="","",_xll.BDP($A96 &amp;" EQUITY", "CUST_TRR_RETURN_HOLDING_PER", "CUST_TRR_START_DT", DataH!$F$22, "CUST_TRR_END_DT", DataH!$F$21, "CUST_TRR_CRNCY", CURRENCY)/100)</f>
        <v/>
      </c>
      <c r="Q96" s="102" t="str">
        <f>IF($A96="","",_xll.BDP($A96&amp;" EQUITY","CUST_TRR_RETURN_HOLDING_PER","CUST_TRR_START_DT",DataH!$G$22,"CUST_TRR_END_DT",DataH!$F$21,"CUST_TRR_CRNCY",CURRENCY)/100)</f>
        <v/>
      </c>
      <c r="R96" s="216"/>
      <c r="S96" s="280" t="str">
        <f>IF($A96="","",_xll.BDP($A96&amp;" EQUITY",DataH!$C$23, "BEST_FPERIOD_OVERRIDE", MID(DataH!H$22, 3, 2)&amp;"BC", "EQY_CONSOLIDATED", DataH!$D$18)*DataH!$D$23)</f>
        <v/>
      </c>
      <c r="T96" s="127" t="str">
        <f>IF($A96="","",_xll.BDP($A96&amp;" EQUITY",DataH!$C$23, "BEST_FPERIOD_OVERRIDE", MID(DataH!I$22, 3, 2)&amp;"BC", "EQY_CONSOLIDATED", DataH!$D$18)*DataH!$D$23)</f>
        <v/>
      </c>
      <c r="U96" s="127" t="str">
        <f>IF($A96="","",_xll.BDP($A96&amp;" EQUITY",DataH!$C$23,"BEST_FPERIOD_OVERRIDE",MID(DataH!J$22,3,2)&amp;"BC","EQY_CONSOLIDATED",DataH!$D$18)*DataH!$D$23)</f>
        <v/>
      </c>
      <c r="V96" s="127" t="str">
        <f>IF($A96="","",_xll.BDP($A96&amp;" EQUITY",DataH!$C$23, "BEST_FPERIOD_OVERRIDE", MID(DataH!K$22, 3, 2)&amp;"BC", "EQY_CONSOLIDATED", DataH!$D$18)*DataH!$D$23)</f>
        <v/>
      </c>
      <c r="W96" s="494" t="str">
        <f>IF($A96="","",_xll.BDP($A96&amp;" EQUITY",DataH!$C$23, "BEST_FPERIOD_OVERRIDE", MID(DataH!L$22, 3, 2)&amp;"BC", "EQY_CONSOLIDATED", DataH!$D$18)*DataH!$D$23)</f>
        <v/>
      </c>
      <c r="X96" s="256" t="str">
        <f>IF($A96="","",_xll.BDP($A96&amp;" EQUITY",DataH!$C$23, "BEST_FPERIOD_OVERRIDE", MID(DataH!M$22, 3, 2)&amp;"BC", "EQY_CONSOLIDATED", DataH!$D$18)*DataH!$D$23)</f>
        <v/>
      </c>
      <c r="Y96" s="257" t="str">
        <f>IF($A96="","",_xll.BDP($A95&amp;" EQUITY",DataH!$C$23, "BEST_FPERIOD_OVERRIDE", MID(DataH!N$22, 3, 2)&amp;"BC", "EQY_CONSOLIDATED", DataH!$D$18)*DataH!$D$23)</f>
        <v/>
      </c>
      <c r="AC96" s="5" t="e">
        <f>IF(YEAR(_xll.BToday())-YEAR(_xll.BDP($A96 &amp;" EQUITY", "EQY_FISCAL_YR_END"))&gt;=2, YEAR(_xll.BToday())-1, YEAR(_xll.BToday()))</f>
        <v>#N/A</v>
      </c>
    </row>
    <row r="97" spans="1:29" ht="15" customHeight="1">
      <c r="A97" s="164" t="str">
        <f>IF(C97&lt;&gt;"", IF(ISNUMBER(FIND("EQUITY", UPPER(C97), 1)), _xll.BDP(C97, "TICKER_AND_EXCH_CODE"), C97), "")</f>
        <v/>
      </c>
      <c r="C97" s="590"/>
      <c r="D97" s="571"/>
      <c r="E97" s="780" t="str">
        <f>IF(A97="","",IF(Lang="English",_xll.BDP(A97&amp;" EQUITY","NAME"),IF(Lang="中文",_xll.BDP(A97&amp;" EQUITY","NAME_CHINESE_TRADITIONAL"),_xll.BDP(A97&amp;" EQUITY","NAME_KANJI"))))</f>
        <v/>
      </c>
      <c r="F97" s="781"/>
      <c r="G97" s="782"/>
      <c r="H97" s="780" t="str">
        <f>IF(A97="", "", _xll.BDP(A97 &amp; " EQUITY", "GICS_SUB_INDUSTRY_NAME"))</f>
        <v/>
      </c>
      <c r="I97" s="781"/>
      <c r="J97" s="782"/>
      <c r="K97" s="572" t="str">
        <f>IF($A97="", "", _xll.BDP($A97 &amp; " EQUITY", "CRNCY"))</f>
        <v/>
      </c>
      <c r="L97" s="573"/>
      <c r="M97" s="574" t="str">
        <f>IF(OR($A97="", ISERROR(_xll.BDP($A97 &amp; " EQUITY", "CRNCY_ADJ_MKT_CAP")*1)), "", _xll.BDP($A97 &amp; " EQUITY", "CRNCY_ADJ_MKT_CAP"))</f>
        <v/>
      </c>
      <c r="N97" s="575" t="str">
        <f>IF(OR($A97="", ISERROR(_xll.BDP($A97 &amp; " EQUITY", "CRNCY_ADJ_MKT_CAP", "EQY_FUND_CRNCY", CURRENCY)*1)), "", _xll.BDP($A97 &amp; " EQUITY", "CRNCY_ADJ_MKT_CAP", "EQY_FUND_CRNCY", CURRENCY))</f>
        <v/>
      </c>
      <c r="O97" s="146"/>
      <c r="P97" s="576" t="str">
        <f>IF($A97="","",_xll.BDP($A97 &amp;" EQUITY", "CUST_TRR_RETURN_HOLDING_PER", "CUST_TRR_START_DT", DataH!$F$22, "CUST_TRR_END_DT", DataH!$F$21, "CUST_TRR_CRNCY", CURRENCY)/100)</f>
        <v/>
      </c>
      <c r="Q97" s="577" t="str">
        <f>IF($A97="","",_xll.BDP($A97&amp;" EQUITY","CUST_TRR_RETURN_HOLDING_PER","CUST_TRR_START_DT",DataH!$G$22,"CUST_TRR_END_DT",DataH!$F$21,"CUST_TRR_CRNCY",CURRENCY)/100)</f>
        <v/>
      </c>
      <c r="R97" s="578"/>
      <c r="S97" s="579" t="str">
        <f>IF($A97="","",_xll.BDP($A97&amp;" EQUITY",DataH!$C$23, "BEST_FPERIOD_OVERRIDE", MID(DataH!H$22, 3, 2)&amp;"BC", "EQY_CONSOLIDATED", DataH!$D$18)*DataH!$D$23)</f>
        <v/>
      </c>
      <c r="T97" s="580" t="str">
        <f>IF($A97="","",_xll.BDP($A97&amp;" EQUITY",DataH!$C$23, "BEST_FPERIOD_OVERRIDE", MID(DataH!I$22, 3, 2)&amp;"BC", "EQY_CONSOLIDATED", DataH!$D$18)*DataH!$D$23)</f>
        <v/>
      </c>
      <c r="U97" s="580" t="str">
        <f>IF($A97="","",_xll.BDP($A97&amp;" EQUITY",DataH!$C$23,"BEST_FPERIOD_OVERRIDE",MID(DataH!J$22,3,2)&amp;"BC","EQY_CONSOLIDATED",DataH!$D$18)*DataH!$D$23)</f>
        <v/>
      </c>
      <c r="V97" s="580" t="str">
        <f>IF($A97="","",_xll.BDP($A97&amp;" EQUITY",DataH!$C$23, "BEST_FPERIOD_OVERRIDE", MID(DataH!K$22, 3, 2)&amp;"BC", "EQY_CONSOLIDATED", DataH!$D$18)*DataH!$D$23)</f>
        <v/>
      </c>
      <c r="W97" s="581" t="str">
        <f>IF($A97="","",_xll.BDP($A97&amp;" EQUITY",DataH!$C$23, "BEST_FPERIOD_OVERRIDE", MID(DataH!L$22, 3, 2)&amp;"BC", "EQY_CONSOLIDATED", DataH!$D$18)*DataH!$D$23)</f>
        <v/>
      </c>
      <c r="X97" s="582" t="str">
        <f>IF($A97="","",_xll.BDP($A97&amp;" EQUITY",DataH!$C$23, "BEST_FPERIOD_OVERRIDE", MID(DataH!M$22, 3, 2)&amp;"BC", "EQY_CONSOLIDATED", DataH!$D$18)*DataH!$D$23)</f>
        <v/>
      </c>
      <c r="Y97" s="583" t="str">
        <f>IF($A97="","",_xll.BDP($A96&amp;" EQUITY",DataH!$C$23, "BEST_FPERIOD_OVERRIDE", MID(DataH!N$22, 3, 2)&amp;"BC", "EQY_CONSOLIDATED", DataH!$D$18)*DataH!$D$23)</f>
        <v/>
      </c>
      <c r="AC97" s="5" t="e">
        <f>IF(YEAR(_xll.BToday())-YEAR(_xll.BDP($A97 &amp;" EQUITY", "EQY_FISCAL_YR_END"))&gt;=2, YEAR(_xll.BToday())-1, YEAR(_xll.BToday()))</f>
        <v>#N/A</v>
      </c>
    </row>
    <row r="98" spans="1:29" ht="15" customHeight="1">
      <c r="A98" s="164" t="str">
        <f>IF(C98&lt;&gt;"", IF(ISNUMBER(FIND("EQUITY", UPPER(C98), 1)), _xll.BDP(C98, "TICKER_AND_EXCH_CODE"), C98), "")</f>
        <v/>
      </c>
      <c r="C98" s="589"/>
      <c r="D98" s="568"/>
      <c r="E98" s="763" t="str">
        <f>IF(A98="","",IF(Lang="English",_xll.BDP(A98&amp;" EQUITY","NAME"),IF(Lang="中文",_xll.BDP(A98&amp;" EQUITY","NAME_CHINESE_TRADITIONAL"),_xll.BDP(A98&amp;" EQUITY","NAME_KANJI"))))</f>
        <v/>
      </c>
      <c r="F98" s="764"/>
      <c r="G98" s="765"/>
      <c r="H98" s="763" t="str">
        <f>IF(A98="", "", _xll.BDP(A98 &amp; " EQUITY", "GICS_SUB_INDUSTRY_NAME"))</f>
        <v/>
      </c>
      <c r="I98" s="764"/>
      <c r="J98" s="765"/>
      <c r="K98" s="509" t="str">
        <f>IF($A98="", "", _xll.BDP($A98 &amp; " EQUITY", "CRNCY"))</f>
        <v/>
      </c>
      <c r="L98" s="276"/>
      <c r="M98" s="277" t="str">
        <f>IF(OR($A98="", ISERROR(_xll.BDP($A98 &amp; " EQUITY", "CRNCY_ADJ_MKT_CAP")*1)), "", _xll.BDP($A98 &amp; " EQUITY", "CRNCY_ADJ_MKT_CAP"))</f>
        <v/>
      </c>
      <c r="N98" s="278" t="str">
        <f>IF(OR($A98="", ISERROR(_xll.BDP($A98 &amp; " EQUITY", "CRNCY_ADJ_MKT_CAP", "EQY_FUND_CRNCY", CURRENCY)*1)), "", _xll.BDP($A98 &amp; " EQUITY", "CRNCY_ADJ_MKT_CAP", "EQY_FUND_CRNCY", CURRENCY))</f>
        <v/>
      </c>
      <c r="O98" s="146"/>
      <c r="P98" s="279" t="str">
        <f>IF($A98="","",_xll.BDP($A98 &amp;" EQUITY", "CUST_TRR_RETURN_HOLDING_PER", "CUST_TRR_START_DT", DataH!$F$22, "CUST_TRR_END_DT", DataH!$F$21, "CUST_TRR_CRNCY", CURRENCY)/100)</f>
        <v/>
      </c>
      <c r="Q98" s="102" t="str">
        <f>IF($A98="","",_xll.BDP($A98&amp;" EQUITY","CUST_TRR_RETURN_HOLDING_PER","CUST_TRR_START_DT",DataH!$G$22,"CUST_TRR_END_DT",DataH!$F$21,"CUST_TRR_CRNCY",CURRENCY)/100)</f>
        <v/>
      </c>
      <c r="R98" s="216"/>
      <c r="S98" s="280" t="str">
        <f>IF($A98="","",_xll.BDP($A98&amp;" EQUITY",DataH!$C$23, "BEST_FPERIOD_OVERRIDE", MID(DataH!H$22, 3, 2)&amp;"BC", "EQY_CONSOLIDATED", DataH!$D$18)*DataH!$D$23)</f>
        <v/>
      </c>
      <c r="T98" s="127" t="str">
        <f>IF($A98="","",_xll.BDP($A98&amp;" EQUITY",DataH!$C$23, "BEST_FPERIOD_OVERRIDE", MID(DataH!I$22, 3, 2)&amp;"BC", "EQY_CONSOLIDATED", DataH!$D$18)*DataH!$D$23)</f>
        <v/>
      </c>
      <c r="U98" s="127" t="str">
        <f>IF($A98="","",_xll.BDP($A98&amp;" EQUITY",DataH!$C$23,"BEST_FPERIOD_OVERRIDE",MID(DataH!J$22,3,2)&amp;"BC","EQY_CONSOLIDATED",DataH!$D$18)*DataH!$D$23)</f>
        <v/>
      </c>
      <c r="V98" s="127" t="str">
        <f>IF($A98="","",_xll.BDP($A98&amp;" EQUITY",DataH!$C$23, "BEST_FPERIOD_OVERRIDE", MID(DataH!K$22, 3, 2)&amp;"BC", "EQY_CONSOLIDATED", DataH!$D$18)*DataH!$D$23)</f>
        <v/>
      </c>
      <c r="W98" s="494" t="str">
        <f>IF($A98="","",_xll.BDP($A98&amp;" EQUITY",DataH!$C$23, "BEST_FPERIOD_OVERRIDE", MID(DataH!L$22, 3, 2)&amp;"BC", "EQY_CONSOLIDATED", DataH!$D$18)*DataH!$D$23)</f>
        <v/>
      </c>
      <c r="X98" s="256" t="str">
        <f>IF($A98="","",_xll.BDP($A98&amp;" EQUITY",DataH!$C$23, "BEST_FPERIOD_OVERRIDE", MID(DataH!M$22, 3, 2)&amp;"BC", "EQY_CONSOLIDATED", DataH!$D$18)*DataH!$D$23)</f>
        <v/>
      </c>
      <c r="Y98" s="257" t="str">
        <f>IF($A98="","",_xll.BDP($A97&amp;" EQUITY",DataH!$C$23, "BEST_FPERIOD_OVERRIDE", MID(DataH!N$22, 3, 2)&amp;"BC", "EQY_CONSOLIDATED", DataH!$D$18)*DataH!$D$23)</f>
        <v/>
      </c>
      <c r="AC98" s="5" t="e">
        <f>IF(YEAR(_xll.BToday())-YEAR(_xll.BDP($A98 &amp;" EQUITY", "EQY_FISCAL_YR_END"))&gt;=2, YEAR(_xll.BToday())-1, YEAR(_xll.BToday()))</f>
        <v>#N/A</v>
      </c>
    </row>
    <row r="99" spans="1:29" ht="15" customHeight="1">
      <c r="A99" s="164" t="str">
        <f>IF(C99&lt;&gt;"", IF(ISNUMBER(FIND("EQUITY", UPPER(C99), 1)), _xll.BDP(C99, "TICKER_AND_EXCH_CODE"), C99), "")</f>
        <v/>
      </c>
      <c r="C99" s="590"/>
      <c r="D99" s="571"/>
      <c r="E99" s="780" t="str">
        <f>IF(A99="","",IF(Lang="English",_xll.BDP(A99&amp;" EQUITY","NAME"),IF(Lang="中文",_xll.BDP(A99&amp;" EQUITY","NAME_CHINESE_TRADITIONAL"),_xll.BDP(A99&amp;" EQUITY","NAME_KANJI"))))</f>
        <v/>
      </c>
      <c r="F99" s="781"/>
      <c r="G99" s="782"/>
      <c r="H99" s="780" t="str">
        <f>IF(A99="", "", _xll.BDP(A99 &amp; " EQUITY", "GICS_SUB_INDUSTRY_NAME"))</f>
        <v/>
      </c>
      <c r="I99" s="781"/>
      <c r="J99" s="782"/>
      <c r="K99" s="572" t="str">
        <f>IF($A99="", "", _xll.BDP($A99 &amp; " EQUITY", "CRNCY"))</f>
        <v/>
      </c>
      <c r="L99" s="573"/>
      <c r="M99" s="574" t="str">
        <f>IF(OR($A99="", ISERROR(_xll.BDP($A99 &amp; " EQUITY", "CRNCY_ADJ_MKT_CAP")*1)), "", _xll.BDP($A99 &amp; " EQUITY", "CRNCY_ADJ_MKT_CAP"))</f>
        <v/>
      </c>
      <c r="N99" s="575" t="str">
        <f>IF(OR($A99="", ISERROR(_xll.BDP($A99 &amp; " EQUITY", "CRNCY_ADJ_MKT_CAP", "EQY_FUND_CRNCY", CURRENCY)*1)), "", _xll.BDP($A99 &amp; " EQUITY", "CRNCY_ADJ_MKT_CAP", "EQY_FUND_CRNCY", CURRENCY))</f>
        <v/>
      </c>
      <c r="O99" s="146"/>
      <c r="P99" s="576" t="str">
        <f>IF($A99="","",_xll.BDP($A99 &amp;" EQUITY", "CUST_TRR_RETURN_HOLDING_PER", "CUST_TRR_START_DT", DataH!$F$22, "CUST_TRR_END_DT", DataH!$F$21, "CUST_TRR_CRNCY", CURRENCY)/100)</f>
        <v/>
      </c>
      <c r="Q99" s="577" t="str">
        <f>IF($A99="","",_xll.BDP($A99&amp;" EQUITY","CUST_TRR_RETURN_HOLDING_PER","CUST_TRR_START_DT",DataH!$G$22,"CUST_TRR_END_DT",DataH!$F$21,"CUST_TRR_CRNCY",CURRENCY)/100)</f>
        <v/>
      </c>
      <c r="R99" s="578"/>
      <c r="S99" s="579" t="str">
        <f>IF($A99="","",_xll.BDP($A99&amp;" EQUITY",DataH!$C$23, "BEST_FPERIOD_OVERRIDE", MID(DataH!H$22, 3, 2)&amp;"BC", "EQY_CONSOLIDATED", DataH!$D$18)*DataH!$D$23)</f>
        <v/>
      </c>
      <c r="T99" s="580" t="str">
        <f>IF($A99="","",_xll.BDP($A99&amp;" EQUITY",DataH!$C$23, "BEST_FPERIOD_OVERRIDE", MID(DataH!I$22, 3, 2)&amp;"BC", "EQY_CONSOLIDATED", DataH!$D$18)*DataH!$D$23)</f>
        <v/>
      </c>
      <c r="U99" s="580" t="str">
        <f>IF($A99="","",_xll.BDP($A99&amp;" EQUITY",DataH!$C$23,"BEST_FPERIOD_OVERRIDE",MID(DataH!J$22,3,2)&amp;"BC","EQY_CONSOLIDATED",DataH!$D$18)*DataH!$D$23)</f>
        <v/>
      </c>
      <c r="V99" s="580" t="str">
        <f>IF($A99="","",_xll.BDP($A99&amp;" EQUITY",DataH!$C$23, "BEST_FPERIOD_OVERRIDE", MID(DataH!K$22, 3, 2)&amp;"BC", "EQY_CONSOLIDATED", DataH!$D$18)*DataH!$D$23)</f>
        <v/>
      </c>
      <c r="W99" s="581" t="str">
        <f>IF($A99="","",_xll.BDP($A99&amp;" EQUITY",DataH!$C$23, "BEST_FPERIOD_OVERRIDE", MID(DataH!L$22, 3, 2)&amp;"BC", "EQY_CONSOLIDATED", DataH!$D$18)*DataH!$D$23)</f>
        <v/>
      </c>
      <c r="X99" s="582" t="str">
        <f>IF($A99="","",_xll.BDP($A99&amp;" EQUITY",DataH!$C$23, "BEST_FPERIOD_OVERRIDE", MID(DataH!M$22, 3, 2)&amp;"BC", "EQY_CONSOLIDATED", DataH!$D$18)*DataH!$D$23)</f>
        <v/>
      </c>
      <c r="Y99" s="583" t="str">
        <f>IF($A99="","",_xll.BDP($A98&amp;" EQUITY",DataH!$C$23, "BEST_FPERIOD_OVERRIDE", MID(DataH!N$22, 3, 2)&amp;"BC", "EQY_CONSOLIDATED", DataH!$D$18)*DataH!$D$23)</f>
        <v/>
      </c>
      <c r="AC99" s="5" t="e">
        <f>IF(YEAR(_xll.BToday())-YEAR(_xll.BDP($A99 &amp;" EQUITY", "EQY_FISCAL_YR_END"))&gt;=2, YEAR(_xll.BToday())-1, YEAR(_xll.BToday()))</f>
        <v>#N/A</v>
      </c>
    </row>
    <row r="100" spans="1:29" ht="15" customHeight="1">
      <c r="A100" s="164" t="str">
        <f>IF(C100&lt;&gt;"", IF(ISNUMBER(FIND("EQUITY", UPPER(C100), 1)), _xll.BDP(C100, "TICKER_AND_EXCH_CODE"), C100), "")</f>
        <v/>
      </c>
      <c r="C100" s="589"/>
      <c r="D100" s="568"/>
      <c r="E100" s="763" t="str">
        <f>IF(A100="","",IF(Lang="English",_xll.BDP(A100&amp;" EQUITY","NAME"),IF(Lang="中文",_xll.BDP(A100&amp;" EQUITY","NAME_CHINESE_TRADITIONAL"),_xll.BDP(A100&amp;" EQUITY","NAME_KANJI"))))</f>
        <v/>
      </c>
      <c r="F100" s="764"/>
      <c r="G100" s="765"/>
      <c r="H100" s="763" t="str">
        <f>IF(A100="", "", _xll.BDP(A100 &amp; " EQUITY", "GICS_SUB_INDUSTRY_NAME"))</f>
        <v/>
      </c>
      <c r="I100" s="764"/>
      <c r="J100" s="765"/>
      <c r="K100" s="509" t="str">
        <f>IF($A100="", "", _xll.BDP($A100 &amp; " EQUITY", "CRNCY"))</f>
        <v/>
      </c>
      <c r="L100" s="276"/>
      <c r="M100" s="277" t="str">
        <f>IF(OR($A100="", ISERROR(_xll.BDP($A100 &amp; " EQUITY", "CRNCY_ADJ_MKT_CAP")*1)), "", _xll.BDP($A100 &amp; " EQUITY", "CRNCY_ADJ_MKT_CAP"))</f>
        <v/>
      </c>
      <c r="N100" s="278" t="str">
        <f>IF(OR($A100="", ISERROR(_xll.BDP($A100 &amp; " EQUITY", "CRNCY_ADJ_MKT_CAP", "EQY_FUND_CRNCY", CURRENCY)*1)), "", _xll.BDP($A100 &amp; " EQUITY", "CRNCY_ADJ_MKT_CAP", "EQY_FUND_CRNCY", CURRENCY))</f>
        <v/>
      </c>
      <c r="O100" s="146"/>
      <c r="P100" s="279" t="str">
        <f>IF($A100="","",_xll.BDP($A100 &amp;" EQUITY", "CUST_TRR_RETURN_HOLDING_PER", "CUST_TRR_START_DT", DataH!$F$22, "CUST_TRR_END_DT", DataH!$F$21, "CUST_TRR_CRNCY", CURRENCY)/100)</f>
        <v/>
      </c>
      <c r="Q100" s="102" t="str">
        <f>IF($A100="","",_xll.BDP($A100&amp;" EQUITY","CUST_TRR_RETURN_HOLDING_PER","CUST_TRR_START_DT",DataH!$G$22,"CUST_TRR_END_DT",DataH!$F$21,"CUST_TRR_CRNCY",CURRENCY)/100)</f>
        <v/>
      </c>
      <c r="R100" s="216"/>
      <c r="S100" s="280" t="str">
        <f>IF($A100="","",_xll.BDP($A100&amp;" EQUITY",DataH!$C$23, "BEST_FPERIOD_OVERRIDE", MID(DataH!H$22, 3, 2)&amp;"BC", "EQY_CONSOLIDATED", DataH!$D$18)*DataH!$D$23)</f>
        <v/>
      </c>
      <c r="T100" s="127" t="str">
        <f>IF($A100="","",_xll.BDP($A100&amp;" EQUITY",DataH!$C$23, "BEST_FPERIOD_OVERRIDE", MID(DataH!I$22, 3, 2)&amp;"BC", "EQY_CONSOLIDATED", DataH!$D$18)*DataH!$D$23)</f>
        <v/>
      </c>
      <c r="U100" s="127" t="str">
        <f>IF($A100="","",_xll.BDP($A100&amp;" EQUITY",DataH!$C$23,"BEST_FPERIOD_OVERRIDE",MID(DataH!J$22,3,2)&amp;"BC","EQY_CONSOLIDATED",DataH!$D$18)*DataH!$D$23)</f>
        <v/>
      </c>
      <c r="V100" s="127" t="str">
        <f>IF($A100="","",_xll.BDP($A100&amp;" EQUITY",DataH!$C$23, "BEST_FPERIOD_OVERRIDE", MID(DataH!K$22, 3, 2)&amp;"BC", "EQY_CONSOLIDATED", DataH!$D$18)*DataH!$D$23)</f>
        <v/>
      </c>
      <c r="W100" s="494" t="str">
        <f>IF($A100="","",_xll.BDP($A100&amp;" EQUITY",DataH!$C$23, "BEST_FPERIOD_OVERRIDE", MID(DataH!L$22, 3, 2)&amp;"BC", "EQY_CONSOLIDATED", DataH!$D$18)*DataH!$D$23)</f>
        <v/>
      </c>
      <c r="X100" s="256" t="str">
        <f>IF($A100="","",_xll.BDP($A100&amp;" EQUITY",DataH!$C$23, "BEST_FPERIOD_OVERRIDE", MID(DataH!M$22, 3, 2)&amp;"BC", "EQY_CONSOLIDATED", DataH!$D$18)*DataH!$D$23)</f>
        <v/>
      </c>
      <c r="Y100" s="257" t="str">
        <f>IF($A100="","",_xll.BDP($A99&amp;" EQUITY",DataH!$C$23, "BEST_FPERIOD_OVERRIDE", MID(DataH!N$22, 3, 2)&amp;"BC", "EQY_CONSOLIDATED", DataH!$D$18)*DataH!$D$23)</f>
        <v/>
      </c>
      <c r="AC100" s="5" t="e">
        <f>IF(YEAR(_xll.BToday())-YEAR(_xll.BDP($A100 &amp;" EQUITY", "EQY_FISCAL_YR_END"))&gt;=2, YEAR(_xll.BToday())-1, YEAR(_xll.BToday()))</f>
        <v>#N/A</v>
      </c>
    </row>
    <row r="101" spans="1:29" ht="15" customHeight="1">
      <c r="A101" s="164" t="str">
        <f>IF(C101&lt;&gt;"", IF(ISNUMBER(FIND("EQUITY", UPPER(C101), 1)), _xll.BDP(C101, "TICKER_AND_EXCH_CODE"), C101), "")</f>
        <v/>
      </c>
      <c r="C101" s="590"/>
      <c r="D101" s="571"/>
      <c r="E101" s="780" t="str">
        <f>IF(A101="","",IF(Lang="English",_xll.BDP(A101&amp;" EQUITY","NAME"),IF(Lang="中文",_xll.BDP(A101&amp;" EQUITY","NAME_CHINESE_TRADITIONAL"),_xll.BDP(A101&amp;" EQUITY","NAME_KANJI"))))</f>
        <v/>
      </c>
      <c r="F101" s="781"/>
      <c r="G101" s="782"/>
      <c r="H101" s="780" t="str">
        <f>IF(A101="", "", _xll.BDP(A101 &amp; " EQUITY", "GICS_SUB_INDUSTRY_NAME"))</f>
        <v/>
      </c>
      <c r="I101" s="781"/>
      <c r="J101" s="782"/>
      <c r="K101" s="572" t="str">
        <f>IF($A101="", "", _xll.BDP($A101 &amp; " EQUITY", "CRNCY"))</f>
        <v/>
      </c>
      <c r="L101" s="573"/>
      <c r="M101" s="574" t="str">
        <f>IF(OR($A101="", ISERROR(_xll.BDP($A101 &amp; " EQUITY", "CRNCY_ADJ_MKT_CAP")*1)), "", _xll.BDP($A101 &amp; " EQUITY", "CRNCY_ADJ_MKT_CAP"))</f>
        <v/>
      </c>
      <c r="N101" s="575" t="str">
        <f>IF(OR($A101="", ISERROR(_xll.BDP($A101 &amp; " EQUITY", "CRNCY_ADJ_MKT_CAP", "EQY_FUND_CRNCY", CURRENCY)*1)), "", _xll.BDP($A101 &amp; " EQUITY", "CRNCY_ADJ_MKT_CAP", "EQY_FUND_CRNCY", CURRENCY))</f>
        <v/>
      </c>
      <c r="O101" s="146"/>
      <c r="P101" s="576" t="str">
        <f>IF($A101="","",_xll.BDP($A101 &amp;" EQUITY", "CUST_TRR_RETURN_HOLDING_PER", "CUST_TRR_START_DT", DataH!$F$22, "CUST_TRR_END_DT", DataH!$F$21, "CUST_TRR_CRNCY", CURRENCY)/100)</f>
        <v/>
      </c>
      <c r="Q101" s="577" t="str">
        <f>IF($A101="","",_xll.BDP($A101&amp;" EQUITY","CUST_TRR_RETURN_HOLDING_PER","CUST_TRR_START_DT",DataH!$G$22,"CUST_TRR_END_DT",DataH!$F$21,"CUST_TRR_CRNCY",CURRENCY)/100)</f>
        <v/>
      </c>
      <c r="R101" s="578"/>
      <c r="S101" s="579" t="str">
        <f>IF($A101="","",_xll.BDP($A101&amp;" EQUITY",DataH!$C$23, "BEST_FPERIOD_OVERRIDE", MID(DataH!H$22, 3, 2)&amp;"BC", "EQY_CONSOLIDATED", DataH!$D$18)*DataH!$D$23)</f>
        <v/>
      </c>
      <c r="T101" s="580" t="str">
        <f>IF($A101="","",_xll.BDP($A101&amp;" EQUITY",DataH!$C$23, "BEST_FPERIOD_OVERRIDE", MID(DataH!I$22, 3, 2)&amp;"BC", "EQY_CONSOLIDATED", DataH!$D$18)*DataH!$D$23)</f>
        <v/>
      </c>
      <c r="U101" s="580" t="str">
        <f>IF($A101="","",_xll.BDP($A101&amp;" EQUITY",DataH!$C$23,"BEST_FPERIOD_OVERRIDE",MID(DataH!J$22,3,2)&amp;"BC","EQY_CONSOLIDATED",DataH!$D$18)*DataH!$D$23)</f>
        <v/>
      </c>
      <c r="V101" s="580" t="str">
        <f>IF($A101="","",_xll.BDP($A101&amp;" EQUITY",DataH!$C$23, "BEST_FPERIOD_OVERRIDE", MID(DataH!K$22, 3, 2)&amp;"BC", "EQY_CONSOLIDATED", DataH!$D$18)*DataH!$D$23)</f>
        <v/>
      </c>
      <c r="W101" s="581" t="str">
        <f>IF($A101="","",_xll.BDP($A101&amp;" EQUITY",DataH!$C$23, "BEST_FPERIOD_OVERRIDE", MID(DataH!L$22, 3, 2)&amp;"BC", "EQY_CONSOLIDATED", DataH!$D$18)*DataH!$D$23)</f>
        <v/>
      </c>
      <c r="X101" s="582" t="str">
        <f>IF($A101="","",_xll.BDP($A101&amp;" EQUITY",DataH!$C$23, "BEST_FPERIOD_OVERRIDE", MID(DataH!M$22, 3, 2)&amp;"BC", "EQY_CONSOLIDATED", DataH!$D$18)*DataH!$D$23)</f>
        <v/>
      </c>
      <c r="Y101" s="583" t="str">
        <f>IF($A101="","",_xll.BDP($A100&amp;" EQUITY",DataH!$C$23, "BEST_FPERIOD_OVERRIDE", MID(DataH!N$22, 3, 2)&amp;"BC", "EQY_CONSOLIDATED", DataH!$D$18)*DataH!$D$23)</f>
        <v/>
      </c>
      <c r="AC101" s="5" t="e">
        <f>IF(YEAR(_xll.BToday())-YEAR(_xll.BDP($A101 &amp;" EQUITY", "EQY_FISCAL_YR_END"))&gt;=2, YEAR(_xll.BToday())-1, YEAR(_xll.BToday()))</f>
        <v>#N/A</v>
      </c>
    </row>
    <row r="102" spans="1:29" ht="15" customHeight="1">
      <c r="A102" s="164" t="str">
        <f>IF(C102&lt;&gt;"", IF(ISNUMBER(FIND("EQUITY", UPPER(C102), 1)), _xll.BDP(C102, "TICKER_AND_EXCH_CODE"), C102), "")</f>
        <v/>
      </c>
      <c r="C102" s="589"/>
      <c r="D102" s="568"/>
      <c r="E102" s="763" t="str">
        <f>IF(A102="","",IF(Lang="English",_xll.BDP(A102&amp;" EQUITY","NAME"),IF(Lang="中文",_xll.BDP(A102&amp;" EQUITY","NAME_CHINESE_TRADITIONAL"),_xll.BDP(A102&amp;" EQUITY","NAME_KANJI"))))</f>
        <v/>
      </c>
      <c r="F102" s="764"/>
      <c r="G102" s="765"/>
      <c r="H102" s="763" t="str">
        <f>IF(A102="", "", _xll.BDP(A102 &amp; " EQUITY", "GICS_SUB_INDUSTRY_NAME"))</f>
        <v/>
      </c>
      <c r="I102" s="764"/>
      <c r="J102" s="765"/>
      <c r="K102" s="509" t="str">
        <f>IF($A102="", "", _xll.BDP($A102 &amp; " EQUITY", "CRNCY"))</f>
        <v/>
      </c>
      <c r="L102" s="276"/>
      <c r="M102" s="277" t="str">
        <f>IF(OR($A102="", ISERROR(_xll.BDP($A102 &amp; " EQUITY", "CRNCY_ADJ_MKT_CAP")*1)), "", _xll.BDP($A102 &amp; " EQUITY", "CRNCY_ADJ_MKT_CAP"))</f>
        <v/>
      </c>
      <c r="N102" s="278" t="str">
        <f>IF(OR($A102="", ISERROR(_xll.BDP($A102 &amp; " EQUITY", "CRNCY_ADJ_MKT_CAP", "EQY_FUND_CRNCY", CURRENCY)*1)), "", _xll.BDP($A102 &amp; " EQUITY", "CRNCY_ADJ_MKT_CAP", "EQY_FUND_CRNCY", CURRENCY))</f>
        <v/>
      </c>
      <c r="O102" s="146"/>
      <c r="P102" s="279" t="str">
        <f>IF($A102="","",_xll.BDP($A102 &amp;" EQUITY", "CUST_TRR_RETURN_HOLDING_PER", "CUST_TRR_START_DT", DataH!$F$22, "CUST_TRR_END_DT", DataH!$F$21, "CUST_TRR_CRNCY", CURRENCY)/100)</f>
        <v/>
      </c>
      <c r="Q102" s="102" t="str">
        <f>IF($A102="","",_xll.BDP($A102&amp;" EQUITY","CUST_TRR_RETURN_HOLDING_PER","CUST_TRR_START_DT",DataH!$G$22,"CUST_TRR_END_DT",DataH!$F$21,"CUST_TRR_CRNCY",CURRENCY)/100)</f>
        <v/>
      </c>
      <c r="R102" s="216"/>
      <c r="S102" s="280" t="str">
        <f>IF($A102="","",_xll.BDP($A102&amp;" EQUITY",DataH!$C$23, "BEST_FPERIOD_OVERRIDE", MID(DataH!H$22, 3, 2)&amp;"BC", "EQY_CONSOLIDATED", DataH!$D$18)*DataH!$D$23)</f>
        <v/>
      </c>
      <c r="T102" s="127" t="str">
        <f>IF($A102="","",_xll.BDP($A102&amp;" EQUITY",DataH!$C$23, "BEST_FPERIOD_OVERRIDE", MID(DataH!I$22, 3, 2)&amp;"BC", "EQY_CONSOLIDATED", DataH!$D$18)*DataH!$D$23)</f>
        <v/>
      </c>
      <c r="U102" s="127" t="str">
        <f>IF($A102="","",_xll.BDP($A102&amp;" EQUITY",DataH!$C$23,"BEST_FPERIOD_OVERRIDE",MID(DataH!J$22,3,2)&amp;"BC","EQY_CONSOLIDATED",DataH!$D$18)*DataH!$D$23)</f>
        <v/>
      </c>
      <c r="V102" s="127" t="str">
        <f>IF($A102="","",_xll.BDP($A102&amp;" EQUITY",DataH!$C$23, "BEST_FPERIOD_OVERRIDE", MID(DataH!K$22, 3, 2)&amp;"BC", "EQY_CONSOLIDATED", DataH!$D$18)*DataH!$D$23)</f>
        <v/>
      </c>
      <c r="W102" s="494" t="str">
        <f>IF($A102="","",_xll.BDP($A102&amp;" EQUITY",DataH!$C$23, "BEST_FPERIOD_OVERRIDE", MID(DataH!L$22, 3, 2)&amp;"BC", "EQY_CONSOLIDATED", DataH!$D$18)*DataH!$D$23)</f>
        <v/>
      </c>
      <c r="X102" s="256" t="str">
        <f>IF($A102="","",_xll.BDP($A102&amp;" EQUITY",DataH!$C$23, "BEST_FPERIOD_OVERRIDE", MID(DataH!M$22, 3, 2)&amp;"BC", "EQY_CONSOLIDATED", DataH!$D$18)*DataH!$D$23)</f>
        <v/>
      </c>
      <c r="Y102" s="257" t="str">
        <f>IF($A102="","",_xll.BDP($A101&amp;" EQUITY",DataH!$C$23, "BEST_FPERIOD_OVERRIDE", MID(DataH!N$22, 3, 2)&amp;"BC", "EQY_CONSOLIDATED", DataH!$D$18)*DataH!$D$23)</f>
        <v/>
      </c>
      <c r="AC102" s="5" t="e">
        <f>IF(YEAR(_xll.BToday())-YEAR(_xll.BDP($A102 &amp;" EQUITY", "EQY_FISCAL_YR_END"))&gt;=2, YEAR(_xll.BToday())-1, YEAR(_xll.BToday()))</f>
        <v>#N/A</v>
      </c>
    </row>
    <row r="103" spans="1:29" ht="15" customHeight="1">
      <c r="A103" s="164" t="str">
        <f>IF(C103&lt;&gt;"", IF(ISNUMBER(FIND("EQUITY", UPPER(C103), 1)), _xll.BDP(C103, "TICKER_AND_EXCH_CODE"), C103), "")</f>
        <v/>
      </c>
      <c r="C103" s="590"/>
      <c r="D103" s="571"/>
      <c r="E103" s="780" t="str">
        <f>IF(A103="","",IF(Lang="English",_xll.BDP(A103&amp;" EQUITY","NAME"),IF(Lang="中文",_xll.BDP(A103&amp;" EQUITY","NAME_CHINESE_TRADITIONAL"),_xll.BDP(A103&amp;" EQUITY","NAME_KANJI"))))</f>
        <v/>
      </c>
      <c r="F103" s="781"/>
      <c r="G103" s="782"/>
      <c r="H103" s="780" t="str">
        <f>IF(A103="", "", _xll.BDP(A103 &amp; " EQUITY", "GICS_SUB_INDUSTRY_NAME"))</f>
        <v/>
      </c>
      <c r="I103" s="781"/>
      <c r="J103" s="782"/>
      <c r="K103" s="572" t="str">
        <f>IF($A103="", "", _xll.BDP($A103 &amp; " EQUITY", "CRNCY"))</f>
        <v/>
      </c>
      <c r="L103" s="573"/>
      <c r="M103" s="574" t="str">
        <f>IF(OR($A103="", ISERROR(_xll.BDP($A103 &amp; " EQUITY", "CRNCY_ADJ_MKT_CAP")*1)), "", _xll.BDP($A103 &amp; " EQUITY", "CRNCY_ADJ_MKT_CAP"))</f>
        <v/>
      </c>
      <c r="N103" s="575" t="str">
        <f>IF(OR($A103="", ISERROR(_xll.BDP($A103 &amp; " EQUITY", "CRNCY_ADJ_MKT_CAP", "EQY_FUND_CRNCY", CURRENCY)*1)), "", _xll.BDP($A103 &amp; " EQUITY", "CRNCY_ADJ_MKT_CAP", "EQY_FUND_CRNCY", CURRENCY))</f>
        <v/>
      </c>
      <c r="O103" s="146"/>
      <c r="P103" s="576" t="str">
        <f>IF($A103="","",_xll.BDP($A103 &amp;" EQUITY", "CUST_TRR_RETURN_HOLDING_PER", "CUST_TRR_START_DT", DataH!$F$22, "CUST_TRR_END_DT", DataH!$F$21, "CUST_TRR_CRNCY", CURRENCY)/100)</f>
        <v/>
      </c>
      <c r="Q103" s="577" t="str">
        <f>IF($A103="","",_xll.BDP($A103&amp;" EQUITY","CUST_TRR_RETURN_HOLDING_PER","CUST_TRR_START_DT",DataH!$G$22,"CUST_TRR_END_DT",DataH!$F$21,"CUST_TRR_CRNCY",CURRENCY)/100)</f>
        <v/>
      </c>
      <c r="R103" s="578"/>
      <c r="S103" s="579" t="str">
        <f>IF($A103="","",_xll.BDP($A103&amp;" EQUITY",DataH!$C$23, "BEST_FPERIOD_OVERRIDE", MID(DataH!H$22, 3, 2)&amp;"BC", "EQY_CONSOLIDATED", DataH!$D$18)*DataH!$D$23)</f>
        <v/>
      </c>
      <c r="T103" s="580" t="str">
        <f>IF($A103="","",_xll.BDP($A103&amp;" EQUITY",DataH!$C$23, "BEST_FPERIOD_OVERRIDE", MID(DataH!I$22, 3, 2)&amp;"BC", "EQY_CONSOLIDATED", DataH!$D$18)*DataH!$D$23)</f>
        <v/>
      </c>
      <c r="U103" s="580" t="str">
        <f>IF($A103="","",_xll.BDP($A103&amp;" EQUITY",DataH!$C$23,"BEST_FPERIOD_OVERRIDE",MID(DataH!J$22,3,2)&amp;"BC","EQY_CONSOLIDATED",DataH!$D$18)*DataH!$D$23)</f>
        <v/>
      </c>
      <c r="V103" s="580" t="str">
        <f>IF($A103="","",_xll.BDP($A103&amp;" EQUITY",DataH!$C$23, "BEST_FPERIOD_OVERRIDE", MID(DataH!K$22, 3, 2)&amp;"BC", "EQY_CONSOLIDATED", DataH!$D$18)*DataH!$D$23)</f>
        <v/>
      </c>
      <c r="W103" s="581" t="str">
        <f>IF($A103="","",_xll.BDP($A103&amp;" EQUITY",DataH!$C$23, "BEST_FPERIOD_OVERRIDE", MID(DataH!L$22, 3, 2)&amp;"BC", "EQY_CONSOLIDATED", DataH!$D$18)*DataH!$D$23)</f>
        <v/>
      </c>
      <c r="X103" s="582" t="str">
        <f>IF($A103="","",_xll.BDP($A103&amp;" EQUITY",DataH!$C$23, "BEST_FPERIOD_OVERRIDE", MID(DataH!M$22, 3, 2)&amp;"BC", "EQY_CONSOLIDATED", DataH!$D$18)*DataH!$D$23)</f>
        <v/>
      </c>
      <c r="Y103" s="583" t="str">
        <f>IF($A103="","",_xll.BDP($A102&amp;" EQUITY",DataH!$C$23, "BEST_FPERIOD_OVERRIDE", MID(DataH!N$22, 3, 2)&amp;"BC", "EQY_CONSOLIDATED", DataH!$D$18)*DataH!$D$23)</f>
        <v/>
      </c>
      <c r="AC103" s="5" t="e">
        <f>IF(YEAR(_xll.BToday())-YEAR(_xll.BDP($A103 &amp;" EQUITY", "EQY_FISCAL_YR_END"))&gt;=2, YEAR(_xll.BToday())-1, YEAR(_xll.BToday()))</f>
        <v>#N/A</v>
      </c>
    </row>
    <row r="104" spans="1:29" ht="15" customHeight="1">
      <c r="A104" s="164" t="str">
        <f>IF(C104&lt;&gt;"", IF(ISNUMBER(FIND("EQUITY", UPPER(C104), 1)), _xll.BDP(C104, "TICKER_AND_EXCH_CODE"), C104), "")</f>
        <v/>
      </c>
      <c r="C104" s="589"/>
      <c r="D104" s="568"/>
      <c r="E104" s="763" t="str">
        <f>IF(A104="","",IF(Lang="English",_xll.BDP(A104&amp;" EQUITY","NAME"),IF(Lang="中文",_xll.BDP(A104&amp;" EQUITY","NAME_CHINESE_TRADITIONAL"),_xll.BDP(A104&amp;" EQUITY","NAME_KANJI"))))</f>
        <v/>
      </c>
      <c r="F104" s="764"/>
      <c r="G104" s="765"/>
      <c r="H104" s="763" t="str">
        <f>IF(A104="", "", _xll.BDP(A104 &amp; " EQUITY", "GICS_SUB_INDUSTRY_NAME"))</f>
        <v/>
      </c>
      <c r="I104" s="764"/>
      <c r="J104" s="765"/>
      <c r="K104" s="509" t="str">
        <f>IF($A104="", "", _xll.BDP($A104 &amp; " EQUITY", "CRNCY"))</f>
        <v/>
      </c>
      <c r="L104" s="276"/>
      <c r="M104" s="277" t="str">
        <f>IF(OR($A104="", ISERROR(_xll.BDP($A104 &amp; " EQUITY", "CRNCY_ADJ_MKT_CAP")*1)), "", _xll.BDP($A104 &amp; " EQUITY", "CRNCY_ADJ_MKT_CAP"))</f>
        <v/>
      </c>
      <c r="N104" s="278" t="str">
        <f>IF(OR($A104="", ISERROR(_xll.BDP($A104 &amp; " EQUITY", "CRNCY_ADJ_MKT_CAP", "EQY_FUND_CRNCY", CURRENCY)*1)), "", _xll.BDP($A104 &amp; " EQUITY", "CRNCY_ADJ_MKT_CAP", "EQY_FUND_CRNCY", CURRENCY))</f>
        <v/>
      </c>
      <c r="O104" s="146"/>
      <c r="P104" s="279" t="str">
        <f>IF($A104="","",_xll.BDP($A104 &amp;" EQUITY", "CUST_TRR_RETURN_HOLDING_PER", "CUST_TRR_START_DT", DataH!$F$22, "CUST_TRR_END_DT", DataH!$F$21, "CUST_TRR_CRNCY", CURRENCY)/100)</f>
        <v/>
      </c>
      <c r="Q104" s="102" t="str">
        <f>IF($A104="","",_xll.BDP($A104&amp;" EQUITY","CUST_TRR_RETURN_HOLDING_PER","CUST_TRR_START_DT",DataH!$G$22,"CUST_TRR_END_DT",DataH!$F$21,"CUST_TRR_CRNCY",CURRENCY)/100)</f>
        <v/>
      </c>
      <c r="R104" s="216"/>
      <c r="S104" s="280" t="str">
        <f>IF($A104="","",_xll.BDP($A104&amp;" EQUITY",DataH!$C$23, "BEST_FPERIOD_OVERRIDE", MID(DataH!H$22, 3, 2)&amp;"BC", "EQY_CONSOLIDATED", DataH!$D$18)*DataH!$D$23)</f>
        <v/>
      </c>
      <c r="T104" s="127" t="str">
        <f>IF($A104="","",_xll.BDP($A104&amp;" EQUITY",DataH!$C$23, "BEST_FPERIOD_OVERRIDE", MID(DataH!I$22, 3, 2)&amp;"BC", "EQY_CONSOLIDATED", DataH!$D$18)*DataH!$D$23)</f>
        <v/>
      </c>
      <c r="U104" s="127" t="str">
        <f>IF($A104="","",_xll.BDP($A104&amp;" EQUITY",DataH!$C$23,"BEST_FPERIOD_OVERRIDE",MID(DataH!J$22,3,2)&amp;"BC","EQY_CONSOLIDATED",DataH!$D$18)*DataH!$D$23)</f>
        <v/>
      </c>
      <c r="V104" s="127" t="str">
        <f>IF($A104="","",_xll.BDP($A104&amp;" EQUITY",DataH!$C$23, "BEST_FPERIOD_OVERRIDE", MID(DataH!K$22, 3, 2)&amp;"BC", "EQY_CONSOLIDATED", DataH!$D$18)*DataH!$D$23)</f>
        <v/>
      </c>
      <c r="W104" s="494" t="str">
        <f>IF($A104="","",_xll.BDP($A104&amp;" EQUITY",DataH!$C$23, "BEST_FPERIOD_OVERRIDE", MID(DataH!L$22, 3, 2)&amp;"BC", "EQY_CONSOLIDATED", DataH!$D$18)*DataH!$D$23)</f>
        <v/>
      </c>
      <c r="X104" s="256" t="str">
        <f>IF($A104="","",_xll.BDP($A104&amp;" EQUITY",DataH!$C$23, "BEST_FPERIOD_OVERRIDE", MID(DataH!M$22, 3, 2)&amp;"BC", "EQY_CONSOLIDATED", DataH!$D$18)*DataH!$D$23)</f>
        <v/>
      </c>
      <c r="Y104" s="257" t="str">
        <f>IF($A104="","",_xll.BDP($A103&amp;" EQUITY",DataH!$C$23, "BEST_FPERIOD_OVERRIDE", MID(DataH!N$22, 3, 2)&amp;"BC", "EQY_CONSOLIDATED", DataH!$D$18)*DataH!$D$23)</f>
        <v/>
      </c>
      <c r="AC104" s="5" t="e">
        <f>IF(YEAR(_xll.BToday())-YEAR(_xll.BDP($A104 &amp;" EQUITY", "EQY_FISCAL_YR_END"))&gt;=2, YEAR(_xll.BToday())-1, YEAR(_xll.BToday()))</f>
        <v>#N/A</v>
      </c>
    </row>
    <row r="105" spans="1:29" ht="15" customHeight="1">
      <c r="A105" s="164" t="str">
        <f>IF(C105&lt;&gt;"", IF(ISNUMBER(FIND("EQUITY", UPPER(C105), 1)), _xll.BDP(C105, "TICKER_AND_EXCH_CODE"), C105), "")</f>
        <v/>
      </c>
      <c r="C105" s="590"/>
      <c r="D105" s="571"/>
      <c r="E105" s="780" t="str">
        <f>IF(A105="","",IF(Lang="English",_xll.BDP(A105&amp;" EQUITY","NAME"),IF(Lang="中文",_xll.BDP(A105&amp;" EQUITY","NAME_CHINESE_TRADITIONAL"),_xll.BDP(A105&amp;" EQUITY","NAME_KANJI"))))</f>
        <v/>
      </c>
      <c r="F105" s="781"/>
      <c r="G105" s="782"/>
      <c r="H105" s="780" t="str">
        <f>IF(A105="", "", _xll.BDP(A105 &amp; " EQUITY", "GICS_SUB_INDUSTRY_NAME"))</f>
        <v/>
      </c>
      <c r="I105" s="781"/>
      <c r="J105" s="782"/>
      <c r="K105" s="572" t="str">
        <f>IF($A105="", "", _xll.BDP($A105 &amp; " EQUITY", "CRNCY"))</f>
        <v/>
      </c>
      <c r="L105" s="573"/>
      <c r="M105" s="574" t="str">
        <f>IF(OR($A105="", ISERROR(_xll.BDP($A105 &amp; " EQUITY", "CRNCY_ADJ_MKT_CAP")*1)), "", _xll.BDP($A105 &amp; " EQUITY", "CRNCY_ADJ_MKT_CAP"))</f>
        <v/>
      </c>
      <c r="N105" s="575" t="str">
        <f>IF(OR($A105="", ISERROR(_xll.BDP($A105 &amp; " EQUITY", "CRNCY_ADJ_MKT_CAP", "EQY_FUND_CRNCY", CURRENCY)*1)), "", _xll.BDP($A105 &amp; " EQUITY", "CRNCY_ADJ_MKT_CAP", "EQY_FUND_CRNCY", CURRENCY))</f>
        <v/>
      </c>
      <c r="O105" s="146"/>
      <c r="P105" s="576" t="str">
        <f>IF($A105="","",_xll.BDP($A105 &amp;" EQUITY", "CUST_TRR_RETURN_HOLDING_PER", "CUST_TRR_START_DT", DataH!$F$22, "CUST_TRR_END_DT", DataH!$F$21, "CUST_TRR_CRNCY", CURRENCY)/100)</f>
        <v/>
      </c>
      <c r="Q105" s="577" t="str">
        <f>IF($A105="","",_xll.BDP($A105&amp;" EQUITY","CUST_TRR_RETURN_HOLDING_PER","CUST_TRR_START_DT",DataH!$G$22,"CUST_TRR_END_DT",DataH!$F$21,"CUST_TRR_CRNCY",CURRENCY)/100)</f>
        <v/>
      </c>
      <c r="R105" s="578"/>
      <c r="S105" s="579" t="str">
        <f>IF($A105="","",_xll.BDP($A105&amp;" EQUITY",DataH!$C$23, "BEST_FPERIOD_OVERRIDE", MID(DataH!H$22, 3, 2)&amp;"BC", "EQY_CONSOLIDATED", DataH!$D$18)*DataH!$D$23)</f>
        <v/>
      </c>
      <c r="T105" s="580" t="str">
        <f>IF($A105="","",_xll.BDP($A105&amp;" EQUITY",DataH!$C$23, "BEST_FPERIOD_OVERRIDE", MID(DataH!I$22, 3, 2)&amp;"BC", "EQY_CONSOLIDATED", DataH!$D$18)*DataH!$D$23)</f>
        <v/>
      </c>
      <c r="U105" s="580" t="str">
        <f>IF($A105="","",_xll.BDP($A105&amp;" EQUITY",DataH!$C$23,"BEST_FPERIOD_OVERRIDE",MID(DataH!J$22,3,2)&amp;"BC","EQY_CONSOLIDATED",DataH!$D$18)*DataH!$D$23)</f>
        <v/>
      </c>
      <c r="V105" s="580" t="str">
        <f>IF($A105="","",_xll.BDP($A105&amp;" EQUITY",DataH!$C$23, "BEST_FPERIOD_OVERRIDE", MID(DataH!K$22, 3, 2)&amp;"BC", "EQY_CONSOLIDATED", DataH!$D$18)*DataH!$D$23)</f>
        <v/>
      </c>
      <c r="W105" s="581" t="str">
        <f>IF($A105="","",_xll.BDP($A105&amp;" EQUITY",DataH!$C$23, "BEST_FPERIOD_OVERRIDE", MID(DataH!L$22, 3, 2)&amp;"BC", "EQY_CONSOLIDATED", DataH!$D$18)*DataH!$D$23)</f>
        <v/>
      </c>
      <c r="X105" s="582" t="str">
        <f>IF($A105="","",_xll.BDP($A105&amp;" EQUITY",DataH!$C$23, "BEST_FPERIOD_OVERRIDE", MID(DataH!M$22, 3, 2)&amp;"BC", "EQY_CONSOLIDATED", DataH!$D$18)*DataH!$D$23)</f>
        <v/>
      </c>
      <c r="Y105" s="583" t="str">
        <f>IF($A105="","",_xll.BDP($A104&amp;" EQUITY",DataH!$C$23, "BEST_FPERIOD_OVERRIDE", MID(DataH!N$22, 3, 2)&amp;"BC", "EQY_CONSOLIDATED", DataH!$D$18)*DataH!$D$23)</f>
        <v/>
      </c>
      <c r="AC105" s="5" t="e">
        <f>IF(YEAR(_xll.BToday())-YEAR(_xll.BDP($A105 &amp;" EQUITY", "EQY_FISCAL_YR_END"))&gt;=2, YEAR(_xll.BToday())-1, YEAR(_xll.BToday()))</f>
        <v>#N/A</v>
      </c>
    </row>
    <row r="106" spans="1:29" ht="15" customHeight="1">
      <c r="A106" s="164" t="str">
        <f>IF(C106&lt;&gt;"", IF(ISNUMBER(FIND("EQUITY", UPPER(C106), 1)), _xll.BDP(C106, "TICKER_AND_EXCH_CODE"), C106), "")</f>
        <v/>
      </c>
      <c r="C106" s="589"/>
      <c r="D106" s="568"/>
      <c r="E106" s="763" t="str">
        <f>IF(A106="","",IF(Lang="English",_xll.BDP(A106&amp;" EQUITY","NAME"),IF(Lang="中文",_xll.BDP(A106&amp;" EQUITY","NAME_CHINESE_TRADITIONAL"),_xll.BDP(A106&amp;" EQUITY","NAME_KANJI"))))</f>
        <v/>
      </c>
      <c r="F106" s="764"/>
      <c r="G106" s="765"/>
      <c r="H106" s="763" t="str">
        <f>IF(A106="", "", _xll.BDP(A106 &amp; " EQUITY", "GICS_SUB_INDUSTRY_NAME"))</f>
        <v/>
      </c>
      <c r="I106" s="764"/>
      <c r="J106" s="765"/>
      <c r="K106" s="509" t="str">
        <f>IF($A106="", "", _xll.BDP($A106 &amp; " EQUITY", "CRNCY"))</f>
        <v/>
      </c>
      <c r="L106" s="276"/>
      <c r="M106" s="277" t="str">
        <f>IF(OR($A106="", ISERROR(_xll.BDP($A106 &amp; " EQUITY", "CRNCY_ADJ_MKT_CAP")*1)), "", _xll.BDP($A106 &amp; " EQUITY", "CRNCY_ADJ_MKT_CAP"))</f>
        <v/>
      </c>
      <c r="N106" s="278" t="str">
        <f>IF(OR($A106="", ISERROR(_xll.BDP($A106 &amp; " EQUITY", "CRNCY_ADJ_MKT_CAP", "EQY_FUND_CRNCY", CURRENCY)*1)), "", _xll.BDP($A106 &amp; " EQUITY", "CRNCY_ADJ_MKT_CAP", "EQY_FUND_CRNCY", CURRENCY))</f>
        <v/>
      </c>
      <c r="O106" s="146"/>
      <c r="P106" s="279" t="str">
        <f>IF($A106="","",_xll.BDP($A106 &amp;" EQUITY", "CUST_TRR_RETURN_HOLDING_PER", "CUST_TRR_START_DT", DataH!$F$22, "CUST_TRR_END_DT", DataH!$F$21, "CUST_TRR_CRNCY", CURRENCY)/100)</f>
        <v/>
      </c>
      <c r="Q106" s="102" t="str">
        <f>IF($A106="","",_xll.BDP($A106&amp;" EQUITY","CUST_TRR_RETURN_HOLDING_PER","CUST_TRR_START_DT",DataH!$G$22,"CUST_TRR_END_DT",DataH!$F$21,"CUST_TRR_CRNCY",CURRENCY)/100)</f>
        <v/>
      </c>
      <c r="R106" s="216"/>
      <c r="S106" s="280" t="str">
        <f>IF($A106="","",_xll.BDP($A106&amp;" EQUITY",DataH!$C$23, "BEST_FPERIOD_OVERRIDE", MID(DataH!H$22, 3, 2)&amp;"BC", "EQY_CONSOLIDATED", DataH!$D$18)*DataH!$D$23)</f>
        <v/>
      </c>
      <c r="T106" s="127" t="str">
        <f>IF($A106="","",_xll.BDP($A106&amp;" EQUITY",DataH!$C$23, "BEST_FPERIOD_OVERRIDE", MID(DataH!I$22, 3, 2)&amp;"BC", "EQY_CONSOLIDATED", DataH!$D$18)*DataH!$D$23)</f>
        <v/>
      </c>
      <c r="U106" s="127" t="str">
        <f>IF($A106="","",_xll.BDP($A106&amp;" EQUITY",DataH!$C$23,"BEST_FPERIOD_OVERRIDE",MID(DataH!J$22,3,2)&amp;"BC","EQY_CONSOLIDATED",DataH!$D$18)*DataH!$D$23)</f>
        <v/>
      </c>
      <c r="V106" s="127" t="str">
        <f>IF($A106="","",_xll.BDP($A106&amp;" EQUITY",DataH!$C$23, "BEST_FPERIOD_OVERRIDE", MID(DataH!K$22, 3, 2)&amp;"BC", "EQY_CONSOLIDATED", DataH!$D$18)*DataH!$D$23)</f>
        <v/>
      </c>
      <c r="W106" s="494" t="str">
        <f>IF($A106="","",_xll.BDP($A106&amp;" EQUITY",DataH!$C$23, "BEST_FPERIOD_OVERRIDE", MID(DataH!L$22, 3, 2)&amp;"BC", "EQY_CONSOLIDATED", DataH!$D$18)*DataH!$D$23)</f>
        <v/>
      </c>
      <c r="X106" s="256" t="str">
        <f>IF($A106="","",_xll.BDP($A106&amp;" EQUITY",DataH!$C$23, "BEST_FPERIOD_OVERRIDE", MID(DataH!M$22, 3, 2)&amp;"BC", "EQY_CONSOLIDATED", DataH!$D$18)*DataH!$D$23)</f>
        <v/>
      </c>
      <c r="Y106" s="257" t="str">
        <f>IF($A106="","",_xll.BDP($A105&amp;" EQUITY",DataH!$C$23, "BEST_FPERIOD_OVERRIDE", MID(DataH!N$22, 3, 2)&amp;"BC", "EQY_CONSOLIDATED", DataH!$D$18)*DataH!$D$23)</f>
        <v/>
      </c>
      <c r="AC106" s="5" t="e">
        <f>IF(YEAR(_xll.BToday())-YEAR(_xll.BDP($A106 &amp;" EQUITY", "EQY_FISCAL_YR_END"))&gt;=2, YEAR(_xll.BToday())-1, YEAR(_xll.BToday()))</f>
        <v>#N/A</v>
      </c>
    </row>
    <row r="107" spans="1:29" ht="15" customHeight="1">
      <c r="A107" s="164" t="str">
        <f>IF(C107&lt;&gt;"", IF(ISNUMBER(FIND("EQUITY", UPPER(C107), 1)), _xll.BDP(C107, "TICKER_AND_EXCH_CODE"), C107), "")</f>
        <v/>
      </c>
      <c r="C107" s="590"/>
      <c r="D107" s="571"/>
      <c r="E107" s="780" t="str">
        <f>IF(A107="","",IF(Lang="English",_xll.BDP(A107&amp;" EQUITY","NAME"),IF(Lang="中文",_xll.BDP(A107&amp;" EQUITY","NAME_CHINESE_TRADITIONAL"),_xll.BDP(A107&amp;" EQUITY","NAME_KANJI"))))</f>
        <v/>
      </c>
      <c r="F107" s="781"/>
      <c r="G107" s="782"/>
      <c r="H107" s="780" t="str">
        <f>IF(A107="", "", _xll.BDP(A107 &amp; " EQUITY", "GICS_SUB_INDUSTRY_NAME"))</f>
        <v/>
      </c>
      <c r="I107" s="781"/>
      <c r="J107" s="782"/>
      <c r="K107" s="572" t="str">
        <f>IF($A107="", "", _xll.BDP($A107 &amp; " EQUITY", "CRNCY"))</f>
        <v/>
      </c>
      <c r="L107" s="573"/>
      <c r="M107" s="574" t="str">
        <f>IF(OR($A107="", ISERROR(_xll.BDP($A107 &amp; " EQUITY", "CRNCY_ADJ_MKT_CAP")*1)), "", _xll.BDP($A107 &amp; " EQUITY", "CRNCY_ADJ_MKT_CAP"))</f>
        <v/>
      </c>
      <c r="N107" s="575" t="str">
        <f>IF(OR($A107="", ISERROR(_xll.BDP($A107 &amp; " EQUITY", "CRNCY_ADJ_MKT_CAP", "EQY_FUND_CRNCY", CURRENCY)*1)), "", _xll.BDP($A107 &amp; " EQUITY", "CRNCY_ADJ_MKT_CAP", "EQY_FUND_CRNCY", CURRENCY))</f>
        <v/>
      </c>
      <c r="O107" s="146"/>
      <c r="P107" s="576" t="str">
        <f>IF($A107="","",_xll.BDP($A107 &amp;" EQUITY", "CUST_TRR_RETURN_HOLDING_PER", "CUST_TRR_START_DT", DataH!$F$22, "CUST_TRR_END_DT", DataH!$F$21, "CUST_TRR_CRNCY", CURRENCY)/100)</f>
        <v/>
      </c>
      <c r="Q107" s="577" t="str">
        <f>IF($A107="","",_xll.BDP($A107&amp;" EQUITY","CUST_TRR_RETURN_HOLDING_PER","CUST_TRR_START_DT",DataH!$G$22,"CUST_TRR_END_DT",DataH!$F$21,"CUST_TRR_CRNCY",CURRENCY)/100)</f>
        <v/>
      </c>
      <c r="R107" s="578"/>
      <c r="S107" s="579" t="str">
        <f>IF($A107="","",_xll.BDP($A107&amp;" EQUITY",DataH!$C$23, "BEST_FPERIOD_OVERRIDE", MID(DataH!H$22, 3, 2)&amp;"BC", "EQY_CONSOLIDATED", DataH!$D$18)*DataH!$D$23)</f>
        <v/>
      </c>
      <c r="T107" s="580" t="str">
        <f>IF($A107="","",_xll.BDP($A107&amp;" EQUITY",DataH!$C$23, "BEST_FPERIOD_OVERRIDE", MID(DataH!I$22, 3, 2)&amp;"BC", "EQY_CONSOLIDATED", DataH!$D$18)*DataH!$D$23)</f>
        <v/>
      </c>
      <c r="U107" s="580" t="str">
        <f>IF($A107="","",_xll.BDP($A107&amp;" EQUITY",DataH!$C$23,"BEST_FPERIOD_OVERRIDE",MID(DataH!J$22,3,2)&amp;"BC","EQY_CONSOLIDATED",DataH!$D$18)*DataH!$D$23)</f>
        <v/>
      </c>
      <c r="V107" s="580" t="str">
        <f>IF($A107="","",_xll.BDP($A107&amp;" EQUITY",DataH!$C$23, "BEST_FPERIOD_OVERRIDE", MID(DataH!K$22, 3, 2)&amp;"BC", "EQY_CONSOLIDATED", DataH!$D$18)*DataH!$D$23)</f>
        <v/>
      </c>
      <c r="W107" s="581" t="str">
        <f>IF($A107="","",_xll.BDP($A107&amp;" EQUITY",DataH!$C$23, "BEST_FPERIOD_OVERRIDE", MID(DataH!L$22, 3, 2)&amp;"BC", "EQY_CONSOLIDATED", DataH!$D$18)*DataH!$D$23)</f>
        <v/>
      </c>
      <c r="X107" s="582" t="str">
        <f>IF($A107="","",_xll.BDP($A107&amp;" EQUITY",DataH!$C$23, "BEST_FPERIOD_OVERRIDE", MID(DataH!M$22, 3, 2)&amp;"BC", "EQY_CONSOLIDATED", DataH!$D$18)*DataH!$D$23)</f>
        <v/>
      </c>
      <c r="Y107" s="583" t="str">
        <f>IF($A107="","",_xll.BDP($A106&amp;" EQUITY",DataH!$C$23, "BEST_FPERIOD_OVERRIDE", MID(DataH!N$22, 3, 2)&amp;"BC", "EQY_CONSOLIDATED", DataH!$D$18)*DataH!$D$23)</f>
        <v/>
      </c>
      <c r="AC107" s="5" t="e">
        <f>IF(YEAR(_xll.BToday())-YEAR(_xll.BDP($A107 &amp;" EQUITY", "EQY_FISCAL_YR_END"))&gt;=2, YEAR(_xll.BToday())-1, YEAR(_xll.BToday()))</f>
        <v>#N/A</v>
      </c>
    </row>
    <row r="108" spans="1:29" ht="15" customHeight="1">
      <c r="A108" s="164" t="str">
        <f>IF(C108&lt;&gt;"", IF(ISNUMBER(FIND("EQUITY", UPPER(C108), 1)), _xll.BDP(C108, "TICKER_AND_EXCH_CODE"), C108), "")</f>
        <v/>
      </c>
      <c r="C108" s="589"/>
      <c r="D108" s="568"/>
      <c r="E108" s="763" t="str">
        <f>IF(A108="","",IF(Lang="English",_xll.BDP(A108&amp;" EQUITY","NAME"),IF(Lang="中文",_xll.BDP(A108&amp;" EQUITY","NAME_CHINESE_TRADITIONAL"),_xll.BDP(A108&amp;" EQUITY","NAME_KANJI"))))</f>
        <v/>
      </c>
      <c r="F108" s="764"/>
      <c r="G108" s="765"/>
      <c r="H108" s="763" t="str">
        <f>IF(A108="", "", _xll.BDP(A108 &amp; " EQUITY", "GICS_SUB_INDUSTRY_NAME"))</f>
        <v/>
      </c>
      <c r="I108" s="764"/>
      <c r="J108" s="765"/>
      <c r="K108" s="509" t="str">
        <f>IF($A108="", "", _xll.BDP($A108 &amp; " EQUITY", "CRNCY"))</f>
        <v/>
      </c>
      <c r="L108" s="276"/>
      <c r="M108" s="277" t="str">
        <f>IF(OR($A108="", ISERROR(_xll.BDP($A108 &amp; " EQUITY", "CRNCY_ADJ_MKT_CAP")*1)), "", _xll.BDP($A108 &amp; " EQUITY", "CRNCY_ADJ_MKT_CAP"))</f>
        <v/>
      </c>
      <c r="N108" s="278" t="str">
        <f>IF(OR($A108="", ISERROR(_xll.BDP($A108 &amp; " EQUITY", "CRNCY_ADJ_MKT_CAP", "EQY_FUND_CRNCY", CURRENCY)*1)), "", _xll.BDP($A108 &amp; " EQUITY", "CRNCY_ADJ_MKT_CAP", "EQY_FUND_CRNCY", CURRENCY))</f>
        <v/>
      </c>
      <c r="O108" s="146"/>
      <c r="P108" s="279" t="str">
        <f>IF($A108="","",_xll.BDP($A108 &amp;" EQUITY", "CUST_TRR_RETURN_HOLDING_PER", "CUST_TRR_START_DT", DataH!$F$22, "CUST_TRR_END_DT", DataH!$F$21, "CUST_TRR_CRNCY", CURRENCY)/100)</f>
        <v/>
      </c>
      <c r="Q108" s="102" t="str">
        <f>IF($A108="","",_xll.BDP($A108&amp;" EQUITY","CUST_TRR_RETURN_HOLDING_PER","CUST_TRR_START_DT",DataH!$G$22,"CUST_TRR_END_DT",DataH!$F$21,"CUST_TRR_CRNCY",CURRENCY)/100)</f>
        <v/>
      </c>
      <c r="R108" s="216"/>
      <c r="S108" s="280" t="str">
        <f>IF($A108="","",_xll.BDP($A108&amp;" EQUITY",DataH!$C$23, "BEST_FPERIOD_OVERRIDE", MID(DataH!H$22, 3, 2)&amp;"BC", "EQY_CONSOLIDATED", DataH!$D$18)*DataH!$D$23)</f>
        <v/>
      </c>
      <c r="T108" s="127" t="str">
        <f>IF($A108="","",_xll.BDP($A108&amp;" EQUITY",DataH!$C$23, "BEST_FPERIOD_OVERRIDE", MID(DataH!I$22, 3, 2)&amp;"BC", "EQY_CONSOLIDATED", DataH!$D$18)*DataH!$D$23)</f>
        <v/>
      </c>
      <c r="U108" s="127" t="str">
        <f>IF($A108="","",_xll.BDP($A108&amp;" EQUITY",DataH!$C$23,"BEST_FPERIOD_OVERRIDE",MID(DataH!J$22,3,2)&amp;"BC","EQY_CONSOLIDATED",DataH!$D$18)*DataH!$D$23)</f>
        <v/>
      </c>
      <c r="V108" s="127" t="str">
        <f>IF($A108="","",_xll.BDP($A108&amp;" EQUITY",DataH!$C$23, "BEST_FPERIOD_OVERRIDE", MID(DataH!K$22, 3, 2)&amp;"BC", "EQY_CONSOLIDATED", DataH!$D$18)*DataH!$D$23)</f>
        <v/>
      </c>
      <c r="W108" s="494" t="str">
        <f>IF($A108="","",_xll.BDP($A108&amp;" EQUITY",DataH!$C$23, "BEST_FPERIOD_OVERRIDE", MID(DataH!L$22, 3, 2)&amp;"BC", "EQY_CONSOLIDATED", DataH!$D$18)*DataH!$D$23)</f>
        <v/>
      </c>
      <c r="X108" s="256" t="str">
        <f>IF($A108="","",_xll.BDP($A108&amp;" EQUITY",DataH!$C$23, "BEST_FPERIOD_OVERRIDE", MID(DataH!M$22, 3, 2)&amp;"BC", "EQY_CONSOLIDATED", DataH!$D$18)*DataH!$D$23)</f>
        <v/>
      </c>
      <c r="Y108" s="257" t="str">
        <f>IF($A108="","",_xll.BDP($A107&amp;" EQUITY",DataH!$C$23, "BEST_FPERIOD_OVERRIDE", MID(DataH!N$22, 3, 2)&amp;"BC", "EQY_CONSOLIDATED", DataH!$D$18)*DataH!$D$23)</f>
        <v/>
      </c>
      <c r="AC108" s="5" t="e">
        <f>IF(YEAR(_xll.BToday())-YEAR(_xll.BDP($A108 &amp;" EQUITY", "EQY_FISCAL_YR_END"))&gt;=2, YEAR(_xll.BToday())-1, YEAR(_xll.BToday()))</f>
        <v>#N/A</v>
      </c>
    </row>
    <row r="109" spans="1:29" ht="15" customHeight="1">
      <c r="A109" s="164" t="str">
        <f>IF(C109&lt;&gt;"", IF(ISNUMBER(FIND("EQUITY", UPPER(C109), 1)), _xll.BDP(C109, "TICKER_AND_EXCH_CODE"), C109), "")</f>
        <v/>
      </c>
      <c r="C109" s="590"/>
      <c r="D109" s="571"/>
      <c r="E109" s="780" t="str">
        <f>IF(A109="","",IF(Lang="English",_xll.BDP(A109&amp;" EQUITY","NAME"),IF(Lang="中文",_xll.BDP(A109&amp;" EQUITY","NAME_CHINESE_TRADITIONAL"),_xll.BDP(A109&amp;" EQUITY","NAME_KANJI"))))</f>
        <v/>
      </c>
      <c r="F109" s="781"/>
      <c r="G109" s="782"/>
      <c r="H109" s="780" t="str">
        <f>IF(A109="", "", _xll.BDP(A109 &amp; " EQUITY", "GICS_SUB_INDUSTRY_NAME"))</f>
        <v/>
      </c>
      <c r="I109" s="781"/>
      <c r="J109" s="782"/>
      <c r="K109" s="572" t="str">
        <f>IF($A109="", "", _xll.BDP($A109 &amp; " EQUITY", "CRNCY"))</f>
        <v/>
      </c>
      <c r="L109" s="573"/>
      <c r="M109" s="574" t="str">
        <f>IF(OR($A109="", ISERROR(_xll.BDP($A109 &amp; " EQUITY", "CRNCY_ADJ_MKT_CAP")*1)), "", _xll.BDP($A109 &amp; " EQUITY", "CRNCY_ADJ_MKT_CAP"))</f>
        <v/>
      </c>
      <c r="N109" s="575" t="str">
        <f>IF(OR($A109="", ISERROR(_xll.BDP($A109 &amp; " EQUITY", "CRNCY_ADJ_MKT_CAP", "EQY_FUND_CRNCY", CURRENCY)*1)), "", _xll.BDP($A109 &amp; " EQUITY", "CRNCY_ADJ_MKT_CAP", "EQY_FUND_CRNCY", CURRENCY))</f>
        <v/>
      </c>
      <c r="O109" s="146"/>
      <c r="P109" s="576" t="str">
        <f>IF($A109="","",_xll.BDP($A109 &amp;" EQUITY", "CUST_TRR_RETURN_HOLDING_PER", "CUST_TRR_START_DT", DataH!$F$22, "CUST_TRR_END_DT", DataH!$F$21, "CUST_TRR_CRNCY", CURRENCY)/100)</f>
        <v/>
      </c>
      <c r="Q109" s="577" t="str">
        <f>IF($A109="","",_xll.BDP($A109&amp;" EQUITY","CUST_TRR_RETURN_HOLDING_PER","CUST_TRR_START_DT",DataH!$G$22,"CUST_TRR_END_DT",DataH!$F$21,"CUST_TRR_CRNCY",CURRENCY)/100)</f>
        <v/>
      </c>
      <c r="R109" s="578"/>
      <c r="S109" s="579" t="str">
        <f>IF($A109="","",_xll.BDP($A109&amp;" EQUITY",DataH!$C$23, "BEST_FPERIOD_OVERRIDE", MID(DataH!H$22, 3, 2)&amp;"BC", "EQY_CONSOLIDATED", DataH!$D$18)*DataH!$D$23)</f>
        <v/>
      </c>
      <c r="T109" s="580" t="str">
        <f>IF($A109="","",_xll.BDP($A109&amp;" EQUITY",DataH!$C$23, "BEST_FPERIOD_OVERRIDE", MID(DataH!I$22, 3, 2)&amp;"BC", "EQY_CONSOLIDATED", DataH!$D$18)*DataH!$D$23)</f>
        <v/>
      </c>
      <c r="U109" s="580" t="str">
        <f>IF($A109="","",_xll.BDP($A109&amp;" EQUITY",DataH!$C$23,"BEST_FPERIOD_OVERRIDE",MID(DataH!J$22,3,2)&amp;"BC","EQY_CONSOLIDATED",DataH!$D$18)*DataH!$D$23)</f>
        <v/>
      </c>
      <c r="V109" s="580" t="str">
        <f>IF($A109="","",_xll.BDP($A109&amp;" EQUITY",DataH!$C$23, "BEST_FPERIOD_OVERRIDE", MID(DataH!K$22, 3, 2)&amp;"BC", "EQY_CONSOLIDATED", DataH!$D$18)*DataH!$D$23)</f>
        <v/>
      </c>
      <c r="W109" s="581" t="str">
        <f>IF($A109="","",_xll.BDP($A109&amp;" EQUITY",DataH!$C$23, "BEST_FPERIOD_OVERRIDE", MID(DataH!L$22, 3, 2)&amp;"BC", "EQY_CONSOLIDATED", DataH!$D$18)*DataH!$D$23)</f>
        <v/>
      </c>
      <c r="X109" s="582" t="str">
        <f>IF($A109="","",_xll.BDP($A109&amp;" EQUITY",DataH!$C$23, "BEST_FPERIOD_OVERRIDE", MID(DataH!M$22, 3, 2)&amp;"BC", "EQY_CONSOLIDATED", DataH!$D$18)*DataH!$D$23)</f>
        <v/>
      </c>
      <c r="Y109" s="583" t="str">
        <f>IF($A109="","",_xll.BDP($A108&amp;" EQUITY",DataH!$C$23, "BEST_FPERIOD_OVERRIDE", MID(DataH!N$22, 3, 2)&amp;"BC", "EQY_CONSOLIDATED", DataH!$D$18)*DataH!$D$23)</f>
        <v/>
      </c>
      <c r="AC109" s="5" t="e">
        <f>IF(YEAR(_xll.BToday())-YEAR(_xll.BDP($A109 &amp;" EQUITY", "EQY_FISCAL_YR_END"))&gt;=2, YEAR(_xll.BToday())-1, YEAR(_xll.BToday()))</f>
        <v>#N/A</v>
      </c>
    </row>
    <row r="110" spans="1:29" ht="15" customHeight="1">
      <c r="A110" s="164" t="str">
        <f>IF(C110&lt;&gt;"", IF(ISNUMBER(FIND("EQUITY", UPPER(C110), 1)), _xll.BDP(C110, "TICKER_AND_EXCH_CODE"), C110), "")</f>
        <v/>
      </c>
      <c r="C110" s="589"/>
      <c r="D110" s="568"/>
      <c r="E110" s="763" t="str">
        <f>IF(A110="","",IF(Lang="English",_xll.BDP(A110&amp;" EQUITY","NAME"),IF(Lang="中文",_xll.BDP(A110&amp;" EQUITY","NAME_CHINESE_TRADITIONAL"),_xll.BDP(A110&amp;" EQUITY","NAME_KANJI"))))</f>
        <v/>
      </c>
      <c r="F110" s="764"/>
      <c r="G110" s="765"/>
      <c r="H110" s="763" t="str">
        <f>IF(A110="", "", _xll.BDP(A110 &amp; " EQUITY", "GICS_SUB_INDUSTRY_NAME"))</f>
        <v/>
      </c>
      <c r="I110" s="764"/>
      <c r="J110" s="765"/>
      <c r="K110" s="509" t="str">
        <f>IF($A110="", "", _xll.BDP($A110 &amp; " EQUITY", "CRNCY"))</f>
        <v/>
      </c>
      <c r="L110" s="276"/>
      <c r="M110" s="277" t="str">
        <f>IF(OR($A110="", ISERROR(_xll.BDP($A110 &amp; " EQUITY", "CRNCY_ADJ_MKT_CAP")*1)), "", _xll.BDP($A110 &amp; " EQUITY", "CRNCY_ADJ_MKT_CAP"))</f>
        <v/>
      </c>
      <c r="N110" s="278" t="str">
        <f>IF(OR($A110="", ISERROR(_xll.BDP($A110 &amp; " EQUITY", "CRNCY_ADJ_MKT_CAP", "EQY_FUND_CRNCY", CURRENCY)*1)), "", _xll.BDP($A110 &amp; " EQUITY", "CRNCY_ADJ_MKT_CAP", "EQY_FUND_CRNCY", CURRENCY))</f>
        <v/>
      </c>
      <c r="O110" s="146"/>
      <c r="P110" s="279" t="str">
        <f>IF($A110="","",_xll.BDP($A110 &amp;" EQUITY", "CUST_TRR_RETURN_HOLDING_PER", "CUST_TRR_START_DT", DataH!$F$22, "CUST_TRR_END_DT", DataH!$F$21, "CUST_TRR_CRNCY", CURRENCY)/100)</f>
        <v/>
      </c>
      <c r="Q110" s="102" t="str">
        <f>IF($A110="","",_xll.BDP($A110&amp;" EQUITY","CUST_TRR_RETURN_HOLDING_PER","CUST_TRR_START_DT",DataH!$G$22,"CUST_TRR_END_DT",DataH!$F$21,"CUST_TRR_CRNCY",CURRENCY)/100)</f>
        <v/>
      </c>
      <c r="R110" s="216"/>
      <c r="S110" s="280" t="str">
        <f>IF($A110="","",_xll.BDP($A110&amp;" EQUITY",DataH!$C$23, "BEST_FPERIOD_OVERRIDE", MID(DataH!H$22, 3, 2)&amp;"BC", "EQY_CONSOLIDATED", DataH!$D$18)*DataH!$D$23)</f>
        <v/>
      </c>
      <c r="T110" s="127" t="str">
        <f>IF($A110="","",_xll.BDP($A110&amp;" EQUITY",DataH!$C$23, "BEST_FPERIOD_OVERRIDE", MID(DataH!I$22, 3, 2)&amp;"BC", "EQY_CONSOLIDATED", DataH!$D$18)*DataH!$D$23)</f>
        <v/>
      </c>
      <c r="U110" s="127" t="str">
        <f>IF($A110="","",_xll.BDP($A110&amp;" EQUITY",DataH!$C$23,"BEST_FPERIOD_OVERRIDE",MID(DataH!J$22,3,2)&amp;"BC","EQY_CONSOLIDATED",DataH!$D$18)*DataH!$D$23)</f>
        <v/>
      </c>
      <c r="V110" s="127" t="str">
        <f>IF($A110="","",_xll.BDP($A110&amp;" EQUITY",DataH!$C$23, "BEST_FPERIOD_OVERRIDE", MID(DataH!K$22, 3, 2)&amp;"BC", "EQY_CONSOLIDATED", DataH!$D$18)*DataH!$D$23)</f>
        <v/>
      </c>
      <c r="W110" s="494" t="str">
        <f>IF($A110="","",_xll.BDP($A110&amp;" EQUITY",DataH!$C$23, "BEST_FPERIOD_OVERRIDE", MID(DataH!L$22, 3, 2)&amp;"BC", "EQY_CONSOLIDATED", DataH!$D$18)*DataH!$D$23)</f>
        <v/>
      </c>
      <c r="X110" s="256" t="str">
        <f>IF($A110="","",_xll.BDP($A110&amp;" EQUITY",DataH!$C$23, "BEST_FPERIOD_OVERRIDE", MID(DataH!M$22, 3, 2)&amp;"BC", "EQY_CONSOLIDATED", DataH!$D$18)*DataH!$D$23)</f>
        <v/>
      </c>
      <c r="Y110" s="257" t="str">
        <f>IF($A110="","",_xll.BDP($A109&amp;" EQUITY",DataH!$C$23, "BEST_FPERIOD_OVERRIDE", MID(DataH!N$22, 3, 2)&amp;"BC", "EQY_CONSOLIDATED", DataH!$D$18)*DataH!$D$23)</f>
        <v/>
      </c>
      <c r="AC110" s="5" t="e">
        <f>IF(YEAR(_xll.BToday())-YEAR(_xll.BDP($A110 &amp;" EQUITY", "EQY_FISCAL_YR_END"))&gt;=2, YEAR(_xll.BToday())-1, YEAR(_xll.BToday()))</f>
        <v>#N/A</v>
      </c>
    </row>
    <row r="111" spans="1:29" ht="15" customHeight="1">
      <c r="A111" s="164" t="str">
        <f>IF(C111&lt;&gt;"", IF(ISNUMBER(FIND("EQUITY", UPPER(C111), 1)), _xll.BDP(C111, "TICKER_AND_EXCH_CODE"), C111), "")</f>
        <v/>
      </c>
      <c r="C111" s="590"/>
      <c r="D111" s="571"/>
      <c r="E111" s="780" t="str">
        <f>IF(A111="","",IF(Lang="English",_xll.BDP(A111&amp;" EQUITY","NAME"),IF(Lang="中文",_xll.BDP(A111&amp;" EQUITY","NAME_CHINESE_TRADITIONAL"),_xll.BDP(A111&amp;" EQUITY","NAME_KANJI"))))</f>
        <v/>
      </c>
      <c r="F111" s="781"/>
      <c r="G111" s="782"/>
      <c r="H111" s="780" t="str">
        <f>IF(A111="", "", _xll.BDP(A111 &amp; " EQUITY", "GICS_SUB_INDUSTRY_NAME"))</f>
        <v/>
      </c>
      <c r="I111" s="781"/>
      <c r="J111" s="782"/>
      <c r="K111" s="572" t="str">
        <f>IF($A111="", "", _xll.BDP($A111 &amp; " EQUITY", "CRNCY"))</f>
        <v/>
      </c>
      <c r="L111" s="573"/>
      <c r="M111" s="574" t="str">
        <f>IF(OR($A111="", ISERROR(_xll.BDP($A111 &amp; " EQUITY", "CRNCY_ADJ_MKT_CAP")*1)), "", _xll.BDP($A111 &amp; " EQUITY", "CRNCY_ADJ_MKT_CAP"))</f>
        <v/>
      </c>
      <c r="N111" s="575" t="str">
        <f>IF(OR($A111="", ISERROR(_xll.BDP($A111 &amp; " EQUITY", "CRNCY_ADJ_MKT_CAP", "EQY_FUND_CRNCY", CURRENCY)*1)), "", _xll.BDP($A111 &amp; " EQUITY", "CRNCY_ADJ_MKT_CAP", "EQY_FUND_CRNCY", CURRENCY))</f>
        <v/>
      </c>
      <c r="O111" s="146"/>
      <c r="P111" s="576" t="str">
        <f>IF($A111="","",_xll.BDP($A111 &amp;" EQUITY", "CUST_TRR_RETURN_HOLDING_PER", "CUST_TRR_START_DT", DataH!$F$22, "CUST_TRR_END_DT", DataH!$F$21, "CUST_TRR_CRNCY", CURRENCY)/100)</f>
        <v/>
      </c>
      <c r="Q111" s="577" t="str">
        <f>IF($A111="","",_xll.BDP($A111&amp;" EQUITY","CUST_TRR_RETURN_HOLDING_PER","CUST_TRR_START_DT",DataH!$G$22,"CUST_TRR_END_DT",DataH!$F$21,"CUST_TRR_CRNCY",CURRENCY)/100)</f>
        <v/>
      </c>
      <c r="R111" s="578"/>
      <c r="S111" s="579" t="str">
        <f>IF($A111="","",_xll.BDP($A111&amp;" EQUITY",DataH!$C$23, "BEST_FPERIOD_OVERRIDE", MID(DataH!H$22, 3, 2)&amp;"BC", "EQY_CONSOLIDATED", DataH!$D$18)*DataH!$D$23)</f>
        <v/>
      </c>
      <c r="T111" s="580" t="str">
        <f>IF($A111="","",_xll.BDP($A111&amp;" EQUITY",DataH!$C$23, "BEST_FPERIOD_OVERRIDE", MID(DataH!I$22, 3, 2)&amp;"BC", "EQY_CONSOLIDATED", DataH!$D$18)*DataH!$D$23)</f>
        <v/>
      </c>
      <c r="U111" s="580" t="str">
        <f>IF($A111="","",_xll.BDP($A111&amp;" EQUITY",DataH!$C$23,"BEST_FPERIOD_OVERRIDE",MID(DataH!J$22,3,2)&amp;"BC","EQY_CONSOLIDATED",DataH!$D$18)*DataH!$D$23)</f>
        <v/>
      </c>
      <c r="V111" s="580" t="str">
        <f>IF($A111="","",_xll.BDP($A111&amp;" EQUITY",DataH!$C$23, "BEST_FPERIOD_OVERRIDE", MID(DataH!K$22, 3, 2)&amp;"BC", "EQY_CONSOLIDATED", DataH!$D$18)*DataH!$D$23)</f>
        <v/>
      </c>
      <c r="W111" s="581" t="str">
        <f>IF($A111="","",_xll.BDP($A111&amp;" EQUITY",DataH!$C$23, "BEST_FPERIOD_OVERRIDE", MID(DataH!L$22, 3, 2)&amp;"BC", "EQY_CONSOLIDATED", DataH!$D$18)*DataH!$D$23)</f>
        <v/>
      </c>
      <c r="X111" s="582" t="str">
        <f>IF($A111="","",_xll.BDP($A111&amp;" EQUITY",DataH!$C$23, "BEST_FPERIOD_OVERRIDE", MID(DataH!M$22, 3, 2)&amp;"BC", "EQY_CONSOLIDATED", DataH!$D$18)*DataH!$D$23)</f>
        <v/>
      </c>
      <c r="Y111" s="583" t="str">
        <f>IF($A111="","",_xll.BDP($A110&amp;" EQUITY",DataH!$C$23, "BEST_FPERIOD_OVERRIDE", MID(DataH!N$22, 3, 2)&amp;"BC", "EQY_CONSOLIDATED", DataH!$D$18)*DataH!$D$23)</f>
        <v/>
      </c>
      <c r="AC111" s="5" t="e">
        <f>IF(YEAR(_xll.BToday())-YEAR(_xll.BDP($A111 &amp;" EQUITY", "EQY_FISCAL_YR_END"))&gt;=2, YEAR(_xll.BToday())-1, YEAR(_xll.BToday()))</f>
        <v>#N/A</v>
      </c>
    </row>
    <row r="112" spans="1:29" ht="15" customHeight="1">
      <c r="A112" s="164" t="str">
        <f>IF(C112&lt;&gt;"", IF(ISNUMBER(FIND("EQUITY", UPPER(C112), 1)), _xll.BDP(C112, "TICKER_AND_EXCH_CODE"), C112), "")</f>
        <v/>
      </c>
      <c r="C112" s="589"/>
      <c r="D112" s="568"/>
      <c r="E112" s="763" t="str">
        <f>IF(A112="","",IF(Lang="English",_xll.BDP(A112&amp;" EQUITY","NAME"),IF(Lang="中文",_xll.BDP(A112&amp;" EQUITY","NAME_CHINESE_TRADITIONAL"),_xll.BDP(A112&amp;" EQUITY","NAME_KANJI"))))</f>
        <v/>
      </c>
      <c r="F112" s="764"/>
      <c r="G112" s="765"/>
      <c r="H112" s="763" t="str">
        <f>IF(A112="", "", _xll.BDP(A112 &amp; " EQUITY", "GICS_SUB_INDUSTRY_NAME"))</f>
        <v/>
      </c>
      <c r="I112" s="764"/>
      <c r="J112" s="765"/>
      <c r="K112" s="509" t="str">
        <f>IF($A112="", "", _xll.BDP($A112 &amp; " EQUITY", "CRNCY"))</f>
        <v/>
      </c>
      <c r="L112" s="276"/>
      <c r="M112" s="277" t="str">
        <f>IF(OR($A112="", ISERROR(_xll.BDP($A112 &amp; " EQUITY", "CRNCY_ADJ_MKT_CAP")*1)), "", _xll.BDP($A112 &amp; " EQUITY", "CRNCY_ADJ_MKT_CAP"))</f>
        <v/>
      </c>
      <c r="N112" s="278" t="str">
        <f>IF(OR($A112="", ISERROR(_xll.BDP($A112 &amp; " EQUITY", "CRNCY_ADJ_MKT_CAP", "EQY_FUND_CRNCY", CURRENCY)*1)), "", _xll.BDP($A112 &amp; " EQUITY", "CRNCY_ADJ_MKT_CAP", "EQY_FUND_CRNCY", CURRENCY))</f>
        <v/>
      </c>
      <c r="O112" s="146"/>
      <c r="P112" s="279" t="str">
        <f>IF($A112="","",_xll.BDP($A112 &amp;" EQUITY", "CUST_TRR_RETURN_HOLDING_PER", "CUST_TRR_START_DT", DataH!$F$22, "CUST_TRR_END_DT", DataH!$F$21, "CUST_TRR_CRNCY", CURRENCY)/100)</f>
        <v/>
      </c>
      <c r="Q112" s="102" t="str">
        <f>IF($A112="","",_xll.BDP($A112&amp;" EQUITY","CUST_TRR_RETURN_HOLDING_PER","CUST_TRR_START_DT",DataH!$G$22,"CUST_TRR_END_DT",DataH!$F$21,"CUST_TRR_CRNCY",CURRENCY)/100)</f>
        <v/>
      </c>
      <c r="R112" s="216"/>
      <c r="S112" s="280" t="str">
        <f>IF($A112="","",_xll.BDP($A112&amp;" EQUITY",DataH!$C$23, "BEST_FPERIOD_OVERRIDE", MID(DataH!H$22, 3, 2)&amp;"BC", "EQY_CONSOLIDATED", DataH!$D$18)*DataH!$D$23)</f>
        <v/>
      </c>
      <c r="T112" s="127" t="str">
        <f>IF($A112="","",_xll.BDP($A112&amp;" EQUITY",DataH!$C$23, "BEST_FPERIOD_OVERRIDE", MID(DataH!I$22, 3, 2)&amp;"BC", "EQY_CONSOLIDATED", DataH!$D$18)*DataH!$D$23)</f>
        <v/>
      </c>
      <c r="U112" s="127" t="str">
        <f>IF($A112="","",_xll.BDP($A112&amp;" EQUITY",DataH!$C$23,"BEST_FPERIOD_OVERRIDE",MID(DataH!J$22,3,2)&amp;"BC","EQY_CONSOLIDATED",DataH!$D$18)*DataH!$D$23)</f>
        <v/>
      </c>
      <c r="V112" s="127" t="str">
        <f>IF($A112="","",_xll.BDP($A112&amp;" EQUITY",DataH!$C$23, "BEST_FPERIOD_OVERRIDE", MID(DataH!K$22, 3, 2)&amp;"BC", "EQY_CONSOLIDATED", DataH!$D$18)*DataH!$D$23)</f>
        <v/>
      </c>
      <c r="W112" s="494" t="str">
        <f>IF($A112="","",_xll.BDP($A112&amp;" EQUITY",DataH!$C$23, "BEST_FPERIOD_OVERRIDE", MID(DataH!L$22, 3, 2)&amp;"BC", "EQY_CONSOLIDATED", DataH!$D$18)*DataH!$D$23)</f>
        <v/>
      </c>
      <c r="X112" s="256" t="str">
        <f>IF($A112="","",_xll.BDP($A112&amp;" EQUITY",DataH!$C$23, "BEST_FPERIOD_OVERRIDE", MID(DataH!M$22, 3, 2)&amp;"BC", "EQY_CONSOLIDATED", DataH!$D$18)*DataH!$D$23)</f>
        <v/>
      </c>
      <c r="Y112" s="257" t="str">
        <f>IF($A112="","",_xll.BDP($A111&amp;" EQUITY",DataH!$C$23, "BEST_FPERIOD_OVERRIDE", MID(DataH!N$22, 3, 2)&amp;"BC", "EQY_CONSOLIDATED", DataH!$D$18)*DataH!$D$23)</f>
        <v/>
      </c>
      <c r="AC112" s="5" t="e">
        <f>IF(YEAR(_xll.BToday())-YEAR(_xll.BDP($A112 &amp;" EQUITY", "EQY_FISCAL_YR_END"))&gt;=2, YEAR(_xll.BToday())-1, YEAR(_xll.BToday()))</f>
        <v>#N/A</v>
      </c>
    </row>
    <row r="113" spans="1:29" ht="15" customHeight="1">
      <c r="A113" s="164" t="str">
        <f>IF(C113&lt;&gt;"", IF(ISNUMBER(FIND("EQUITY", UPPER(C113), 1)), _xll.BDP(C113, "TICKER_AND_EXCH_CODE"), C113), "")</f>
        <v/>
      </c>
      <c r="C113" s="590"/>
      <c r="D113" s="571"/>
      <c r="E113" s="780" t="str">
        <f>IF(A113="","",IF(Lang="English",_xll.BDP(A113&amp;" EQUITY","NAME"),IF(Lang="中文",_xll.BDP(A113&amp;" EQUITY","NAME_CHINESE_TRADITIONAL"),_xll.BDP(A113&amp;" EQUITY","NAME_KANJI"))))</f>
        <v/>
      </c>
      <c r="F113" s="781"/>
      <c r="G113" s="782"/>
      <c r="H113" s="780" t="str">
        <f>IF(A113="", "", _xll.BDP(A113 &amp; " EQUITY", "GICS_SUB_INDUSTRY_NAME"))</f>
        <v/>
      </c>
      <c r="I113" s="781"/>
      <c r="J113" s="782"/>
      <c r="K113" s="572" t="str">
        <f>IF($A113="", "", _xll.BDP($A113 &amp; " EQUITY", "CRNCY"))</f>
        <v/>
      </c>
      <c r="L113" s="573"/>
      <c r="M113" s="574" t="str">
        <f>IF(OR($A113="", ISERROR(_xll.BDP($A113 &amp; " EQUITY", "CRNCY_ADJ_MKT_CAP")*1)), "", _xll.BDP($A113 &amp; " EQUITY", "CRNCY_ADJ_MKT_CAP"))</f>
        <v/>
      </c>
      <c r="N113" s="575" t="str">
        <f>IF(OR($A113="", ISERROR(_xll.BDP($A113 &amp; " EQUITY", "CRNCY_ADJ_MKT_CAP", "EQY_FUND_CRNCY", CURRENCY)*1)), "", _xll.BDP($A113 &amp; " EQUITY", "CRNCY_ADJ_MKT_CAP", "EQY_FUND_CRNCY", CURRENCY))</f>
        <v/>
      </c>
      <c r="O113" s="146"/>
      <c r="P113" s="576" t="str">
        <f>IF($A113="","",_xll.BDP($A113 &amp;" EQUITY", "CUST_TRR_RETURN_HOLDING_PER", "CUST_TRR_START_DT", DataH!$F$22, "CUST_TRR_END_DT", DataH!$F$21, "CUST_TRR_CRNCY", CURRENCY)/100)</f>
        <v/>
      </c>
      <c r="Q113" s="577" t="str">
        <f>IF($A113="","",_xll.BDP($A113&amp;" EQUITY","CUST_TRR_RETURN_HOLDING_PER","CUST_TRR_START_DT",DataH!$G$22,"CUST_TRR_END_DT",DataH!$F$21,"CUST_TRR_CRNCY",CURRENCY)/100)</f>
        <v/>
      </c>
      <c r="R113" s="578"/>
      <c r="S113" s="579" t="str">
        <f>IF($A113="","",_xll.BDP($A113&amp;" EQUITY",DataH!$C$23, "BEST_FPERIOD_OVERRIDE", MID(DataH!H$22, 3, 2)&amp;"BC", "EQY_CONSOLIDATED", DataH!$D$18)*DataH!$D$23)</f>
        <v/>
      </c>
      <c r="T113" s="580" t="str">
        <f>IF($A113="","",_xll.BDP($A113&amp;" EQUITY",DataH!$C$23, "BEST_FPERIOD_OVERRIDE", MID(DataH!I$22, 3, 2)&amp;"BC", "EQY_CONSOLIDATED", DataH!$D$18)*DataH!$D$23)</f>
        <v/>
      </c>
      <c r="U113" s="580" t="str">
        <f>IF($A113="","",_xll.BDP($A113&amp;" EQUITY",DataH!$C$23,"BEST_FPERIOD_OVERRIDE",MID(DataH!J$22,3,2)&amp;"BC","EQY_CONSOLIDATED",DataH!$D$18)*DataH!$D$23)</f>
        <v/>
      </c>
      <c r="V113" s="580" t="str">
        <f>IF($A113="","",_xll.BDP($A113&amp;" EQUITY",DataH!$C$23, "BEST_FPERIOD_OVERRIDE", MID(DataH!K$22, 3, 2)&amp;"BC", "EQY_CONSOLIDATED", DataH!$D$18)*DataH!$D$23)</f>
        <v/>
      </c>
      <c r="W113" s="581" t="str">
        <f>IF($A113="","",_xll.BDP($A113&amp;" EQUITY",DataH!$C$23, "BEST_FPERIOD_OVERRIDE", MID(DataH!L$22, 3, 2)&amp;"BC", "EQY_CONSOLIDATED", DataH!$D$18)*DataH!$D$23)</f>
        <v/>
      </c>
      <c r="X113" s="582" t="str">
        <f>IF($A113="","",_xll.BDP($A113&amp;" EQUITY",DataH!$C$23, "BEST_FPERIOD_OVERRIDE", MID(DataH!M$22, 3, 2)&amp;"BC", "EQY_CONSOLIDATED", DataH!$D$18)*DataH!$D$23)</f>
        <v/>
      </c>
      <c r="Y113" s="583" t="str">
        <f>IF($A113="","",_xll.BDP($A112&amp;" EQUITY",DataH!$C$23, "BEST_FPERIOD_OVERRIDE", MID(DataH!N$22, 3, 2)&amp;"BC", "EQY_CONSOLIDATED", DataH!$D$18)*DataH!$D$23)</f>
        <v/>
      </c>
      <c r="AC113" s="5" t="e">
        <f>IF(YEAR(_xll.BToday())-YEAR(_xll.BDP($A113 &amp;" EQUITY", "EQY_FISCAL_YR_END"))&gt;=2, YEAR(_xll.BToday())-1, YEAR(_xll.BToday()))</f>
        <v>#N/A</v>
      </c>
    </row>
    <row r="114" spans="1:29" ht="15" customHeight="1">
      <c r="A114" s="164" t="str">
        <f>IF(C114&lt;&gt;"", IF(ISNUMBER(FIND("EQUITY", UPPER(C114), 1)), _xll.BDP(C114, "TICKER_AND_EXCH_CODE"), C114), "")</f>
        <v/>
      </c>
      <c r="C114" s="589"/>
      <c r="D114" s="568"/>
      <c r="E114" s="763" t="str">
        <f>IF(A114="","",IF(Lang="English",_xll.BDP(A114&amp;" EQUITY","NAME"),IF(Lang="中文",_xll.BDP(A114&amp;" EQUITY","NAME_CHINESE_TRADITIONAL"),_xll.BDP(A114&amp;" EQUITY","NAME_KANJI"))))</f>
        <v/>
      </c>
      <c r="F114" s="764"/>
      <c r="G114" s="765"/>
      <c r="H114" s="763" t="str">
        <f>IF(A114="", "", _xll.BDP(A114 &amp; " EQUITY", "GICS_SUB_INDUSTRY_NAME"))</f>
        <v/>
      </c>
      <c r="I114" s="764"/>
      <c r="J114" s="765"/>
      <c r="K114" s="509" t="str">
        <f>IF($A114="", "", _xll.BDP($A114 &amp; " EQUITY", "CRNCY"))</f>
        <v/>
      </c>
      <c r="L114" s="276"/>
      <c r="M114" s="277" t="str">
        <f>IF(OR($A114="", ISERROR(_xll.BDP($A114 &amp; " EQUITY", "CRNCY_ADJ_MKT_CAP")*1)), "", _xll.BDP($A114 &amp; " EQUITY", "CRNCY_ADJ_MKT_CAP"))</f>
        <v/>
      </c>
      <c r="N114" s="278" t="str">
        <f>IF(OR($A114="", ISERROR(_xll.BDP($A114 &amp; " EQUITY", "CRNCY_ADJ_MKT_CAP", "EQY_FUND_CRNCY", CURRENCY)*1)), "", _xll.BDP($A114 &amp; " EQUITY", "CRNCY_ADJ_MKT_CAP", "EQY_FUND_CRNCY", CURRENCY))</f>
        <v/>
      </c>
      <c r="O114" s="146"/>
      <c r="P114" s="279" t="str">
        <f>IF($A114="","",_xll.BDP($A114 &amp;" EQUITY", "CUST_TRR_RETURN_HOLDING_PER", "CUST_TRR_START_DT", DataH!$F$22, "CUST_TRR_END_DT", DataH!$F$21, "CUST_TRR_CRNCY", CURRENCY)/100)</f>
        <v/>
      </c>
      <c r="Q114" s="102" t="str">
        <f>IF($A114="","",_xll.BDP($A114&amp;" EQUITY","CUST_TRR_RETURN_HOLDING_PER","CUST_TRR_START_DT",DataH!$G$22,"CUST_TRR_END_DT",DataH!$F$21,"CUST_TRR_CRNCY",CURRENCY)/100)</f>
        <v/>
      </c>
      <c r="R114" s="216"/>
      <c r="S114" s="280" t="str">
        <f>IF($A114="","",_xll.BDP($A114&amp;" EQUITY",DataH!$C$23, "BEST_FPERIOD_OVERRIDE", MID(DataH!H$22, 3, 2)&amp;"BC", "EQY_CONSOLIDATED", DataH!$D$18)*DataH!$D$23)</f>
        <v/>
      </c>
      <c r="T114" s="127" t="str">
        <f>IF($A114="","",_xll.BDP($A114&amp;" EQUITY",DataH!$C$23, "BEST_FPERIOD_OVERRIDE", MID(DataH!I$22, 3, 2)&amp;"BC", "EQY_CONSOLIDATED", DataH!$D$18)*DataH!$D$23)</f>
        <v/>
      </c>
      <c r="U114" s="127" t="str">
        <f>IF($A114="","",_xll.BDP($A114&amp;" EQUITY",DataH!$C$23,"BEST_FPERIOD_OVERRIDE",MID(DataH!J$22,3,2)&amp;"BC","EQY_CONSOLIDATED",DataH!$D$18)*DataH!$D$23)</f>
        <v/>
      </c>
      <c r="V114" s="127" t="str">
        <f>IF($A114="","",_xll.BDP($A114&amp;" EQUITY",DataH!$C$23, "BEST_FPERIOD_OVERRIDE", MID(DataH!K$22, 3, 2)&amp;"BC", "EQY_CONSOLIDATED", DataH!$D$18)*DataH!$D$23)</f>
        <v/>
      </c>
      <c r="W114" s="494" t="str">
        <f>IF($A114="","",_xll.BDP($A114&amp;" EQUITY",DataH!$C$23, "BEST_FPERIOD_OVERRIDE", MID(DataH!L$22, 3, 2)&amp;"BC", "EQY_CONSOLIDATED", DataH!$D$18)*DataH!$D$23)</f>
        <v/>
      </c>
      <c r="X114" s="256" t="str">
        <f>IF($A114="","",_xll.BDP($A114&amp;" EQUITY",DataH!$C$23, "BEST_FPERIOD_OVERRIDE", MID(DataH!M$22, 3, 2)&amp;"BC", "EQY_CONSOLIDATED", DataH!$D$18)*DataH!$D$23)</f>
        <v/>
      </c>
      <c r="Y114" s="257" t="str">
        <f>IF($A114="","",_xll.BDP($A113&amp;" EQUITY",DataH!$C$23, "BEST_FPERIOD_OVERRIDE", MID(DataH!N$22, 3, 2)&amp;"BC", "EQY_CONSOLIDATED", DataH!$D$18)*DataH!$D$23)</f>
        <v/>
      </c>
      <c r="AC114" s="5" t="e">
        <f>IF(YEAR(_xll.BToday())-YEAR(_xll.BDP($A114 &amp;" EQUITY", "EQY_FISCAL_YR_END"))&gt;=2, YEAR(_xll.BToday())-1, YEAR(_xll.BToday()))</f>
        <v>#N/A</v>
      </c>
    </row>
    <row r="115" spans="1:29" ht="15" customHeight="1">
      <c r="A115" s="164" t="str">
        <f>IF(C115&lt;&gt;"", IF(ISNUMBER(FIND("EQUITY", UPPER(C115), 1)), _xll.BDP(C115, "TICKER_AND_EXCH_CODE"), C115), "")</f>
        <v/>
      </c>
      <c r="C115" s="590"/>
      <c r="D115" s="571"/>
      <c r="E115" s="780" t="str">
        <f>IF(A115="","",IF(Lang="English",_xll.BDP(A115&amp;" EQUITY","NAME"),IF(Lang="中文",_xll.BDP(A115&amp;" EQUITY","NAME_CHINESE_TRADITIONAL"),_xll.BDP(A115&amp;" EQUITY","NAME_KANJI"))))</f>
        <v/>
      </c>
      <c r="F115" s="781"/>
      <c r="G115" s="782"/>
      <c r="H115" s="780" t="str">
        <f>IF(A115="", "", _xll.BDP(A115 &amp; " EQUITY", "GICS_SUB_INDUSTRY_NAME"))</f>
        <v/>
      </c>
      <c r="I115" s="781"/>
      <c r="J115" s="782"/>
      <c r="K115" s="572" t="str">
        <f>IF($A115="", "", _xll.BDP($A115 &amp; " EQUITY", "CRNCY"))</f>
        <v/>
      </c>
      <c r="L115" s="573"/>
      <c r="M115" s="574" t="str">
        <f>IF(OR($A115="", ISERROR(_xll.BDP($A115 &amp; " EQUITY", "CRNCY_ADJ_MKT_CAP")*1)), "", _xll.BDP($A115 &amp; " EQUITY", "CRNCY_ADJ_MKT_CAP"))</f>
        <v/>
      </c>
      <c r="N115" s="575" t="str">
        <f>IF(OR($A115="", ISERROR(_xll.BDP($A115 &amp; " EQUITY", "CRNCY_ADJ_MKT_CAP", "EQY_FUND_CRNCY", CURRENCY)*1)), "", _xll.BDP($A115 &amp; " EQUITY", "CRNCY_ADJ_MKT_CAP", "EQY_FUND_CRNCY", CURRENCY))</f>
        <v/>
      </c>
      <c r="O115" s="146"/>
      <c r="P115" s="576" t="str">
        <f>IF($A115="","",_xll.BDP($A115 &amp;" EQUITY", "CUST_TRR_RETURN_HOLDING_PER", "CUST_TRR_START_DT", DataH!$F$22, "CUST_TRR_END_DT", DataH!$F$21, "CUST_TRR_CRNCY", CURRENCY)/100)</f>
        <v/>
      </c>
      <c r="Q115" s="577" t="str">
        <f>IF($A115="","",_xll.BDP($A115&amp;" EQUITY","CUST_TRR_RETURN_HOLDING_PER","CUST_TRR_START_DT",DataH!$G$22,"CUST_TRR_END_DT",DataH!$F$21,"CUST_TRR_CRNCY",CURRENCY)/100)</f>
        <v/>
      </c>
      <c r="R115" s="578"/>
      <c r="S115" s="579" t="str">
        <f>IF($A115="","",_xll.BDP($A115&amp;" EQUITY",DataH!$C$23, "BEST_FPERIOD_OVERRIDE", MID(DataH!H$22, 3, 2)&amp;"BC", "EQY_CONSOLIDATED", DataH!$D$18)*DataH!$D$23)</f>
        <v/>
      </c>
      <c r="T115" s="580" t="str">
        <f>IF($A115="","",_xll.BDP($A115&amp;" EQUITY",DataH!$C$23, "BEST_FPERIOD_OVERRIDE", MID(DataH!I$22, 3, 2)&amp;"BC", "EQY_CONSOLIDATED", DataH!$D$18)*DataH!$D$23)</f>
        <v/>
      </c>
      <c r="U115" s="580" t="str">
        <f>IF($A115="","",_xll.BDP($A115&amp;" EQUITY",DataH!$C$23,"BEST_FPERIOD_OVERRIDE",MID(DataH!J$22,3,2)&amp;"BC","EQY_CONSOLIDATED",DataH!$D$18)*DataH!$D$23)</f>
        <v/>
      </c>
      <c r="V115" s="580" t="str">
        <f>IF($A115="","",_xll.BDP($A115&amp;" EQUITY",DataH!$C$23, "BEST_FPERIOD_OVERRIDE", MID(DataH!K$22, 3, 2)&amp;"BC", "EQY_CONSOLIDATED", DataH!$D$18)*DataH!$D$23)</f>
        <v/>
      </c>
      <c r="W115" s="581" t="str">
        <f>IF($A115="","",_xll.BDP($A115&amp;" EQUITY",DataH!$C$23, "BEST_FPERIOD_OVERRIDE", MID(DataH!L$22, 3, 2)&amp;"BC", "EQY_CONSOLIDATED", DataH!$D$18)*DataH!$D$23)</f>
        <v/>
      </c>
      <c r="X115" s="582" t="str">
        <f>IF($A115="","",_xll.BDP($A115&amp;" EQUITY",DataH!$C$23, "BEST_FPERIOD_OVERRIDE", MID(DataH!M$22, 3, 2)&amp;"BC", "EQY_CONSOLIDATED", DataH!$D$18)*DataH!$D$23)</f>
        <v/>
      </c>
      <c r="Y115" s="583" t="str">
        <f>IF($A115="","",_xll.BDP($A114&amp;" EQUITY",DataH!$C$23, "BEST_FPERIOD_OVERRIDE", MID(DataH!N$22, 3, 2)&amp;"BC", "EQY_CONSOLIDATED", DataH!$D$18)*DataH!$D$23)</f>
        <v/>
      </c>
      <c r="AC115" s="5" t="e">
        <f>IF(YEAR(_xll.BToday())-YEAR(_xll.BDP($A115 &amp;" EQUITY", "EQY_FISCAL_YR_END"))&gt;=2, YEAR(_xll.BToday())-1, YEAR(_xll.BToday()))</f>
        <v>#N/A</v>
      </c>
    </row>
    <row r="116" spans="1:29" ht="15" customHeight="1">
      <c r="A116" s="164" t="str">
        <f>IF(C116&lt;&gt;"", IF(ISNUMBER(FIND("EQUITY", UPPER(C116), 1)), _xll.BDP(C116, "TICKER_AND_EXCH_CODE"), C116), "")</f>
        <v/>
      </c>
      <c r="C116" s="589"/>
      <c r="D116" s="568"/>
      <c r="E116" s="763" t="str">
        <f>IF(A116="","",IF(Lang="English",_xll.BDP(A116&amp;" EQUITY","NAME"),IF(Lang="中文",_xll.BDP(A116&amp;" EQUITY","NAME_CHINESE_TRADITIONAL"),_xll.BDP(A116&amp;" EQUITY","NAME_KANJI"))))</f>
        <v/>
      </c>
      <c r="F116" s="764"/>
      <c r="G116" s="765"/>
      <c r="H116" s="763" t="str">
        <f>IF(A116="", "", _xll.BDP(A116 &amp; " EQUITY", "GICS_SUB_INDUSTRY_NAME"))</f>
        <v/>
      </c>
      <c r="I116" s="764"/>
      <c r="J116" s="765"/>
      <c r="K116" s="509" t="str">
        <f>IF($A116="", "", _xll.BDP($A116 &amp; " EQUITY", "CRNCY"))</f>
        <v/>
      </c>
      <c r="L116" s="276"/>
      <c r="M116" s="277" t="str">
        <f>IF(OR($A116="", ISERROR(_xll.BDP($A116 &amp; " EQUITY", "CRNCY_ADJ_MKT_CAP")*1)), "", _xll.BDP($A116 &amp; " EQUITY", "CRNCY_ADJ_MKT_CAP"))</f>
        <v/>
      </c>
      <c r="N116" s="278" t="str">
        <f>IF(OR($A116="", ISERROR(_xll.BDP($A116 &amp; " EQUITY", "CRNCY_ADJ_MKT_CAP", "EQY_FUND_CRNCY", CURRENCY)*1)), "", _xll.BDP($A116 &amp; " EQUITY", "CRNCY_ADJ_MKT_CAP", "EQY_FUND_CRNCY", CURRENCY))</f>
        <v/>
      </c>
      <c r="O116" s="146"/>
      <c r="P116" s="279" t="str">
        <f>IF($A116="","",_xll.BDP($A116 &amp;" EQUITY", "CUST_TRR_RETURN_HOLDING_PER", "CUST_TRR_START_DT", DataH!$F$22, "CUST_TRR_END_DT", DataH!$F$21, "CUST_TRR_CRNCY", CURRENCY)/100)</f>
        <v/>
      </c>
      <c r="Q116" s="102" t="str">
        <f>IF($A116="","",_xll.BDP($A116&amp;" EQUITY","CUST_TRR_RETURN_HOLDING_PER","CUST_TRR_START_DT",DataH!$G$22,"CUST_TRR_END_DT",DataH!$F$21,"CUST_TRR_CRNCY",CURRENCY)/100)</f>
        <v/>
      </c>
      <c r="R116" s="216"/>
      <c r="S116" s="280" t="str">
        <f>IF($A116="","",_xll.BDP($A116&amp;" EQUITY",DataH!$C$23, "BEST_FPERIOD_OVERRIDE", MID(DataH!H$22, 3, 2)&amp;"BC", "EQY_CONSOLIDATED", DataH!$D$18)*DataH!$D$23)</f>
        <v/>
      </c>
      <c r="T116" s="127" t="str">
        <f>IF($A116="","",_xll.BDP($A116&amp;" EQUITY",DataH!$C$23, "BEST_FPERIOD_OVERRIDE", MID(DataH!I$22, 3, 2)&amp;"BC", "EQY_CONSOLIDATED", DataH!$D$18)*DataH!$D$23)</f>
        <v/>
      </c>
      <c r="U116" s="127" t="str">
        <f>IF($A116="","",_xll.BDP($A116&amp;" EQUITY",DataH!$C$23,"BEST_FPERIOD_OVERRIDE",MID(DataH!J$22,3,2)&amp;"BC","EQY_CONSOLIDATED",DataH!$D$18)*DataH!$D$23)</f>
        <v/>
      </c>
      <c r="V116" s="127" t="str">
        <f>IF($A116="","",_xll.BDP($A116&amp;" EQUITY",DataH!$C$23, "BEST_FPERIOD_OVERRIDE", MID(DataH!K$22, 3, 2)&amp;"BC", "EQY_CONSOLIDATED", DataH!$D$18)*DataH!$D$23)</f>
        <v/>
      </c>
      <c r="W116" s="494" t="str">
        <f>IF($A116="","",_xll.BDP($A116&amp;" EQUITY",DataH!$C$23, "BEST_FPERIOD_OVERRIDE", MID(DataH!L$22, 3, 2)&amp;"BC", "EQY_CONSOLIDATED", DataH!$D$18)*DataH!$D$23)</f>
        <v/>
      </c>
      <c r="X116" s="256" t="str">
        <f>IF($A116="","",_xll.BDP($A116&amp;" EQUITY",DataH!$C$23, "BEST_FPERIOD_OVERRIDE", MID(DataH!M$22, 3, 2)&amp;"BC", "EQY_CONSOLIDATED", DataH!$D$18)*DataH!$D$23)</f>
        <v/>
      </c>
      <c r="Y116" s="257" t="str">
        <f>IF($A116="","",_xll.BDP($A115&amp;" EQUITY",DataH!$C$23, "BEST_FPERIOD_OVERRIDE", MID(DataH!N$22, 3, 2)&amp;"BC", "EQY_CONSOLIDATED", DataH!$D$18)*DataH!$D$23)</f>
        <v/>
      </c>
      <c r="AC116" s="5" t="e">
        <f>IF(YEAR(_xll.BToday())-YEAR(_xll.BDP($A116 &amp;" EQUITY", "EQY_FISCAL_YR_END"))&gt;=2, YEAR(_xll.BToday())-1, YEAR(_xll.BToday()))</f>
        <v>#N/A</v>
      </c>
    </row>
    <row r="117" spans="1:29" ht="15" customHeight="1">
      <c r="A117" s="164" t="str">
        <f>IF(C117&lt;&gt;"", IF(ISNUMBER(FIND("EQUITY", UPPER(C117), 1)), _xll.BDP(C117, "TICKER_AND_EXCH_CODE"), C117), "")</f>
        <v/>
      </c>
      <c r="C117" s="590"/>
      <c r="D117" s="571"/>
      <c r="E117" s="780" t="str">
        <f>IF(A117="","",IF(Lang="English",_xll.BDP(A117&amp;" EQUITY","NAME"),IF(Lang="中文",_xll.BDP(A117&amp;" EQUITY","NAME_CHINESE_TRADITIONAL"),_xll.BDP(A117&amp;" EQUITY","NAME_KANJI"))))</f>
        <v/>
      </c>
      <c r="F117" s="781"/>
      <c r="G117" s="782"/>
      <c r="H117" s="780" t="str">
        <f>IF(A117="", "", _xll.BDP(A117 &amp; " EQUITY", "GICS_SUB_INDUSTRY_NAME"))</f>
        <v/>
      </c>
      <c r="I117" s="781"/>
      <c r="J117" s="782"/>
      <c r="K117" s="572" t="str">
        <f>IF($A117="", "", _xll.BDP($A117 &amp; " EQUITY", "CRNCY"))</f>
        <v/>
      </c>
      <c r="L117" s="573"/>
      <c r="M117" s="574" t="str">
        <f>IF(OR($A117="", ISERROR(_xll.BDP($A117 &amp; " EQUITY", "CRNCY_ADJ_MKT_CAP")*1)), "", _xll.BDP($A117 &amp; " EQUITY", "CRNCY_ADJ_MKT_CAP"))</f>
        <v/>
      </c>
      <c r="N117" s="575" t="str">
        <f>IF(OR($A117="", ISERROR(_xll.BDP($A117 &amp; " EQUITY", "CRNCY_ADJ_MKT_CAP", "EQY_FUND_CRNCY", CURRENCY)*1)), "", _xll.BDP($A117 &amp; " EQUITY", "CRNCY_ADJ_MKT_CAP", "EQY_FUND_CRNCY", CURRENCY))</f>
        <v/>
      </c>
      <c r="O117" s="146"/>
      <c r="P117" s="576" t="str">
        <f>IF($A117="","",_xll.BDP($A117 &amp;" EQUITY", "CUST_TRR_RETURN_HOLDING_PER", "CUST_TRR_START_DT", DataH!$F$22, "CUST_TRR_END_DT", DataH!$F$21, "CUST_TRR_CRNCY", CURRENCY)/100)</f>
        <v/>
      </c>
      <c r="Q117" s="577" t="str">
        <f>IF($A117="","",_xll.BDP($A117&amp;" EQUITY","CUST_TRR_RETURN_HOLDING_PER","CUST_TRR_START_DT",DataH!$G$22,"CUST_TRR_END_DT",DataH!$F$21,"CUST_TRR_CRNCY",CURRENCY)/100)</f>
        <v/>
      </c>
      <c r="R117" s="578"/>
      <c r="S117" s="579" t="str">
        <f>IF($A117="","",_xll.BDP($A117&amp;" EQUITY",DataH!$C$23, "BEST_FPERIOD_OVERRIDE", MID(DataH!H$22, 3, 2)&amp;"BC", "EQY_CONSOLIDATED", DataH!$D$18)*DataH!$D$23)</f>
        <v/>
      </c>
      <c r="T117" s="580" t="str">
        <f>IF($A117="","",_xll.BDP($A117&amp;" EQUITY",DataH!$C$23, "BEST_FPERIOD_OVERRIDE", MID(DataH!I$22, 3, 2)&amp;"BC", "EQY_CONSOLIDATED", DataH!$D$18)*DataH!$D$23)</f>
        <v/>
      </c>
      <c r="U117" s="580" t="str">
        <f>IF($A117="","",_xll.BDP($A117&amp;" EQUITY",DataH!$C$23,"BEST_FPERIOD_OVERRIDE",MID(DataH!J$22,3,2)&amp;"BC","EQY_CONSOLIDATED",DataH!$D$18)*DataH!$D$23)</f>
        <v/>
      </c>
      <c r="V117" s="580" t="str">
        <f>IF($A117="","",_xll.BDP($A117&amp;" EQUITY",DataH!$C$23, "BEST_FPERIOD_OVERRIDE", MID(DataH!K$22, 3, 2)&amp;"BC", "EQY_CONSOLIDATED", DataH!$D$18)*DataH!$D$23)</f>
        <v/>
      </c>
      <c r="W117" s="581" t="str">
        <f>IF($A117="","",_xll.BDP($A117&amp;" EQUITY",DataH!$C$23, "BEST_FPERIOD_OVERRIDE", MID(DataH!L$22, 3, 2)&amp;"BC", "EQY_CONSOLIDATED", DataH!$D$18)*DataH!$D$23)</f>
        <v/>
      </c>
      <c r="X117" s="582" t="str">
        <f>IF($A117="","",_xll.BDP($A117&amp;" EQUITY",DataH!$C$23, "BEST_FPERIOD_OVERRIDE", MID(DataH!M$22, 3, 2)&amp;"BC", "EQY_CONSOLIDATED", DataH!$D$18)*DataH!$D$23)</f>
        <v/>
      </c>
      <c r="Y117" s="583" t="str">
        <f>IF($A117="","",_xll.BDP($A116&amp;" EQUITY",DataH!$C$23, "BEST_FPERIOD_OVERRIDE", MID(DataH!N$22, 3, 2)&amp;"BC", "EQY_CONSOLIDATED", DataH!$D$18)*DataH!$D$23)</f>
        <v/>
      </c>
      <c r="AC117" s="5" t="e">
        <f>IF(YEAR(_xll.BToday())-YEAR(_xll.BDP($A117 &amp;" EQUITY", "EQY_FISCAL_YR_END"))&gt;=2, YEAR(_xll.BToday())-1, YEAR(_xll.BToday()))</f>
        <v>#N/A</v>
      </c>
    </row>
    <row r="118" spans="1:29" ht="15" customHeight="1">
      <c r="A118" s="164" t="str">
        <f>IF(C118&lt;&gt;"", IF(ISNUMBER(FIND("EQUITY", UPPER(C118), 1)), _xll.BDP(C118, "TICKER_AND_EXCH_CODE"), C118), "")</f>
        <v/>
      </c>
      <c r="C118" s="589"/>
      <c r="D118" s="568"/>
      <c r="E118" s="763" t="str">
        <f>IF(A118="","",IF(Lang="English",_xll.BDP(A118&amp;" EQUITY","NAME"),IF(Lang="中文",_xll.BDP(A118&amp;" EQUITY","NAME_CHINESE_TRADITIONAL"),_xll.BDP(A118&amp;" EQUITY","NAME_KANJI"))))</f>
        <v/>
      </c>
      <c r="F118" s="764"/>
      <c r="G118" s="765"/>
      <c r="H118" s="763" t="str">
        <f>IF(A118="", "", _xll.BDP(A118 &amp; " EQUITY", "GICS_SUB_INDUSTRY_NAME"))</f>
        <v/>
      </c>
      <c r="I118" s="764"/>
      <c r="J118" s="765"/>
      <c r="K118" s="509" t="str">
        <f>IF($A118="", "", _xll.BDP($A118 &amp; " EQUITY", "CRNCY"))</f>
        <v/>
      </c>
      <c r="L118" s="276"/>
      <c r="M118" s="277" t="str">
        <f>IF(OR($A118="", ISERROR(_xll.BDP($A118 &amp; " EQUITY", "CRNCY_ADJ_MKT_CAP")*1)), "", _xll.BDP($A118 &amp; " EQUITY", "CRNCY_ADJ_MKT_CAP"))</f>
        <v/>
      </c>
      <c r="N118" s="278" t="str">
        <f>IF(OR($A118="", ISERROR(_xll.BDP($A118 &amp; " EQUITY", "CRNCY_ADJ_MKT_CAP", "EQY_FUND_CRNCY", CURRENCY)*1)), "", _xll.BDP($A118 &amp; " EQUITY", "CRNCY_ADJ_MKT_CAP", "EQY_FUND_CRNCY", CURRENCY))</f>
        <v/>
      </c>
      <c r="O118" s="146"/>
      <c r="P118" s="279" t="str">
        <f>IF($A118="","",_xll.BDP($A118 &amp;" EQUITY", "CUST_TRR_RETURN_HOLDING_PER", "CUST_TRR_START_DT", DataH!$F$22, "CUST_TRR_END_DT", DataH!$F$21, "CUST_TRR_CRNCY", CURRENCY)/100)</f>
        <v/>
      </c>
      <c r="Q118" s="102" t="str">
        <f>IF($A118="","",_xll.BDP($A118&amp;" EQUITY","CUST_TRR_RETURN_HOLDING_PER","CUST_TRR_START_DT",DataH!$G$22,"CUST_TRR_END_DT",DataH!$F$21,"CUST_TRR_CRNCY",CURRENCY)/100)</f>
        <v/>
      </c>
      <c r="R118" s="216"/>
      <c r="S118" s="280" t="str">
        <f>IF($A118="","",_xll.BDP($A118&amp;" EQUITY",DataH!$C$23, "BEST_FPERIOD_OVERRIDE", MID(DataH!H$22, 3, 2)&amp;"BC", "EQY_CONSOLIDATED", DataH!$D$18)*DataH!$D$23)</f>
        <v/>
      </c>
      <c r="T118" s="127" t="str">
        <f>IF($A118="","",_xll.BDP($A118&amp;" EQUITY",DataH!$C$23, "BEST_FPERIOD_OVERRIDE", MID(DataH!I$22, 3, 2)&amp;"BC", "EQY_CONSOLIDATED", DataH!$D$18)*DataH!$D$23)</f>
        <v/>
      </c>
      <c r="U118" s="127" t="str">
        <f>IF($A118="","",_xll.BDP($A118&amp;" EQUITY",DataH!$C$23,"BEST_FPERIOD_OVERRIDE",MID(DataH!J$22,3,2)&amp;"BC","EQY_CONSOLIDATED",DataH!$D$18)*DataH!$D$23)</f>
        <v/>
      </c>
      <c r="V118" s="127" t="str">
        <f>IF($A118="","",_xll.BDP($A118&amp;" EQUITY",DataH!$C$23, "BEST_FPERIOD_OVERRIDE", MID(DataH!K$22, 3, 2)&amp;"BC", "EQY_CONSOLIDATED", DataH!$D$18)*DataH!$D$23)</f>
        <v/>
      </c>
      <c r="W118" s="494" t="str">
        <f>IF($A118="","",_xll.BDP($A118&amp;" EQUITY",DataH!$C$23, "BEST_FPERIOD_OVERRIDE", MID(DataH!L$22, 3, 2)&amp;"BC", "EQY_CONSOLIDATED", DataH!$D$18)*DataH!$D$23)</f>
        <v/>
      </c>
      <c r="X118" s="256" t="str">
        <f>IF($A118="","",_xll.BDP($A118&amp;" EQUITY",DataH!$C$23, "BEST_FPERIOD_OVERRIDE", MID(DataH!M$22, 3, 2)&amp;"BC", "EQY_CONSOLIDATED", DataH!$D$18)*DataH!$D$23)</f>
        <v/>
      </c>
      <c r="Y118" s="257" t="str">
        <f>IF($A118="","",_xll.BDP($A117&amp;" EQUITY",DataH!$C$23, "BEST_FPERIOD_OVERRIDE", MID(DataH!N$22, 3, 2)&amp;"BC", "EQY_CONSOLIDATED", DataH!$D$18)*DataH!$D$23)</f>
        <v/>
      </c>
      <c r="AC118" s="5" t="e">
        <f>IF(YEAR(_xll.BToday())-YEAR(_xll.BDP($A118 &amp;" EQUITY", "EQY_FISCAL_YR_END"))&gt;=2, YEAR(_xll.BToday())-1, YEAR(_xll.BToday()))</f>
        <v>#N/A</v>
      </c>
    </row>
    <row r="119" spans="1:29" ht="15" customHeight="1">
      <c r="A119" s="164" t="str">
        <f>IF(C119&lt;&gt;"", IF(ISNUMBER(FIND("EQUITY", UPPER(C119), 1)), _xll.BDP(C119, "TICKER_AND_EXCH_CODE"), C119), "")</f>
        <v/>
      </c>
      <c r="C119" s="590"/>
      <c r="D119" s="571"/>
      <c r="E119" s="780" t="str">
        <f>IF(A119="","",IF(Lang="English",_xll.BDP(A119&amp;" EQUITY","NAME"),IF(Lang="中文",_xll.BDP(A119&amp;" EQUITY","NAME_CHINESE_TRADITIONAL"),_xll.BDP(A119&amp;" EQUITY","NAME_KANJI"))))</f>
        <v/>
      </c>
      <c r="F119" s="781"/>
      <c r="G119" s="782"/>
      <c r="H119" s="780" t="str">
        <f>IF(A119="", "", _xll.BDP(A119 &amp; " EQUITY", "GICS_SUB_INDUSTRY_NAME"))</f>
        <v/>
      </c>
      <c r="I119" s="781"/>
      <c r="J119" s="782"/>
      <c r="K119" s="572" t="str">
        <f>IF($A119="", "", _xll.BDP($A119 &amp; " EQUITY", "CRNCY"))</f>
        <v/>
      </c>
      <c r="L119" s="573"/>
      <c r="M119" s="574" t="str">
        <f>IF(OR($A119="", ISERROR(_xll.BDP($A119 &amp; " EQUITY", "CRNCY_ADJ_MKT_CAP")*1)), "", _xll.BDP($A119 &amp; " EQUITY", "CRNCY_ADJ_MKT_CAP"))</f>
        <v/>
      </c>
      <c r="N119" s="575" t="str">
        <f>IF(OR($A119="", ISERROR(_xll.BDP($A119 &amp; " EQUITY", "CRNCY_ADJ_MKT_CAP", "EQY_FUND_CRNCY", CURRENCY)*1)), "", _xll.BDP($A119 &amp; " EQUITY", "CRNCY_ADJ_MKT_CAP", "EQY_FUND_CRNCY", CURRENCY))</f>
        <v/>
      </c>
      <c r="O119" s="146"/>
      <c r="P119" s="576" t="str">
        <f>IF($A119="","",_xll.BDP($A119 &amp;" EQUITY", "CUST_TRR_RETURN_HOLDING_PER", "CUST_TRR_START_DT", DataH!$F$22, "CUST_TRR_END_DT", DataH!$F$21, "CUST_TRR_CRNCY", CURRENCY)/100)</f>
        <v/>
      </c>
      <c r="Q119" s="577" t="str">
        <f>IF($A119="","",_xll.BDP($A119&amp;" EQUITY","CUST_TRR_RETURN_HOLDING_PER","CUST_TRR_START_DT",DataH!$G$22,"CUST_TRR_END_DT",DataH!$F$21,"CUST_TRR_CRNCY",CURRENCY)/100)</f>
        <v/>
      </c>
      <c r="R119" s="578"/>
      <c r="S119" s="579" t="str">
        <f>IF($A119="","",_xll.BDP($A119&amp;" EQUITY",DataH!$C$23, "BEST_FPERIOD_OVERRIDE", MID(DataH!H$22, 3, 2)&amp;"BC", "EQY_CONSOLIDATED", DataH!$D$18)*DataH!$D$23)</f>
        <v/>
      </c>
      <c r="T119" s="580" t="str">
        <f>IF($A119="","",_xll.BDP($A119&amp;" EQUITY",DataH!$C$23, "BEST_FPERIOD_OVERRIDE", MID(DataH!I$22, 3, 2)&amp;"BC", "EQY_CONSOLIDATED", DataH!$D$18)*DataH!$D$23)</f>
        <v/>
      </c>
      <c r="U119" s="580" t="str">
        <f>IF($A119="","",_xll.BDP($A119&amp;" EQUITY",DataH!$C$23,"BEST_FPERIOD_OVERRIDE",MID(DataH!J$22,3,2)&amp;"BC","EQY_CONSOLIDATED",DataH!$D$18)*DataH!$D$23)</f>
        <v/>
      </c>
      <c r="V119" s="580" t="str">
        <f>IF($A119="","",_xll.BDP($A119&amp;" EQUITY",DataH!$C$23, "BEST_FPERIOD_OVERRIDE", MID(DataH!K$22, 3, 2)&amp;"BC", "EQY_CONSOLIDATED", DataH!$D$18)*DataH!$D$23)</f>
        <v/>
      </c>
      <c r="W119" s="581" t="str">
        <f>IF($A119="","",_xll.BDP($A119&amp;" EQUITY",DataH!$C$23, "BEST_FPERIOD_OVERRIDE", MID(DataH!L$22, 3, 2)&amp;"BC", "EQY_CONSOLIDATED", DataH!$D$18)*DataH!$D$23)</f>
        <v/>
      </c>
      <c r="X119" s="582" t="str">
        <f>IF($A119="","",_xll.BDP($A119&amp;" EQUITY",DataH!$C$23, "BEST_FPERIOD_OVERRIDE", MID(DataH!M$22, 3, 2)&amp;"BC", "EQY_CONSOLIDATED", DataH!$D$18)*DataH!$D$23)</f>
        <v/>
      </c>
      <c r="Y119" s="583" t="str">
        <f>IF($A119="","",_xll.BDP($A118&amp;" EQUITY",DataH!$C$23, "BEST_FPERIOD_OVERRIDE", MID(DataH!N$22, 3, 2)&amp;"BC", "EQY_CONSOLIDATED", DataH!$D$18)*DataH!$D$23)</f>
        <v/>
      </c>
      <c r="AC119" s="5" t="e">
        <f>IF(YEAR(_xll.BToday())-YEAR(_xll.BDP($A119 &amp;" EQUITY", "EQY_FISCAL_YR_END"))&gt;=2, YEAR(_xll.BToday())-1, YEAR(_xll.BToday()))</f>
        <v>#N/A</v>
      </c>
    </row>
    <row r="120" spans="1:29" ht="15" customHeight="1">
      <c r="A120" s="164" t="str">
        <f>IF(C120&lt;&gt;"", IF(ISNUMBER(FIND("EQUITY", UPPER(C120), 1)), _xll.BDP(C120, "TICKER_AND_EXCH_CODE"), C120), "")</f>
        <v/>
      </c>
      <c r="C120" s="589"/>
      <c r="D120" s="568"/>
      <c r="E120" s="763" t="str">
        <f>IF(A120="","",IF(Lang="English",_xll.BDP(A120&amp;" EQUITY","NAME"),IF(Lang="中文",_xll.BDP(A120&amp;" EQUITY","NAME_CHINESE_TRADITIONAL"),_xll.BDP(A120&amp;" EQUITY","NAME_KANJI"))))</f>
        <v/>
      </c>
      <c r="F120" s="764"/>
      <c r="G120" s="765"/>
      <c r="H120" s="763" t="str">
        <f>IF(A120="", "", _xll.BDP(A120 &amp; " EQUITY", "GICS_SUB_INDUSTRY_NAME"))</f>
        <v/>
      </c>
      <c r="I120" s="764"/>
      <c r="J120" s="765"/>
      <c r="K120" s="509" t="str">
        <f>IF($A120="", "", _xll.BDP($A120 &amp; " EQUITY", "CRNCY"))</f>
        <v/>
      </c>
      <c r="L120" s="276"/>
      <c r="M120" s="277" t="str">
        <f>IF(OR($A120="", ISERROR(_xll.BDP($A120 &amp; " EQUITY", "CRNCY_ADJ_MKT_CAP")*1)), "", _xll.BDP($A120 &amp; " EQUITY", "CRNCY_ADJ_MKT_CAP"))</f>
        <v/>
      </c>
      <c r="N120" s="278" t="str">
        <f>IF(OR($A120="", ISERROR(_xll.BDP($A120 &amp; " EQUITY", "CRNCY_ADJ_MKT_CAP", "EQY_FUND_CRNCY", CURRENCY)*1)), "", _xll.BDP($A120 &amp; " EQUITY", "CRNCY_ADJ_MKT_CAP", "EQY_FUND_CRNCY", CURRENCY))</f>
        <v/>
      </c>
      <c r="O120" s="146"/>
      <c r="P120" s="279" t="str">
        <f>IF($A120="","",_xll.BDP($A120 &amp;" EQUITY", "CUST_TRR_RETURN_HOLDING_PER", "CUST_TRR_START_DT", DataH!$F$22, "CUST_TRR_END_DT", DataH!$F$21, "CUST_TRR_CRNCY", CURRENCY)/100)</f>
        <v/>
      </c>
      <c r="Q120" s="102" t="str">
        <f>IF($A120="","",_xll.BDP($A120&amp;" EQUITY","CUST_TRR_RETURN_HOLDING_PER","CUST_TRR_START_DT",DataH!$G$22,"CUST_TRR_END_DT",DataH!$F$21,"CUST_TRR_CRNCY",CURRENCY)/100)</f>
        <v/>
      </c>
      <c r="R120" s="216"/>
      <c r="S120" s="280" t="str">
        <f>IF($A120="","",_xll.BDP($A120&amp;" EQUITY",DataH!$C$23, "BEST_FPERIOD_OVERRIDE", MID(DataH!H$22, 3, 2)&amp;"BC", "EQY_CONSOLIDATED", DataH!$D$18)*DataH!$D$23)</f>
        <v/>
      </c>
      <c r="T120" s="127" t="str">
        <f>IF($A120="","",_xll.BDP($A120&amp;" EQUITY",DataH!$C$23, "BEST_FPERIOD_OVERRIDE", MID(DataH!I$22, 3, 2)&amp;"BC", "EQY_CONSOLIDATED", DataH!$D$18)*DataH!$D$23)</f>
        <v/>
      </c>
      <c r="U120" s="127" t="str">
        <f>IF($A120="","",_xll.BDP($A120&amp;" EQUITY",DataH!$C$23,"BEST_FPERIOD_OVERRIDE",MID(DataH!J$22,3,2)&amp;"BC","EQY_CONSOLIDATED",DataH!$D$18)*DataH!$D$23)</f>
        <v/>
      </c>
      <c r="V120" s="127" t="str">
        <f>IF($A120="","",_xll.BDP($A120&amp;" EQUITY",DataH!$C$23, "BEST_FPERIOD_OVERRIDE", MID(DataH!K$22, 3, 2)&amp;"BC", "EQY_CONSOLIDATED", DataH!$D$18)*DataH!$D$23)</f>
        <v/>
      </c>
      <c r="W120" s="494" t="str">
        <f>IF($A120="","",_xll.BDP($A120&amp;" EQUITY",DataH!$C$23, "BEST_FPERIOD_OVERRIDE", MID(DataH!L$22, 3, 2)&amp;"BC", "EQY_CONSOLIDATED", DataH!$D$18)*DataH!$D$23)</f>
        <v/>
      </c>
      <c r="X120" s="256" t="str">
        <f>IF($A120="","",_xll.BDP($A120&amp;" EQUITY",DataH!$C$23, "BEST_FPERIOD_OVERRIDE", MID(DataH!M$22, 3, 2)&amp;"BC", "EQY_CONSOLIDATED", DataH!$D$18)*DataH!$D$23)</f>
        <v/>
      </c>
      <c r="Y120" s="257" t="str">
        <f>IF($A120="","",_xll.BDP($A119&amp;" EQUITY",DataH!$C$23, "BEST_FPERIOD_OVERRIDE", MID(DataH!N$22, 3, 2)&amp;"BC", "EQY_CONSOLIDATED", DataH!$D$18)*DataH!$D$23)</f>
        <v/>
      </c>
      <c r="AC120" s="5" t="e">
        <f>IF(YEAR(_xll.BToday())-YEAR(_xll.BDP($A120 &amp;" EQUITY", "EQY_FISCAL_YR_END"))&gt;=2, YEAR(_xll.BToday())-1, YEAR(_xll.BToday()))</f>
        <v>#N/A</v>
      </c>
    </row>
    <row r="121" spans="1:29" ht="15" customHeight="1">
      <c r="A121" s="164" t="str">
        <f>IF(C121&lt;&gt;"", IF(ISNUMBER(FIND("EQUITY", UPPER(C121), 1)), _xll.BDP(C121, "TICKER_AND_EXCH_CODE"), C121), "")</f>
        <v/>
      </c>
      <c r="C121" s="590"/>
      <c r="D121" s="571"/>
      <c r="E121" s="780" t="str">
        <f>IF(A121="","",IF(Lang="English",_xll.BDP(A121&amp;" EQUITY","NAME"),IF(Lang="中文",_xll.BDP(A121&amp;" EQUITY","NAME_CHINESE_TRADITIONAL"),_xll.BDP(A121&amp;" EQUITY","NAME_KANJI"))))</f>
        <v/>
      </c>
      <c r="F121" s="781"/>
      <c r="G121" s="782"/>
      <c r="H121" s="780" t="str">
        <f>IF(A121="", "", _xll.BDP(A121 &amp; " EQUITY", "GICS_SUB_INDUSTRY_NAME"))</f>
        <v/>
      </c>
      <c r="I121" s="781"/>
      <c r="J121" s="782"/>
      <c r="K121" s="572" t="str">
        <f>IF($A121="", "", _xll.BDP($A121 &amp; " EQUITY", "CRNCY"))</f>
        <v/>
      </c>
      <c r="L121" s="573"/>
      <c r="M121" s="574" t="str">
        <f>IF(OR($A121="", ISERROR(_xll.BDP($A121 &amp; " EQUITY", "CRNCY_ADJ_MKT_CAP")*1)), "", _xll.BDP($A121 &amp; " EQUITY", "CRNCY_ADJ_MKT_CAP"))</f>
        <v/>
      </c>
      <c r="N121" s="575" t="str">
        <f>IF(OR($A121="", ISERROR(_xll.BDP($A121 &amp; " EQUITY", "CRNCY_ADJ_MKT_CAP", "EQY_FUND_CRNCY", CURRENCY)*1)), "", _xll.BDP($A121 &amp; " EQUITY", "CRNCY_ADJ_MKT_CAP", "EQY_FUND_CRNCY", CURRENCY))</f>
        <v/>
      </c>
      <c r="O121" s="146"/>
      <c r="P121" s="576" t="str">
        <f>IF($A121="","",_xll.BDP($A121 &amp;" EQUITY", "CUST_TRR_RETURN_HOLDING_PER", "CUST_TRR_START_DT", DataH!$F$22, "CUST_TRR_END_DT", DataH!$F$21, "CUST_TRR_CRNCY", CURRENCY)/100)</f>
        <v/>
      </c>
      <c r="Q121" s="577" t="str">
        <f>IF($A121="","",_xll.BDP($A121&amp;" EQUITY","CUST_TRR_RETURN_HOLDING_PER","CUST_TRR_START_DT",DataH!$G$22,"CUST_TRR_END_DT",DataH!$F$21,"CUST_TRR_CRNCY",CURRENCY)/100)</f>
        <v/>
      </c>
      <c r="R121" s="578"/>
      <c r="S121" s="579" t="str">
        <f>IF($A121="","",_xll.BDP($A121&amp;" EQUITY",DataH!$C$23, "BEST_FPERIOD_OVERRIDE", MID(DataH!H$22, 3, 2)&amp;"BC", "EQY_CONSOLIDATED", DataH!$D$18)*DataH!$D$23)</f>
        <v/>
      </c>
      <c r="T121" s="580" t="str">
        <f>IF($A121="","",_xll.BDP($A121&amp;" EQUITY",DataH!$C$23, "BEST_FPERIOD_OVERRIDE", MID(DataH!I$22, 3, 2)&amp;"BC", "EQY_CONSOLIDATED", DataH!$D$18)*DataH!$D$23)</f>
        <v/>
      </c>
      <c r="U121" s="580" t="str">
        <f>IF($A121="","",_xll.BDP($A121&amp;" EQUITY",DataH!$C$23,"BEST_FPERIOD_OVERRIDE",MID(DataH!J$22,3,2)&amp;"BC","EQY_CONSOLIDATED",DataH!$D$18)*DataH!$D$23)</f>
        <v/>
      </c>
      <c r="V121" s="580" t="str">
        <f>IF($A121="","",_xll.BDP($A121&amp;" EQUITY",DataH!$C$23, "BEST_FPERIOD_OVERRIDE", MID(DataH!K$22, 3, 2)&amp;"BC", "EQY_CONSOLIDATED", DataH!$D$18)*DataH!$D$23)</f>
        <v/>
      </c>
      <c r="W121" s="581" t="str">
        <f>IF($A121="","",_xll.BDP($A121&amp;" EQUITY",DataH!$C$23, "BEST_FPERIOD_OVERRIDE", MID(DataH!L$22, 3, 2)&amp;"BC", "EQY_CONSOLIDATED", DataH!$D$18)*DataH!$D$23)</f>
        <v/>
      </c>
      <c r="X121" s="582" t="str">
        <f>IF($A121="","",_xll.BDP($A121&amp;" EQUITY",DataH!$C$23, "BEST_FPERIOD_OVERRIDE", MID(DataH!M$22, 3, 2)&amp;"BC", "EQY_CONSOLIDATED", DataH!$D$18)*DataH!$D$23)</f>
        <v/>
      </c>
      <c r="Y121" s="583" t="str">
        <f>IF($A121="","",_xll.BDP($A120&amp;" EQUITY",DataH!$C$23, "BEST_FPERIOD_OVERRIDE", MID(DataH!N$22, 3, 2)&amp;"BC", "EQY_CONSOLIDATED", DataH!$D$18)*DataH!$D$23)</f>
        <v/>
      </c>
      <c r="AC121" s="5" t="e">
        <f>IF(YEAR(_xll.BToday())-YEAR(_xll.BDP($A121 &amp;" EQUITY", "EQY_FISCAL_YR_END"))&gt;=2, YEAR(_xll.BToday())-1, YEAR(_xll.BToday()))</f>
        <v>#N/A</v>
      </c>
    </row>
    <row r="122" spans="1:29" ht="15" customHeight="1">
      <c r="A122" s="164" t="str">
        <f>IF(C122&lt;&gt;"", IF(ISNUMBER(FIND("EQUITY", UPPER(C122), 1)), _xll.BDP(C122, "TICKER_AND_EXCH_CODE"), C122), "")</f>
        <v/>
      </c>
      <c r="C122" s="589"/>
      <c r="D122" s="568"/>
      <c r="E122" s="763" t="str">
        <f>IF(A122="","",IF(Lang="English",_xll.BDP(A122&amp;" EQUITY","NAME"),IF(Lang="中文",_xll.BDP(A122&amp;" EQUITY","NAME_CHINESE_TRADITIONAL"),_xll.BDP(A122&amp;" EQUITY","NAME_KANJI"))))</f>
        <v/>
      </c>
      <c r="F122" s="764"/>
      <c r="G122" s="765"/>
      <c r="H122" s="763" t="str">
        <f>IF(A122="", "", _xll.BDP(A122 &amp; " EQUITY", "GICS_SUB_INDUSTRY_NAME"))</f>
        <v/>
      </c>
      <c r="I122" s="764"/>
      <c r="J122" s="765"/>
      <c r="K122" s="509" t="str">
        <f>IF($A122="", "", _xll.BDP($A122 &amp; " EQUITY", "CRNCY"))</f>
        <v/>
      </c>
      <c r="L122" s="276"/>
      <c r="M122" s="277" t="str">
        <f>IF(OR($A122="", ISERROR(_xll.BDP($A122 &amp; " EQUITY", "CRNCY_ADJ_MKT_CAP")*1)), "", _xll.BDP($A122 &amp; " EQUITY", "CRNCY_ADJ_MKT_CAP"))</f>
        <v/>
      </c>
      <c r="N122" s="278" t="str">
        <f>IF(OR($A122="", ISERROR(_xll.BDP($A122 &amp; " EQUITY", "CRNCY_ADJ_MKT_CAP", "EQY_FUND_CRNCY", CURRENCY)*1)), "", _xll.BDP($A122 &amp; " EQUITY", "CRNCY_ADJ_MKT_CAP", "EQY_FUND_CRNCY", CURRENCY))</f>
        <v/>
      </c>
      <c r="O122" s="146"/>
      <c r="P122" s="279" t="str">
        <f>IF($A122="","",_xll.BDP($A122 &amp;" EQUITY", "CUST_TRR_RETURN_HOLDING_PER", "CUST_TRR_START_DT", DataH!$F$22, "CUST_TRR_END_DT", DataH!$F$21, "CUST_TRR_CRNCY", CURRENCY)/100)</f>
        <v/>
      </c>
      <c r="Q122" s="102" t="str">
        <f>IF($A122="","",_xll.BDP($A122&amp;" EQUITY","CUST_TRR_RETURN_HOLDING_PER","CUST_TRR_START_DT",DataH!$G$22,"CUST_TRR_END_DT",DataH!$F$21,"CUST_TRR_CRNCY",CURRENCY)/100)</f>
        <v/>
      </c>
      <c r="R122" s="216"/>
      <c r="S122" s="280" t="str">
        <f>IF($A122="","",_xll.BDP($A122&amp;" EQUITY",DataH!$C$23, "BEST_FPERIOD_OVERRIDE", MID(DataH!H$22, 3, 2)&amp;"BC", "EQY_CONSOLIDATED", DataH!$D$18)*DataH!$D$23)</f>
        <v/>
      </c>
      <c r="T122" s="127" t="str">
        <f>IF($A122="","",_xll.BDP($A122&amp;" EQUITY",DataH!$C$23, "BEST_FPERIOD_OVERRIDE", MID(DataH!I$22, 3, 2)&amp;"BC", "EQY_CONSOLIDATED", DataH!$D$18)*DataH!$D$23)</f>
        <v/>
      </c>
      <c r="U122" s="127" t="str">
        <f>IF($A122="","",_xll.BDP($A122&amp;" EQUITY",DataH!$C$23,"BEST_FPERIOD_OVERRIDE",MID(DataH!J$22,3,2)&amp;"BC","EQY_CONSOLIDATED",DataH!$D$18)*DataH!$D$23)</f>
        <v/>
      </c>
      <c r="V122" s="127" t="str">
        <f>IF($A122="","",_xll.BDP($A122&amp;" EQUITY",DataH!$C$23, "BEST_FPERIOD_OVERRIDE", MID(DataH!K$22, 3, 2)&amp;"BC", "EQY_CONSOLIDATED", DataH!$D$18)*DataH!$D$23)</f>
        <v/>
      </c>
      <c r="W122" s="494" t="str">
        <f>IF($A122="","",_xll.BDP($A122&amp;" EQUITY",DataH!$C$23, "BEST_FPERIOD_OVERRIDE", MID(DataH!L$22, 3, 2)&amp;"BC", "EQY_CONSOLIDATED", DataH!$D$18)*DataH!$D$23)</f>
        <v/>
      </c>
      <c r="X122" s="256" t="str">
        <f>IF($A122="","",_xll.BDP($A122&amp;" EQUITY",DataH!$C$23, "BEST_FPERIOD_OVERRIDE", MID(DataH!M$22, 3, 2)&amp;"BC", "EQY_CONSOLIDATED", DataH!$D$18)*DataH!$D$23)</f>
        <v/>
      </c>
      <c r="Y122" s="257" t="str">
        <f>IF($A122="","",_xll.BDP($A121&amp;" EQUITY",DataH!$C$23, "BEST_FPERIOD_OVERRIDE", MID(DataH!N$22, 3, 2)&amp;"BC", "EQY_CONSOLIDATED", DataH!$D$18)*DataH!$D$23)</f>
        <v/>
      </c>
      <c r="AC122" s="5" t="e">
        <f>IF(YEAR(_xll.BToday())-YEAR(_xll.BDP($A122 &amp;" EQUITY", "EQY_FISCAL_YR_END"))&gt;=2, YEAR(_xll.BToday())-1, YEAR(_xll.BToday()))</f>
        <v>#N/A</v>
      </c>
    </row>
    <row r="123" spans="1:29" ht="15" customHeight="1">
      <c r="A123" s="164" t="str">
        <f>IF(C123&lt;&gt;"", IF(ISNUMBER(FIND("EQUITY", UPPER(C123), 1)), _xll.BDP(C123, "TICKER_AND_EXCH_CODE"), C123), "")</f>
        <v/>
      </c>
      <c r="C123" s="590"/>
      <c r="D123" s="571"/>
      <c r="E123" s="780" t="str">
        <f>IF(A123="","",IF(Lang="English",_xll.BDP(A123&amp;" EQUITY","NAME"),IF(Lang="中文",_xll.BDP(A123&amp;" EQUITY","NAME_CHINESE_TRADITIONAL"),_xll.BDP(A123&amp;" EQUITY","NAME_KANJI"))))</f>
        <v/>
      </c>
      <c r="F123" s="781"/>
      <c r="G123" s="782"/>
      <c r="H123" s="780" t="str">
        <f>IF(A123="", "", _xll.BDP(A123 &amp; " EQUITY", "GICS_SUB_INDUSTRY_NAME"))</f>
        <v/>
      </c>
      <c r="I123" s="781"/>
      <c r="J123" s="782"/>
      <c r="K123" s="572" t="str">
        <f>IF($A123="", "", _xll.BDP($A123 &amp; " EQUITY", "CRNCY"))</f>
        <v/>
      </c>
      <c r="L123" s="573"/>
      <c r="M123" s="574" t="str">
        <f>IF(OR($A123="", ISERROR(_xll.BDP($A123 &amp; " EQUITY", "CRNCY_ADJ_MKT_CAP")*1)), "", _xll.BDP($A123 &amp; " EQUITY", "CRNCY_ADJ_MKT_CAP"))</f>
        <v/>
      </c>
      <c r="N123" s="575" t="str">
        <f>IF(OR($A123="", ISERROR(_xll.BDP($A123 &amp; " EQUITY", "CRNCY_ADJ_MKT_CAP", "EQY_FUND_CRNCY", CURRENCY)*1)), "", _xll.BDP($A123 &amp; " EQUITY", "CRNCY_ADJ_MKT_CAP", "EQY_FUND_CRNCY", CURRENCY))</f>
        <v/>
      </c>
      <c r="O123" s="146"/>
      <c r="P123" s="576" t="str">
        <f>IF($A123="","",_xll.BDP($A123 &amp;" EQUITY", "CUST_TRR_RETURN_HOLDING_PER", "CUST_TRR_START_DT", DataH!$F$22, "CUST_TRR_END_DT", DataH!$F$21, "CUST_TRR_CRNCY", CURRENCY)/100)</f>
        <v/>
      </c>
      <c r="Q123" s="577" t="str">
        <f>IF($A123="","",_xll.BDP($A123&amp;" EQUITY","CUST_TRR_RETURN_HOLDING_PER","CUST_TRR_START_DT",DataH!$G$22,"CUST_TRR_END_DT",DataH!$F$21,"CUST_TRR_CRNCY",CURRENCY)/100)</f>
        <v/>
      </c>
      <c r="R123" s="578"/>
      <c r="S123" s="579" t="str">
        <f>IF($A123="","",_xll.BDP($A123&amp;" EQUITY",DataH!$C$23, "BEST_FPERIOD_OVERRIDE", MID(DataH!H$22, 3, 2)&amp;"BC", "EQY_CONSOLIDATED", DataH!$D$18)*DataH!$D$23)</f>
        <v/>
      </c>
      <c r="T123" s="580" t="str">
        <f>IF($A123="","",_xll.BDP($A123&amp;" EQUITY",DataH!$C$23, "BEST_FPERIOD_OVERRIDE", MID(DataH!I$22, 3, 2)&amp;"BC", "EQY_CONSOLIDATED", DataH!$D$18)*DataH!$D$23)</f>
        <v/>
      </c>
      <c r="U123" s="580" t="str">
        <f>IF($A123="","",_xll.BDP($A123&amp;" EQUITY",DataH!$C$23,"BEST_FPERIOD_OVERRIDE",MID(DataH!J$22,3,2)&amp;"BC","EQY_CONSOLIDATED",DataH!$D$18)*DataH!$D$23)</f>
        <v/>
      </c>
      <c r="V123" s="580" t="str">
        <f>IF($A123="","",_xll.BDP($A123&amp;" EQUITY",DataH!$C$23, "BEST_FPERIOD_OVERRIDE", MID(DataH!K$22, 3, 2)&amp;"BC", "EQY_CONSOLIDATED", DataH!$D$18)*DataH!$D$23)</f>
        <v/>
      </c>
      <c r="W123" s="581" t="str">
        <f>IF($A123="","",_xll.BDP($A123&amp;" EQUITY",DataH!$C$23, "BEST_FPERIOD_OVERRIDE", MID(DataH!L$22, 3, 2)&amp;"BC", "EQY_CONSOLIDATED", DataH!$D$18)*DataH!$D$23)</f>
        <v/>
      </c>
      <c r="X123" s="582" t="str">
        <f>IF($A123="","",_xll.BDP($A123&amp;" EQUITY",DataH!$C$23, "BEST_FPERIOD_OVERRIDE", MID(DataH!M$22, 3, 2)&amp;"BC", "EQY_CONSOLIDATED", DataH!$D$18)*DataH!$D$23)</f>
        <v/>
      </c>
      <c r="Y123" s="583" t="str">
        <f>IF($A123="","",_xll.BDP($A122&amp;" EQUITY",DataH!$C$23, "BEST_FPERIOD_OVERRIDE", MID(DataH!N$22, 3, 2)&amp;"BC", "EQY_CONSOLIDATED", DataH!$D$18)*DataH!$D$23)</f>
        <v/>
      </c>
      <c r="AC123" s="5" t="e">
        <f>IF(YEAR(_xll.BToday())-YEAR(_xll.BDP($A123 &amp;" EQUITY", "EQY_FISCAL_YR_END"))&gt;=2, YEAR(_xll.BToday())-1, YEAR(_xll.BToday()))</f>
        <v>#N/A</v>
      </c>
    </row>
    <row r="124" spans="1:29" ht="15" customHeight="1">
      <c r="A124" s="164" t="str">
        <f>IF(C124&lt;&gt;"", IF(ISNUMBER(FIND("EQUITY", UPPER(C124), 1)), _xll.BDP(C124, "TICKER_AND_EXCH_CODE"), C124), "")</f>
        <v/>
      </c>
      <c r="C124" s="589"/>
      <c r="D124" s="568"/>
      <c r="E124" s="763" t="str">
        <f>IF(A124="","",IF(Lang="English",_xll.BDP(A124&amp;" EQUITY","NAME"),IF(Lang="中文",_xll.BDP(A124&amp;" EQUITY","NAME_CHINESE_TRADITIONAL"),_xll.BDP(A124&amp;" EQUITY","NAME_KANJI"))))</f>
        <v/>
      </c>
      <c r="F124" s="764"/>
      <c r="G124" s="765"/>
      <c r="H124" s="763" t="str">
        <f>IF(A124="", "", _xll.BDP(A124 &amp; " EQUITY", "GICS_SUB_INDUSTRY_NAME"))</f>
        <v/>
      </c>
      <c r="I124" s="764"/>
      <c r="J124" s="765"/>
      <c r="K124" s="509" t="str">
        <f>IF($A124="", "", _xll.BDP($A124 &amp; " EQUITY", "CRNCY"))</f>
        <v/>
      </c>
      <c r="L124" s="276"/>
      <c r="M124" s="277" t="str">
        <f>IF(OR($A124="", ISERROR(_xll.BDP($A124 &amp; " EQUITY", "CRNCY_ADJ_MKT_CAP")*1)), "", _xll.BDP($A124 &amp; " EQUITY", "CRNCY_ADJ_MKT_CAP"))</f>
        <v/>
      </c>
      <c r="N124" s="278" t="str">
        <f>IF(OR($A124="", ISERROR(_xll.BDP($A124 &amp; " EQUITY", "CRNCY_ADJ_MKT_CAP", "EQY_FUND_CRNCY", CURRENCY)*1)), "", _xll.BDP($A124 &amp; " EQUITY", "CRNCY_ADJ_MKT_CAP", "EQY_FUND_CRNCY", CURRENCY))</f>
        <v/>
      </c>
      <c r="O124" s="146"/>
      <c r="P124" s="279" t="str">
        <f>IF($A124="","",_xll.BDP($A124 &amp;" EQUITY", "CUST_TRR_RETURN_HOLDING_PER", "CUST_TRR_START_DT", DataH!$F$22, "CUST_TRR_END_DT", DataH!$F$21, "CUST_TRR_CRNCY", CURRENCY)/100)</f>
        <v/>
      </c>
      <c r="Q124" s="102" t="str">
        <f>IF($A124="","",_xll.BDP($A124&amp;" EQUITY","CUST_TRR_RETURN_HOLDING_PER","CUST_TRR_START_DT",DataH!$G$22,"CUST_TRR_END_DT",DataH!$F$21,"CUST_TRR_CRNCY",CURRENCY)/100)</f>
        <v/>
      </c>
      <c r="R124" s="216"/>
      <c r="S124" s="280" t="str">
        <f>IF($A124="","",_xll.BDP($A124&amp;" EQUITY",DataH!$C$23, "BEST_FPERIOD_OVERRIDE", MID(DataH!H$22, 3, 2)&amp;"BC", "EQY_CONSOLIDATED", DataH!$D$18)*DataH!$D$23)</f>
        <v/>
      </c>
      <c r="T124" s="127" t="str">
        <f>IF($A124="","",_xll.BDP($A124&amp;" EQUITY",DataH!$C$23, "BEST_FPERIOD_OVERRIDE", MID(DataH!I$22, 3, 2)&amp;"BC", "EQY_CONSOLIDATED", DataH!$D$18)*DataH!$D$23)</f>
        <v/>
      </c>
      <c r="U124" s="127" t="str">
        <f>IF($A124="","",_xll.BDP($A124&amp;" EQUITY",DataH!$C$23,"BEST_FPERIOD_OVERRIDE",MID(DataH!J$22,3,2)&amp;"BC","EQY_CONSOLIDATED",DataH!$D$18)*DataH!$D$23)</f>
        <v/>
      </c>
      <c r="V124" s="127" t="str">
        <f>IF($A124="","",_xll.BDP($A124&amp;" EQUITY",DataH!$C$23, "BEST_FPERIOD_OVERRIDE", MID(DataH!K$22, 3, 2)&amp;"BC", "EQY_CONSOLIDATED", DataH!$D$18)*DataH!$D$23)</f>
        <v/>
      </c>
      <c r="W124" s="494" t="str">
        <f>IF($A124="","",_xll.BDP($A124&amp;" EQUITY",DataH!$C$23, "BEST_FPERIOD_OVERRIDE", MID(DataH!L$22, 3, 2)&amp;"BC", "EQY_CONSOLIDATED", DataH!$D$18)*DataH!$D$23)</f>
        <v/>
      </c>
      <c r="X124" s="256" t="str">
        <f>IF($A124="","",_xll.BDP($A124&amp;" EQUITY",DataH!$C$23, "BEST_FPERIOD_OVERRIDE", MID(DataH!M$22, 3, 2)&amp;"BC", "EQY_CONSOLIDATED", DataH!$D$18)*DataH!$D$23)</f>
        <v/>
      </c>
      <c r="Y124" s="257" t="str">
        <f>IF($A124="","",_xll.BDP($A123&amp;" EQUITY",DataH!$C$23, "BEST_FPERIOD_OVERRIDE", MID(DataH!N$22, 3, 2)&amp;"BC", "EQY_CONSOLIDATED", DataH!$D$18)*DataH!$D$23)</f>
        <v/>
      </c>
      <c r="AC124" s="5" t="e">
        <f>IF(YEAR(_xll.BToday())-YEAR(_xll.BDP($A124 &amp;" EQUITY", "EQY_FISCAL_YR_END"))&gt;=2, YEAR(_xll.BToday())-1, YEAR(_xll.BToday()))</f>
        <v>#N/A</v>
      </c>
    </row>
    <row r="125" spans="1:29" ht="15" customHeight="1">
      <c r="A125" s="164" t="str">
        <f>IF(C125&lt;&gt;"", IF(ISNUMBER(FIND("EQUITY", UPPER(C125), 1)), _xll.BDP(C125, "TICKER_AND_EXCH_CODE"), C125), "")</f>
        <v/>
      </c>
      <c r="C125" s="590"/>
      <c r="D125" s="571"/>
      <c r="E125" s="780" t="str">
        <f>IF(A125="","",IF(Lang="English",_xll.BDP(A125&amp;" EQUITY","NAME"),IF(Lang="中文",_xll.BDP(A125&amp;" EQUITY","NAME_CHINESE_TRADITIONAL"),_xll.BDP(A125&amp;" EQUITY","NAME_KANJI"))))</f>
        <v/>
      </c>
      <c r="F125" s="781"/>
      <c r="G125" s="782"/>
      <c r="H125" s="780" t="str">
        <f>IF(A125="", "", _xll.BDP(A125 &amp; " EQUITY", "GICS_SUB_INDUSTRY_NAME"))</f>
        <v/>
      </c>
      <c r="I125" s="781"/>
      <c r="J125" s="782"/>
      <c r="K125" s="572" t="str">
        <f>IF($A125="", "", _xll.BDP($A125 &amp; " EQUITY", "CRNCY"))</f>
        <v/>
      </c>
      <c r="L125" s="573"/>
      <c r="M125" s="574" t="str">
        <f>IF(OR($A125="", ISERROR(_xll.BDP($A125 &amp; " EQUITY", "CRNCY_ADJ_MKT_CAP")*1)), "", _xll.BDP($A125 &amp; " EQUITY", "CRNCY_ADJ_MKT_CAP"))</f>
        <v/>
      </c>
      <c r="N125" s="575" t="str">
        <f>IF(OR($A125="", ISERROR(_xll.BDP($A125 &amp; " EQUITY", "CRNCY_ADJ_MKT_CAP", "EQY_FUND_CRNCY", CURRENCY)*1)), "", _xll.BDP($A125 &amp; " EQUITY", "CRNCY_ADJ_MKT_CAP", "EQY_FUND_CRNCY", CURRENCY))</f>
        <v/>
      </c>
      <c r="O125" s="146"/>
      <c r="P125" s="576" t="str">
        <f>IF($A125="","",_xll.BDP($A125 &amp;" EQUITY", "CUST_TRR_RETURN_HOLDING_PER", "CUST_TRR_START_DT", DataH!$F$22, "CUST_TRR_END_DT", DataH!$F$21, "CUST_TRR_CRNCY", CURRENCY)/100)</f>
        <v/>
      </c>
      <c r="Q125" s="577" t="str">
        <f>IF($A125="","",_xll.BDP($A125&amp;" EQUITY","CUST_TRR_RETURN_HOLDING_PER","CUST_TRR_START_DT",DataH!$G$22,"CUST_TRR_END_DT",DataH!$F$21,"CUST_TRR_CRNCY",CURRENCY)/100)</f>
        <v/>
      </c>
      <c r="R125" s="578"/>
      <c r="S125" s="579" t="str">
        <f>IF($A125="","",_xll.BDP($A125&amp;" EQUITY",DataH!$C$23, "BEST_FPERIOD_OVERRIDE", MID(DataH!H$22, 3, 2)&amp;"BC", "EQY_CONSOLIDATED", DataH!$D$18)*DataH!$D$23)</f>
        <v/>
      </c>
      <c r="T125" s="580" t="str">
        <f>IF($A125="","",_xll.BDP($A125&amp;" EQUITY",DataH!$C$23, "BEST_FPERIOD_OVERRIDE", MID(DataH!I$22, 3, 2)&amp;"BC", "EQY_CONSOLIDATED", DataH!$D$18)*DataH!$D$23)</f>
        <v/>
      </c>
      <c r="U125" s="580" t="str">
        <f>IF($A125="","",_xll.BDP($A125&amp;" EQUITY",DataH!$C$23,"BEST_FPERIOD_OVERRIDE",MID(DataH!J$22,3,2)&amp;"BC","EQY_CONSOLIDATED",DataH!$D$18)*DataH!$D$23)</f>
        <v/>
      </c>
      <c r="V125" s="580" t="str">
        <f>IF($A125="","",_xll.BDP($A125&amp;" EQUITY",DataH!$C$23, "BEST_FPERIOD_OVERRIDE", MID(DataH!K$22, 3, 2)&amp;"BC", "EQY_CONSOLIDATED", DataH!$D$18)*DataH!$D$23)</f>
        <v/>
      </c>
      <c r="W125" s="581" t="str">
        <f>IF($A125="","",_xll.BDP($A125&amp;" EQUITY",DataH!$C$23, "BEST_FPERIOD_OVERRIDE", MID(DataH!L$22, 3, 2)&amp;"BC", "EQY_CONSOLIDATED", DataH!$D$18)*DataH!$D$23)</f>
        <v/>
      </c>
      <c r="X125" s="582" t="str">
        <f>IF($A125="","",_xll.BDP($A125&amp;" EQUITY",DataH!$C$23, "BEST_FPERIOD_OVERRIDE", MID(DataH!M$22, 3, 2)&amp;"BC", "EQY_CONSOLIDATED", DataH!$D$18)*DataH!$D$23)</f>
        <v/>
      </c>
      <c r="Y125" s="583" t="str">
        <f>IF($A125="","",_xll.BDP($A124&amp;" EQUITY",DataH!$C$23, "BEST_FPERIOD_OVERRIDE", MID(DataH!N$22, 3, 2)&amp;"BC", "EQY_CONSOLIDATED", DataH!$D$18)*DataH!$D$23)</f>
        <v/>
      </c>
      <c r="AC125" s="5" t="e">
        <f>IF(YEAR(_xll.BToday())-YEAR(_xll.BDP($A125 &amp;" EQUITY", "EQY_FISCAL_YR_END"))&gt;=2, YEAR(_xll.BToday())-1, YEAR(_xll.BToday()))</f>
        <v>#N/A</v>
      </c>
    </row>
    <row r="126" spans="1:29" ht="15" customHeight="1">
      <c r="A126" s="164" t="str">
        <f>IF(C126&lt;&gt;"", IF(ISNUMBER(FIND("EQUITY", UPPER(C126), 1)), _xll.BDP(C126, "TICKER_AND_EXCH_CODE"), C126), "")</f>
        <v/>
      </c>
      <c r="C126" s="589"/>
      <c r="D126" s="568"/>
      <c r="E126" s="763" t="str">
        <f>IF(A126="","",IF(Lang="English",_xll.BDP(A126&amp;" EQUITY","NAME"),IF(Lang="中文",_xll.BDP(A126&amp;" EQUITY","NAME_CHINESE_TRADITIONAL"),_xll.BDP(A126&amp;" EQUITY","NAME_KANJI"))))</f>
        <v/>
      </c>
      <c r="F126" s="764"/>
      <c r="G126" s="765"/>
      <c r="H126" s="763" t="str">
        <f>IF(A126="", "", _xll.BDP(A126 &amp; " EQUITY", "GICS_SUB_INDUSTRY_NAME"))</f>
        <v/>
      </c>
      <c r="I126" s="764"/>
      <c r="J126" s="765"/>
      <c r="K126" s="509" t="str">
        <f>IF($A126="", "", _xll.BDP($A126 &amp; " EQUITY", "CRNCY"))</f>
        <v/>
      </c>
      <c r="L126" s="276"/>
      <c r="M126" s="277" t="str">
        <f>IF(OR($A126="", ISERROR(_xll.BDP($A126 &amp; " EQUITY", "CRNCY_ADJ_MKT_CAP")*1)), "", _xll.BDP($A126 &amp; " EQUITY", "CRNCY_ADJ_MKT_CAP"))</f>
        <v/>
      </c>
      <c r="N126" s="278" t="str">
        <f>IF(OR($A126="", ISERROR(_xll.BDP($A126 &amp; " EQUITY", "CRNCY_ADJ_MKT_CAP", "EQY_FUND_CRNCY", CURRENCY)*1)), "", _xll.BDP($A126 &amp; " EQUITY", "CRNCY_ADJ_MKT_CAP", "EQY_FUND_CRNCY", CURRENCY))</f>
        <v/>
      </c>
      <c r="O126" s="146"/>
      <c r="P126" s="279" t="str">
        <f>IF($A126="","",_xll.BDP($A126 &amp;" EQUITY", "CUST_TRR_RETURN_HOLDING_PER", "CUST_TRR_START_DT", DataH!$F$22, "CUST_TRR_END_DT", DataH!$F$21, "CUST_TRR_CRNCY", CURRENCY)/100)</f>
        <v/>
      </c>
      <c r="Q126" s="102" t="str">
        <f>IF($A126="","",_xll.BDP($A126&amp;" EQUITY","CUST_TRR_RETURN_HOLDING_PER","CUST_TRR_START_DT",DataH!$G$22,"CUST_TRR_END_DT",DataH!$F$21,"CUST_TRR_CRNCY",CURRENCY)/100)</f>
        <v/>
      </c>
      <c r="R126" s="216"/>
      <c r="S126" s="280" t="str">
        <f>IF($A126="","",_xll.BDP($A126&amp;" EQUITY",DataH!$C$23, "BEST_FPERIOD_OVERRIDE", MID(DataH!H$22, 3, 2)&amp;"BC", "EQY_CONSOLIDATED", DataH!$D$18)*DataH!$D$23)</f>
        <v/>
      </c>
      <c r="T126" s="127" t="str">
        <f>IF($A126="","",_xll.BDP($A126&amp;" EQUITY",DataH!$C$23, "BEST_FPERIOD_OVERRIDE", MID(DataH!I$22, 3, 2)&amp;"BC", "EQY_CONSOLIDATED", DataH!$D$18)*DataH!$D$23)</f>
        <v/>
      </c>
      <c r="U126" s="127" t="str">
        <f>IF($A126="","",_xll.BDP($A126&amp;" EQUITY",DataH!$C$23,"BEST_FPERIOD_OVERRIDE",MID(DataH!J$22,3,2)&amp;"BC","EQY_CONSOLIDATED",DataH!$D$18)*DataH!$D$23)</f>
        <v/>
      </c>
      <c r="V126" s="127" t="str">
        <f>IF($A126="","",_xll.BDP($A126&amp;" EQUITY",DataH!$C$23, "BEST_FPERIOD_OVERRIDE", MID(DataH!K$22, 3, 2)&amp;"BC", "EQY_CONSOLIDATED", DataH!$D$18)*DataH!$D$23)</f>
        <v/>
      </c>
      <c r="W126" s="494" t="str">
        <f>IF($A126="","",_xll.BDP($A126&amp;" EQUITY",DataH!$C$23, "BEST_FPERIOD_OVERRIDE", MID(DataH!L$22, 3, 2)&amp;"BC", "EQY_CONSOLIDATED", DataH!$D$18)*DataH!$D$23)</f>
        <v/>
      </c>
      <c r="X126" s="256" t="str">
        <f>IF($A126="","",_xll.BDP($A126&amp;" EQUITY",DataH!$C$23, "BEST_FPERIOD_OVERRIDE", MID(DataH!M$22, 3, 2)&amp;"BC", "EQY_CONSOLIDATED", DataH!$D$18)*DataH!$D$23)</f>
        <v/>
      </c>
      <c r="Y126" s="257" t="str">
        <f>IF($A126="","",_xll.BDP($A125&amp;" EQUITY",DataH!$C$23, "BEST_FPERIOD_OVERRIDE", MID(DataH!N$22, 3, 2)&amp;"BC", "EQY_CONSOLIDATED", DataH!$D$18)*DataH!$D$23)</f>
        <v/>
      </c>
      <c r="AC126" s="5" t="e">
        <f>IF(YEAR(_xll.BToday())-YEAR(_xll.BDP($A126 &amp;" EQUITY", "EQY_FISCAL_YR_END"))&gt;=2, YEAR(_xll.BToday())-1, YEAR(_xll.BToday()))</f>
        <v>#N/A</v>
      </c>
    </row>
    <row r="127" spans="1:29" ht="15" customHeight="1">
      <c r="A127" s="164" t="str">
        <f>IF(C127&lt;&gt;"", IF(ISNUMBER(FIND("EQUITY", UPPER(C127), 1)), _xll.BDP(C127, "TICKER_AND_EXCH_CODE"), C127), "")</f>
        <v/>
      </c>
      <c r="C127" s="590"/>
      <c r="D127" s="571"/>
      <c r="E127" s="780" t="str">
        <f>IF(A127="","",IF(Lang="English",_xll.BDP(A127&amp;" EQUITY","NAME"),IF(Lang="中文",_xll.BDP(A127&amp;" EQUITY","NAME_CHINESE_TRADITIONAL"),_xll.BDP(A127&amp;" EQUITY","NAME_KANJI"))))</f>
        <v/>
      </c>
      <c r="F127" s="781"/>
      <c r="G127" s="782"/>
      <c r="H127" s="780" t="str">
        <f>IF(A127="", "", _xll.BDP(A127 &amp; " EQUITY", "GICS_SUB_INDUSTRY_NAME"))</f>
        <v/>
      </c>
      <c r="I127" s="781"/>
      <c r="J127" s="782"/>
      <c r="K127" s="572" t="str">
        <f>IF($A127="", "", _xll.BDP($A127 &amp; " EQUITY", "CRNCY"))</f>
        <v/>
      </c>
      <c r="L127" s="573"/>
      <c r="M127" s="574" t="str">
        <f>IF(OR($A127="", ISERROR(_xll.BDP($A127 &amp; " EQUITY", "CRNCY_ADJ_MKT_CAP")*1)), "", _xll.BDP($A127 &amp; " EQUITY", "CRNCY_ADJ_MKT_CAP"))</f>
        <v/>
      </c>
      <c r="N127" s="575" t="str">
        <f>IF(OR($A127="", ISERROR(_xll.BDP($A127 &amp; " EQUITY", "CRNCY_ADJ_MKT_CAP", "EQY_FUND_CRNCY", CURRENCY)*1)), "", _xll.BDP($A127 &amp; " EQUITY", "CRNCY_ADJ_MKT_CAP", "EQY_FUND_CRNCY", CURRENCY))</f>
        <v/>
      </c>
      <c r="O127" s="146"/>
      <c r="P127" s="576" t="str">
        <f>IF($A127="","",_xll.BDP($A127 &amp;" EQUITY", "CUST_TRR_RETURN_HOLDING_PER", "CUST_TRR_START_DT", DataH!$F$22, "CUST_TRR_END_DT", DataH!$F$21, "CUST_TRR_CRNCY", CURRENCY)/100)</f>
        <v/>
      </c>
      <c r="Q127" s="577" t="str">
        <f>IF($A127="","",_xll.BDP($A127&amp;" EQUITY","CUST_TRR_RETURN_HOLDING_PER","CUST_TRR_START_DT",DataH!$G$22,"CUST_TRR_END_DT",DataH!$F$21,"CUST_TRR_CRNCY",CURRENCY)/100)</f>
        <v/>
      </c>
      <c r="R127" s="578"/>
      <c r="S127" s="579" t="str">
        <f>IF($A127="","",_xll.BDP($A127&amp;" EQUITY",DataH!$C$23, "BEST_FPERIOD_OVERRIDE", MID(DataH!H$22, 3, 2)&amp;"BC", "EQY_CONSOLIDATED", DataH!$D$18)*DataH!$D$23)</f>
        <v/>
      </c>
      <c r="T127" s="580" t="str">
        <f>IF($A127="","",_xll.BDP($A127&amp;" EQUITY",DataH!$C$23, "BEST_FPERIOD_OVERRIDE", MID(DataH!I$22, 3, 2)&amp;"BC", "EQY_CONSOLIDATED", DataH!$D$18)*DataH!$D$23)</f>
        <v/>
      </c>
      <c r="U127" s="580" t="str">
        <f>IF($A127="","",_xll.BDP($A127&amp;" EQUITY",DataH!$C$23,"BEST_FPERIOD_OVERRIDE",MID(DataH!J$22,3,2)&amp;"BC","EQY_CONSOLIDATED",DataH!$D$18)*DataH!$D$23)</f>
        <v/>
      </c>
      <c r="V127" s="580" t="str">
        <f>IF($A127="","",_xll.BDP($A127&amp;" EQUITY",DataH!$C$23, "BEST_FPERIOD_OVERRIDE", MID(DataH!K$22, 3, 2)&amp;"BC", "EQY_CONSOLIDATED", DataH!$D$18)*DataH!$D$23)</f>
        <v/>
      </c>
      <c r="W127" s="581" t="str">
        <f>IF($A127="","",_xll.BDP($A127&amp;" EQUITY",DataH!$C$23, "BEST_FPERIOD_OVERRIDE", MID(DataH!L$22, 3, 2)&amp;"BC", "EQY_CONSOLIDATED", DataH!$D$18)*DataH!$D$23)</f>
        <v/>
      </c>
      <c r="X127" s="582" t="str">
        <f>IF($A127="","",_xll.BDP($A127&amp;" EQUITY",DataH!$C$23, "BEST_FPERIOD_OVERRIDE", MID(DataH!M$22, 3, 2)&amp;"BC", "EQY_CONSOLIDATED", DataH!$D$18)*DataH!$D$23)</f>
        <v/>
      </c>
      <c r="Y127" s="583" t="str">
        <f>IF($A127="","",_xll.BDP($A126&amp;" EQUITY",DataH!$C$23, "BEST_FPERIOD_OVERRIDE", MID(DataH!N$22, 3, 2)&amp;"BC", "EQY_CONSOLIDATED", DataH!$D$18)*DataH!$D$23)</f>
        <v/>
      </c>
      <c r="AC127" s="5" t="e">
        <f>IF(YEAR(_xll.BToday())-YEAR(_xll.BDP($A127 &amp;" EQUITY", "EQY_FISCAL_YR_END"))&gt;=2, YEAR(_xll.BToday())-1, YEAR(_xll.BToday()))</f>
        <v>#N/A</v>
      </c>
    </row>
    <row r="128" spans="1:29" ht="15" customHeight="1">
      <c r="A128" s="164" t="str">
        <f>IF(C128&lt;&gt;"", IF(ISNUMBER(FIND("EQUITY", UPPER(C128), 1)), _xll.BDP(C128, "TICKER_AND_EXCH_CODE"), C128), "")</f>
        <v/>
      </c>
      <c r="C128" s="589"/>
      <c r="D128" s="568"/>
      <c r="E128" s="763" t="str">
        <f>IF(A128="","",IF(Lang="English",_xll.BDP(A128&amp;" EQUITY","NAME"),IF(Lang="中文",_xll.BDP(A128&amp;" EQUITY","NAME_CHINESE_TRADITIONAL"),_xll.BDP(A128&amp;" EQUITY","NAME_KANJI"))))</f>
        <v/>
      </c>
      <c r="F128" s="764"/>
      <c r="G128" s="765"/>
      <c r="H128" s="763" t="str">
        <f>IF(A128="", "", _xll.BDP(A128 &amp; " EQUITY", "GICS_SUB_INDUSTRY_NAME"))</f>
        <v/>
      </c>
      <c r="I128" s="764"/>
      <c r="J128" s="765"/>
      <c r="K128" s="509" t="str">
        <f>IF($A128="", "", _xll.BDP($A128 &amp; " EQUITY", "CRNCY"))</f>
        <v/>
      </c>
      <c r="L128" s="276"/>
      <c r="M128" s="277" t="str">
        <f>IF(OR($A128="", ISERROR(_xll.BDP($A128 &amp; " EQUITY", "CRNCY_ADJ_MKT_CAP")*1)), "", _xll.BDP($A128 &amp; " EQUITY", "CRNCY_ADJ_MKT_CAP"))</f>
        <v/>
      </c>
      <c r="N128" s="278" t="str">
        <f>IF(OR($A128="", ISERROR(_xll.BDP($A128 &amp; " EQUITY", "CRNCY_ADJ_MKT_CAP", "EQY_FUND_CRNCY", CURRENCY)*1)), "", _xll.BDP($A128 &amp; " EQUITY", "CRNCY_ADJ_MKT_CAP", "EQY_FUND_CRNCY", CURRENCY))</f>
        <v/>
      </c>
      <c r="O128" s="146"/>
      <c r="P128" s="279" t="str">
        <f>IF($A128="","",_xll.BDP($A128 &amp;" EQUITY", "CUST_TRR_RETURN_HOLDING_PER", "CUST_TRR_START_DT", DataH!$F$22, "CUST_TRR_END_DT", DataH!$F$21, "CUST_TRR_CRNCY", CURRENCY)/100)</f>
        <v/>
      </c>
      <c r="Q128" s="102" t="str">
        <f>IF($A128="","",_xll.BDP($A128&amp;" EQUITY","CUST_TRR_RETURN_HOLDING_PER","CUST_TRR_START_DT",DataH!$G$22,"CUST_TRR_END_DT",DataH!$F$21,"CUST_TRR_CRNCY",CURRENCY)/100)</f>
        <v/>
      </c>
      <c r="R128" s="216"/>
      <c r="S128" s="280" t="str">
        <f>IF($A128="","",_xll.BDP($A128&amp;" EQUITY",DataH!$C$23, "BEST_FPERIOD_OVERRIDE", MID(DataH!H$22, 3, 2)&amp;"BC", "EQY_CONSOLIDATED", DataH!$D$18)*DataH!$D$23)</f>
        <v/>
      </c>
      <c r="T128" s="127" t="str">
        <f>IF($A128="","",_xll.BDP($A128&amp;" EQUITY",DataH!$C$23, "BEST_FPERIOD_OVERRIDE", MID(DataH!I$22, 3, 2)&amp;"BC", "EQY_CONSOLIDATED", DataH!$D$18)*DataH!$D$23)</f>
        <v/>
      </c>
      <c r="U128" s="127" t="str">
        <f>IF($A128="","",_xll.BDP($A128&amp;" EQUITY",DataH!$C$23,"BEST_FPERIOD_OVERRIDE",MID(DataH!J$22,3,2)&amp;"BC","EQY_CONSOLIDATED",DataH!$D$18)*DataH!$D$23)</f>
        <v/>
      </c>
      <c r="V128" s="127" t="str">
        <f>IF($A128="","",_xll.BDP($A128&amp;" EQUITY",DataH!$C$23, "BEST_FPERIOD_OVERRIDE", MID(DataH!K$22, 3, 2)&amp;"BC", "EQY_CONSOLIDATED", DataH!$D$18)*DataH!$D$23)</f>
        <v/>
      </c>
      <c r="W128" s="494" t="str">
        <f>IF($A128="","",_xll.BDP($A128&amp;" EQUITY",DataH!$C$23, "BEST_FPERIOD_OVERRIDE", MID(DataH!L$22, 3, 2)&amp;"BC", "EQY_CONSOLIDATED", DataH!$D$18)*DataH!$D$23)</f>
        <v/>
      </c>
      <c r="X128" s="256" t="str">
        <f>IF($A128="","",_xll.BDP($A128&amp;" EQUITY",DataH!$C$23, "BEST_FPERIOD_OVERRIDE", MID(DataH!M$22, 3, 2)&amp;"BC", "EQY_CONSOLIDATED", DataH!$D$18)*DataH!$D$23)</f>
        <v/>
      </c>
      <c r="Y128" s="257" t="str">
        <f>IF($A128="","",_xll.BDP($A127&amp;" EQUITY",DataH!$C$23, "BEST_FPERIOD_OVERRIDE", MID(DataH!N$22, 3, 2)&amp;"BC", "EQY_CONSOLIDATED", DataH!$D$18)*DataH!$D$23)</f>
        <v/>
      </c>
      <c r="AC128" s="5" t="e">
        <f>IF(YEAR(_xll.BToday())-YEAR(_xll.BDP($A128 &amp;" EQUITY", "EQY_FISCAL_YR_END"))&gt;=2, YEAR(_xll.BToday())-1, YEAR(_xll.BToday()))</f>
        <v>#N/A</v>
      </c>
    </row>
    <row r="129" spans="1:29" ht="15" customHeight="1">
      <c r="A129" s="164" t="str">
        <f>IF(C129&lt;&gt;"", IF(ISNUMBER(FIND("EQUITY", UPPER(C129), 1)), _xll.BDP(C129, "TICKER_AND_EXCH_CODE"), C129), "")</f>
        <v/>
      </c>
      <c r="C129" s="590"/>
      <c r="D129" s="571"/>
      <c r="E129" s="780" t="str">
        <f>IF(A129="","",IF(Lang="English",_xll.BDP(A129&amp;" EQUITY","NAME"),IF(Lang="中文",_xll.BDP(A129&amp;" EQUITY","NAME_CHINESE_TRADITIONAL"),_xll.BDP(A129&amp;" EQUITY","NAME_KANJI"))))</f>
        <v/>
      </c>
      <c r="F129" s="781"/>
      <c r="G129" s="782"/>
      <c r="H129" s="780" t="str">
        <f>IF(A129="", "", _xll.BDP(A129 &amp; " EQUITY", "GICS_SUB_INDUSTRY_NAME"))</f>
        <v/>
      </c>
      <c r="I129" s="781"/>
      <c r="J129" s="782"/>
      <c r="K129" s="572" t="str">
        <f>IF($A129="", "", _xll.BDP($A129 &amp; " EQUITY", "CRNCY"))</f>
        <v/>
      </c>
      <c r="L129" s="573"/>
      <c r="M129" s="574" t="str">
        <f>IF(OR($A129="", ISERROR(_xll.BDP($A129 &amp; " EQUITY", "CRNCY_ADJ_MKT_CAP")*1)), "", _xll.BDP($A129 &amp; " EQUITY", "CRNCY_ADJ_MKT_CAP"))</f>
        <v/>
      </c>
      <c r="N129" s="575" t="str">
        <f>IF(OR($A129="", ISERROR(_xll.BDP($A129 &amp; " EQUITY", "CRNCY_ADJ_MKT_CAP", "EQY_FUND_CRNCY", CURRENCY)*1)), "", _xll.BDP($A129 &amp; " EQUITY", "CRNCY_ADJ_MKT_CAP", "EQY_FUND_CRNCY", CURRENCY))</f>
        <v/>
      </c>
      <c r="O129" s="146"/>
      <c r="P129" s="576" t="str">
        <f>IF($A129="","",_xll.BDP($A129 &amp;" EQUITY", "CUST_TRR_RETURN_HOLDING_PER", "CUST_TRR_START_DT", DataH!$F$22, "CUST_TRR_END_DT", DataH!$F$21, "CUST_TRR_CRNCY", CURRENCY)/100)</f>
        <v/>
      </c>
      <c r="Q129" s="577" t="str">
        <f>IF($A129="","",_xll.BDP($A129&amp;" EQUITY","CUST_TRR_RETURN_HOLDING_PER","CUST_TRR_START_DT",DataH!$G$22,"CUST_TRR_END_DT",DataH!$F$21,"CUST_TRR_CRNCY",CURRENCY)/100)</f>
        <v/>
      </c>
      <c r="R129" s="578"/>
      <c r="S129" s="579" t="str">
        <f>IF($A129="","",_xll.BDP($A129&amp;" EQUITY",DataH!$C$23, "BEST_FPERIOD_OVERRIDE", MID(DataH!H$22, 3, 2)&amp;"BC", "EQY_CONSOLIDATED", DataH!$D$18)*DataH!$D$23)</f>
        <v/>
      </c>
      <c r="T129" s="580" t="str">
        <f>IF($A129="","",_xll.BDP($A129&amp;" EQUITY",DataH!$C$23, "BEST_FPERIOD_OVERRIDE", MID(DataH!I$22, 3, 2)&amp;"BC", "EQY_CONSOLIDATED", DataH!$D$18)*DataH!$D$23)</f>
        <v/>
      </c>
      <c r="U129" s="580" t="str">
        <f>IF($A129="","",_xll.BDP($A129&amp;" EQUITY",DataH!$C$23,"BEST_FPERIOD_OVERRIDE",MID(DataH!J$22,3,2)&amp;"BC","EQY_CONSOLIDATED",DataH!$D$18)*DataH!$D$23)</f>
        <v/>
      </c>
      <c r="V129" s="580" t="str">
        <f>IF($A129="","",_xll.BDP($A129&amp;" EQUITY",DataH!$C$23, "BEST_FPERIOD_OVERRIDE", MID(DataH!K$22, 3, 2)&amp;"BC", "EQY_CONSOLIDATED", DataH!$D$18)*DataH!$D$23)</f>
        <v/>
      </c>
      <c r="W129" s="581" t="str">
        <f>IF($A129="","",_xll.BDP($A129&amp;" EQUITY",DataH!$C$23, "BEST_FPERIOD_OVERRIDE", MID(DataH!L$22, 3, 2)&amp;"BC", "EQY_CONSOLIDATED", DataH!$D$18)*DataH!$D$23)</f>
        <v/>
      </c>
      <c r="X129" s="582" t="str">
        <f>IF($A129="","",_xll.BDP($A129&amp;" EQUITY",DataH!$C$23, "BEST_FPERIOD_OVERRIDE", MID(DataH!M$22, 3, 2)&amp;"BC", "EQY_CONSOLIDATED", DataH!$D$18)*DataH!$D$23)</f>
        <v/>
      </c>
      <c r="Y129" s="583" t="str">
        <f>IF($A129="","",_xll.BDP($A128&amp;" EQUITY",DataH!$C$23, "BEST_FPERIOD_OVERRIDE", MID(DataH!N$22, 3, 2)&amp;"BC", "EQY_CONSOLIDATED", DataH!$D$18)*DataH!$D$23)</f>
        <v/>
      </c>
      <c r="AC129" s="5" t="e">
        <f>IF(YEAR(_xll.BToday())-YEAR(_xll.BDP($A129 &amp;" EQUITY", "EQY_FISCAL_YR_END"))&gt;=2, YEAR(_xll.BToday())-1, YEAR(_xll.BToday()))</f>
        <v>#N/A</v>
      </c>
    </row>
    <row r="130" spans="1:29" ht="15" customHeight="1">
      <c r="A130" s="164" t="str">
        <f>IF(C130&lt;&gt;"", IF(ISNUMBER(FIND("EQUITY", UPPER(C130), 1)), _xll.BDP(C130, "TICKER_AND_EXCH_CODE"), C130), "")</f>
        <v/>
      </c>
      <c r="C130" s="589"/>
      <c r="D130" s="568"/>
      <c r="E130" s="763" t="str">
        <f>IF(A130="","",IF(Lang="English",_xll.BDP(A130&amp;" EQUITY","NAME"),IF(Lang="中文",_xll.BDP(A130&amp;" EQUITY","NAME_CHINESE_TRADITIONAL"),_xll.BDP(A130&amp;" EQUITY","NAME_KANJI"))))</f>
        <v/>
      </c>
      <c r="F130" s="764"/>
      <c r="G130" s="765"/>
      <c r="H130" s="763" t="str">
        <f>IF(A130="", "", _xll.BDP(A130 &amp; " EQUITY", "GICS_SUB_INDUSTRY_NAME"))</f>
        <v/>
      </c>
      <c r="I130" s="764"/>
      <c r="J130" s="765"/>
      <c r="K130" s="509" t="str">
        <f>IF($A130="", "", _xll.BDP($A130 &amp; " EQUITY", "CRNCY"))</f>
        <v/>
      </c>
      <c r="L130" s="276"/>
      <c r="M130" s="277" t="str">
        <f>IF(OR($A130="", ISERROR(_xll.BDP($A130 &amp; " EQUITY", "CRNCY_ADJ_MKT_CAP")*1)), "", _xll.BDP($A130 &amp; " EQUITY", "CRNCY_ADJ_MKT_CAP"))</f>
        <v/>
      </c>
      <c r="N130" s="278" t="str">
        <f>IF(OR($A130="", ISERROR(_xll.BDP($A130 &amp; " EQUITY", "CRNCY_ADJ_MKT_CAP", "EQY_FUND_CRNCY", CURRENCY)*1)), "", _xll.BDP($A130 &amp; " EQUITY", "CRNCY_ADJ_MKT_CAP", "EQY_FUND_CRNCY", CURRENCY))</f>
        <v/>
      </c>
      <c r="O130" s="146"/>
      <c r="P130" s="279" t="str">
        <f>IF($A130="","",_xll.BDP($A130 &amp;" EQUITY", "CUST_TRR_RETURN_HOLDING_PER", "CUST_TRR_START_DT", DataH!$F$22, "CUST_TRR_END_DT", DataH!$F$21, "CUST_TRR_CRNCY", CURRENCY)/100)</f>
        <v/>
      </c>
      <c r="Q130" s="102" t="str">
        <f>IF($A130="","",_xll.BDP($A130&amp;" EQUITY","CUST_TRR_RETURN_HOLDING_PER","CUST_TRR_START_DT",DataH!$G$22,"CUST_TRR_END_DT",DataH!$F$21,"CUST_TRR_CRNCY",CURRENCY)/100)</f>
        <v/>
      </c>
      <c r="R130" s="216"/>
      <c r="S130" s="280" t="str">
        <f>IF($A130="","",_xll.BDP($A130&amp;" EQUITY",DataH!$C$23, "BEST_FPERIOD_OVERRIDE", MID(DataH!H$22, 3, 2)&amp;"BC", "EQY_CONSOLIDATED", DataH!$D$18)*DataH!$D$23)</f>
        <v/>
      </c>
      <c r="T130" s="127" t="str">
        <f>IF($A130="","",_xll.BDP($A130&amp;" EQUITY",DataH!$C$23, "BEST_FPERIOD_OVERRIDE", MID(DataH!I$22, 3, 2)&amp;"BC", "EQY_CONSOLIDATED", DataH!$D$18)*DataH!$D$23)</f>
        <v/>
      </c>
      <c r="U130" s="127" t="str">
        <f>IF($A130="","",_xll.BDP($A130&amp;" EQUITY",DataH!$C$23,"BEST_FPERIOD_OVERRIDE",MID(DataH!J$22,3,2)&amp;"BC","EQY_CONSOLIDATED",DataH!$D$18)*DataH!$D$23)</f>
        <v/>
      </c>
      <c r="V130" s="127" t="str">
        <f>IF($A130="","",_xll.BDP($A130&amp;" EQUITY",DataH!$C$23, "BEST_FPERIOD_OVERRIDE", MID(DataH!K$22, 3, 2)&amp;"BC", "EQY_CONSOLIDATED", DataH!$D$18)*DataH!$D$23)</f>
        <v/>
      </c>
      <c r="W130" s="494" t="str">
        <f>IF($A130="","",_xll.BDP($A130&amp;" EQUITY",DataH!$C$23, "BEST_FPERIOD_OVERRIDE", MID(DataH!L$22, 3, 2)&amp;"BC", "EQY_CONSOLIDATED", DataH!$D$18)*DataH!$D$23)</f>
        <v/>
      </c>
      <c r="X130" s="256" t="str">
        <f>IF($A130="","",_xll.BDP($A130&amp;" EQUITY",DataH!$C$23, "BEST_FPERIOD_OVERRIDE", MID(DataH!M$22, 3, 2)&amp;"BC", "EQY_CONSOLIDATED", DataH!$D$18)*DataH!$D$23)</f>
        <v/>
      </c>
      <c r="Y130" s="257" t="str">
        <f>IF($A130="","",_xll.BDP($A129&amp;" EQUITY",DataH!$C$23, "BEST_FPERIOD_OVERRIDE", MID(DataH!N$22, 3, 2)&amp;"BC", "EQY_CONSOLIDATED", DataH!$D$18)*DataH!$D$23)</f>
        <v/>
      </c>
      <c r="AC130" s="5" t="e">
        <f>IF(YEAR(_xll.BToday())-YEAR(_xll.BDP($A130 &amp;" EQUITY", "EQY_FISCAL_YR_END"))&gt;=2, YEAR(_xll.BToday())-1, YEAR(_xll.BToday()))</f>
        <v>#N/A</v>
      </c>
    </row>
    <row r="131" spans="1:29" ht="15" customHeight="1">
      <c r="A131" s="164" t="str">
        <f>IF(C131&lt;&gt;"", IF(ISNUMBER(FIND("EQUITY", UPPER(C131), 1)), _xll.BDP(C131, "TICKER_AND_EXCH_CODE"), C131), "")</f>
        <v/>
      </c>
      <c r="C131" s="590"/>
      <c r="D131" s="571"/>
      <c r="E131" s="780" t="str">
        <f>IF(A131="","",IF(Lang="English",_xll.BDP(A131&amp;" EQUITY","NAME"),IF(Lang="中文",_xll.BDP(A131&amp;" EQUITY","NAME_CHINESE_TRADITIONAL"),_xll.BDP(A131&amp;" EQUITY","NAME_KANJI"))))</f>
        <v/>
      </c>
      <c r="F131" s="781"/>
      <c r="G131" s="782"/>
      <c r="H131" s="780" t="str">
        <f>IF(A131="", "", _xll.BDP(A131 &amp; " EQUITY", "GICS_SUB_INDUSTRY_NAME"))</f>
        <v/>
      </c>
      <c r="I131" s="781"/>
      <c r="J131" s="782"/>
      <c r="K131" s="572" t="str">
        <f>IF($A131="", "", _xll.BDP($A131 &amp; " EQUITY", "CRNCY"))</f>
        <v/>
      </c>
      <c r="L131" s="573"/>
      <c r="M131" s="574" t="str">
        <f>IF(OR($A131="", ISERROR(_xll.BDP($A131 &amp; " EQUITY", "CRNCY_ADJ_MKT_CAP")*1)), "", _xll.BDP($A131 &amp; " EQUITY", "CRNCY_ADJ_MKT_CAP"))</f>
        <v/>
      </c>
      <c r="N131" s="575" t="str">
        <f>IF(OR($A131="", ISERROR(_xll.BDP($A131 &amp; " EQUITY", "CRNCY_ADJ_MKT_CAP", "EQY_FUND_CRNCY", CURRENCY)*1)), "", _xll.BDP($A131 &amp; " EQUITY", "CRNCY_ADJ_MKT_CAP", "EQY_FUND_CRNCY", CURRENCY))</f>
        <v/>
      </c>
      <c r="O131" s="146"/>
      <c r="P131" s="576" t="str">
        <f>IF($A131="","",_xll.BDP($A131 &amp;" EQUITY", "CUST_TRR_RETURN_HOLDING_PER", "CUST_TRR_START_DT", DataH!$F$22, "CUST_TRR_END_DT", DataH!$F$21, "CUST_TRR_CRNCY", CURRENCY)/100)</f>
        <v/>
      </c>
      <c r="Q131" s="577" t="str">
        <f>IF($A131="","",_xll.BDP($A131&amp;" EQUITY","CUST_TRR_RETURN_HOLDING_PER","CUST_TRR_START_DT",DataH!$G$22,"CUST_TRR_END_DT",DataH!$F$21,"CUST_TRR_CRNCY",CURRENCY)/100)</f>
        <v/>
      </c>
      <c r="R131" s="578"/>
      <c r="S131" s="579" t="str">
        <f>IF($A131="","",_xll.BDP($A131&amp;" EQUITY",DataH!$C$23, "BEST_FPERIOD_OVERRIDE", MID(DataH!H$22, 3, 2)&amp;"BC", "EQY_CONSOLIDATED", DataH!$D$18)*DataH!$D$23)</f>
        <v/>
      </c>
      <c r="T131" s="580" t="str">
        <f>IF($A131="","",_xll.BDP($A131&amp;" EQUITY",DataH!$C$23, "BEST_FPERIOD_OVERRIDE", MID(DataH!I$22, 3, 2)&amp;"BC", "EQY_CONSOLIDATED", DataH!$D$18)*DataH!$D$23)</f>
        <v/>
      </c>
      <c r="U131" s="580" t="str">
        <f>IF($A131="","",_xll.BDP($A131&amp;" EQUITY",DataH!$C$23,"BEST_FPERIOD_OVERRIDE",MID(DataH!J$22,3,2)&amp;"BC","EQY_CONSOLIDATED",DataH!$D$18)*DataH!$D$23)</f>
        <v/>
      </c>
      <c r="V131" s="580" t="str">
        <f>IF($A131="","",_xll.BDP($A131&amp;" EQUITY",DataH!$C$23, "BEST_FPERIOD_OVERRIDE", MID(DataH!K$22, 3, 2)&amp;"BC", "EQY_CONSOLIDATED", DataH!$D$18)*DataH!$D$23)</f>
        <v/>
      </c>
      <c r="W131" s="581" t="str">
        <f>IF($A131="","",_xll.BDP($A131&amp;" EQUITY",DataH!$C$23, "BEST_FPERIOD_OVERRIDE", MID(DataH!L$22, 3, 2)&amp;"BC", "EQY_CONSOLIDATED", DataH!$D$18)*DataH!$D$23)</f>
        <v/>
      </c>
      <c r="X131" s="582" t="str">
        <f>IF($A131="","",_xll.BDP($A131&amp;" EQUITY",DataH!$C$23, "BEST_FPERIOD_OVERRIDE", MID(DataH!M$22, 3, 2)&amp;"BC", "EQY_CONSOLIDATED", DataH!$D$18)*DataH!$D$23)</f>
        <v/>
      </c>
      <c r="Y131" s="583" t="str">
        <f>IF($A131="","",_xll.BDP($A130&amp;" EQUITY",DataH!$C$23, "BEST_FPERIOD_OVERRIDE", MID(DataH!N$22, 3, 2)&amp;"BC", "EQY_CONSOLIDATED", DataH!$D$18)*DataH!$D$23)</f>
        <v/>
      </c>
      <c r="AC131" s="5" t="e">
        <f>IF(YEAR(_xll.BToday())-YEAR(_xll.BDP($A131 &amp;" EQUITY", "EQY_FISCAL_YR_END"))&gt;=2, YEAR(_xll.BToday())-1, YEAR(_xll.BToday()))</f>
        <v>#N/A</v>
      </c>
    </row>
    <row r="132" spans="1:29" ht="15" customHeight="1">
      <c r="A132" s="164" t="str">
        <f>IF(C132&lt;&gt;"", IF(ISNUMBER(FIND("EQUITY", UPPER(C132), 1)), _xll.BDP(C132, "TICKER_AND_EXCH_CODE"), C132), "")</f>
        <v/>
      </c>
      <c r="C132" s="589"/>
      <c r="D132" s="568"/>
      <c r="E132" s="763" t="str">
        <f>IF(A132="","",IF(Lang="English",_xll.BDP(A132&amp;" EQUITY","NAME"),IF(Lang="中文",_xll.BDP(A132&amp;" EQUITY","NAME_CHINESE_TRADITIONAL"),_xll.BDP(A132&amp;" EQUITY","NAME_KANJI"))))</f>
        <v/>
      </c>
      <c r="F132" s="764"/>
      <c r="G132" s="765"/>
      <c r="H132" s="763" t="str">
        <f>IF(A132="", "", _xll.BDP(A132 &amp; " EQUITY", "GICS_SUB_INDUSTRY_NAME"))</f>
        <v/>
      </c>
      <c r="I132" s="764"/>
      <c r="J132" s="765"/>
      <c r="K132" s="509" t="str">
        <f>IF($A132="", "", _xll.BDP($A132 &amp; " EQUITY", "CRNCY"))</f>
        <v/>
      </c>
      <c r="L132" s="276"/>
      <c r="M132" s="277" t="str">
        <f>IF(OR($A132="", ISERROR(_xll.BDP($A132 &amp; " EQUITY", "CRNCY_ADJ_MKT_CAP")*1)), "", _xll.BDP($A132 &amp; " EQUITY", "CRNCY_ADJ_MKT_CAP"))</f>
        <v/>
      </c>
      <c r="N132" s="278" t="str">
        <f>IF(OR($A132="", ISERROR(_xll.BDP($A132 &amp; " EQUITY", "CRNCY_ADJ_MKT_CAP", "EQY_FUND_CRNCY", CURRENCY)*1)), "", _xll.BDP($A132 &amp; " EQUITY", "CRNCY_ADJ_MKT_CAP", "EQY_FUND_CRNCY", CURRENCY))</f>
        <v/>
      </c>
      <c r="O132" s="146"/>
      <c r="P132" s="279" t="str">
        <f>IF($A132="","",_xll.BDP($A132 &amp;" EQUITY", "CUST_TRR_RETURN_HOLDING_PER", "CUST_TRR_START_DT", DataH!$F$22, "CUST_TRR_END_DT", DataH!$F$21, "CUST_TRR_CRNCY", CURRENCY)/100)</f>
        <v/>
      </c>
      <c r="Q132" s="102" t="str">
        <f>IF($A132="","",_xll.BDP($A132&amp;" EQUITY","CUST_TRR_RETURN_HOLDING_PER","CUST_TRR_START_DT",DataH!$G$22,"CUST_TRR_END_DT",DataH!$F$21,"CUST_TRR_CRNCY",CURRENCY)/100)</f>
        <v/>
      </c>
      <c r="R132" s="216"/>
      <c r="S132" s="280" t="str">
        <f>IF($A132="","",_xll.BDP($A132&amp;" EQUITY",DataH!$C$23, "BEST_FPERIOD_OVERRIDE", MID(DataH!H$22, 3, 2)&amp;"BC", "EQY_CONSOLIDATED", DataH!$D$18)*DataH!$D$23)</f>
        <v/>
      </c>
      <c r="T132" s="127" t="str">
        <f>IF($A132="","",_xll.BDP($A132&amp;" EQUITY",DataH!$C$23, "BEST_FPERIOD_OVERRIDE", MID(DataH!I$22, 3, 2)&amp;"BC", "EQY_CONSOLIDATED", DataH!$D$18)*DataH!$D$23)</f>
        <v/>
      </c>
      <c r="U132" s="127" t="str">
        <f>IF($A132="","",_xll.BDP($A132&amp;" EQUITY",DataH!$C$23,"BEST_FPERIOD_OVERRIDE",MID(DataH!J$22,3,2)&amp;"BC","EQY_CONSOLIDATED",DataH!$D$18)*DataH!$D$23)</f>
        <v/>
      </c>
      <c r="V132" s="127" t="str">
        <f>IF($A132="","",_xll.BDP($A132&amp;" EQUITY",DataH!$C$23, "BEST_FPERIOD_OVERRIDE", MID(DataH!K$22, 3, 2)&amp;"BC", "EQY_CONSOLIDATED", DataH!$D$18)*DataH!$D$23)</f>
        <v/>
      </c>
      <c r="W132" s="494" t="str">
        <f>IF($A132="","",_xll.BDP($A132&amp;" EQUITY",DataH!$C$23, "BEST_FPERIOD_OVERRIDE", MID(DataH!L$22, 3, 2)&amp;"BC", "EQY_CONSOLIDATED", DataH!$D$18)*DataH!$D$23)</f>
        <v/>
      </c>
      <c r="X132" s="256" t="str">
        <f>IF($A132="","",_xll.BDP($A132&amp;" EQUITY",DataH!$C$23, "BEST_FPERIOD_OVERRIDE", MID(DataH!M$22, 3, 2)&amp;"BC", "EQY_CONSOLIDATED", DataH!$D$18)*DataH!$D$23)</f>
        <v/>
      </c>
      <c r="Y132" s="257" t="str">
        <f>IF($A132="","",_xll.BDP($A131&amp;" EQUITY",DataH!$C$23, "BEST_FPERIOD_OVERRIDE", MID(DataH!N$22, 3, 2)&amp;"BC", "EQY_CONSOLIDATED", DataH!$D$18)*DataH!$D$23)</f>
        <v/>
      </c>
      <c r="AC132" s="5" t="e">
        <f>IF(YEAR(_xll.BToday())-YEAR(_xll.BDP($A132 &amp;" EQUITY", "EQY_FISCAL_YR_END"))&gt;=2, YEAR(_xll.BToday())-1, YEAR(_xll.BToday()))</f>
        <v>#N/A</v>
      </c>
    </row>
    <row r="133" spans="1:29" ht="15" customHeight="1">
      <c r="A133" s="164" t="str">
        <f>IF(C133&lt;&gt;"", IF(ISNUMBER(FIND("EQUITY", UPPER(C133), 1)), _xll.BDP(C133, "TICKER_AND_EXCH_CODE"), C133), "")</f>
        <v/>
      </c>
      <c r="C133" s="590"/>
      <c r="D133" s="571"/>
      <c r="E133" s="780" t="str">
        <f>IF(A133="","",IF(Lang="English",_xll.BDP(A133&amp;" EQUITY","NAME"),IF(Lang="中文",_xll.BDP(A133&amp;" EQUITY","NAME_CHINESE_TRADITIONAL"),_xll.BDP(A133&amp;" EQUITY","NAME_KANJI"))))</f>
        <v/>
      </c>
      <c r="F133" s="781"/>
      <c r="G133" s="782"/>
      <c r="H133" s="780" t="str">
        <f>IF(A133="", "", _xll.BDP(A133 &amp; " EQUITY", "GICS_SUB_INDUSTRY_NAME"))</f>
        <v/>
      </c>
      <c r="I133" s="781"/>
      <c r="J133" s="782"/>
      <c r="K133" s="572" t="str">
        <f>IF($A133="", "", _xll.BDP($A133 &amp; " EQUITY", "CRNCY"))</f>
        <v/>
      </c>
      <c r="L133" s="573"/>
      <c r="M133" s="574" t="str">
        <f>IF(OR($A133="", ISERROR(_xll.BDP($A133 &amp; " EQUITY", "CRNCY_ADJ_MKT_CAP")*1)), "", _xll.BDP($A133 &amp; " EQUITY", "CRNCY_ADJ_MKT_CAP"))</f>
        <v/>
      </c>
      <c r="N133" s="575" t="str">
        <f>IF(OR($A133="", ISERROR(_xll.BDP($A133 &amp; " EQUITY", "CRNCY_ADJ_MKT_CAP", "EQY_FUND_CRNCY", CURRENCY)*1)), "", _xll.BDP($A133 &amp; " EQUITY", "CRNCY_ADJ_MKT_CAP", "EQY_FUND_CRNCY", CURRENCY))</f>
        <v/>
      </c>
      <c r="O133" s="146"/>
      <c r="P133" s="576" t="str">
        <f>IF($A133="","",_xll.BDP($A133 &amp;" EQUITY", "CUST_TRR_RETURN_HOLDING_PER", "CUST_TRR_START_DT", DataH!$F$22, "CUST_TRR_END_DT", DataH!$F$21, "CUST_TRR_CRNCY", CURRENCY)/100)</f>
        <v/>
      </c>
      <c r="Q133" s="577" t="str">
        <f>IF($A133="","",_xll.BDP($A133&amp;" EQUITY","CUST_TRR_RETURN_HOLDING_PER","CUST_TRR_START_DT",DataH!$G$22,"CUST_TRR_END_DT",DataH!$F$21,"CUST_TRR_CRNCY",CURRENCY)/100)</f>
        <v/>
      </c>
      <c r="R133" s="578"/>
      <c r="S133" s="579" t="str">
        <f>IF($A133="","",_xll.BDP($A133&amp;" EQUITY",DataH!$C$23, "BEST_FPERIOD_OVERRIDE", MID(DataH!H$22, 3, 2)&amp;"BC", "EQY_CONSOLIDATED", DataH!$D$18)*DataH!$D$23)</f>
        <v/>
      </c>
      <c r="T133" s="580" t="str">
        <f>IF($A133="","",_xll.BDP($A133&amp;" EQUITY",DataH!$C$23, "BEST_FPERIOD_OVERRIDE", MID(DataH!I$22, 3, 2)&amp;"BC", "EQY_CONSOLIDATED", DataH!$D$18)*DataH!$D$23)</f>
        <v/>
      </c>
      <c r="U133" s="580" t="str">
        <f>IF($A133="","",_xll.BDP($A133&amp;" EQUITY",DataH!$C$23,"BEST_FPERIOD_OVERRIDE",MID(DataH!J$22,3,2)&amp;"BC","EQY_CONSOLIDATED",DataH!$D$18)*DataH!$D$23)</f>
        <v/>
      </c>
      <c r="V133" s="580" t="str">
        <f>IF($A133="","",_xll.BDP($A133&amp;" EQUITY",DataH!$C$23, "BEST_FPERIOD_OVERRIDE", MID(DataH!K$22, 3, 2)&amp;"BC", "EQY_CONSOLIDATED", DataH!$D$18)*DataH!$D$23)</f>
        <v/>
      </c>
      <c r="W133" s="581" t="str">
        <f>IF($A133="","",_xll.BDP($A133&amp;" EQUITY",DataH!$C$23, "BEST_FPERIOD_OVERRIDE", MID(DataH!L$22, 3, 2)&amp;"BC", "EQY_CONSOLIDATED", DataH!$D$18)*DataH!$D$23)</f>
        <v/>
      </c>
      <c r="X133" s="582" t="str">
        <f>IF($A133="","",_xll.BDP($A133&amp;" EQUITY",DataH!$C$23, "BEST_FPERIOD_OVERRIDE", MID(DataH!M$22, 3, 2)&amp;"BC", "EQY_CONSOLIDATED", DataH!$D$18)*DataH!$D$23)</f>
        <v/>
      </c>
      <c r="Y133" s="583" t="str">
        <f>IF($A133="","",_xll.BDP($A132&amp;" EQUITY",DataH!$C$23, "BEST_FPERIOD_OVERRIDE", MID(DataH!N$22, 3, 2)&amp;"BC", "EQY_CONSOLIDATED", DataH!$D$18)*DataH!$D$23)</f>
        <v/>
      </c>
      <c r="AC133" s="5" t="e">
        <f>IF(YEAR(_xll.BToday())-YEAR(_xll.BDP($A133 &amp;" EQUITY", "EQY_FISCAL_YR_END"))&gt;=2, YEAR(_xll.BToday())-1, YEAR(_xll.BToday()))</f>
        <v>#N/A</v>
      </c>
    </row>
    <row r="134" spans="1:29" ht="15" customHeight="1">
      <c r="A134" s="164" t="str">
        <f>IF(C134&lt;&gt;"", IF(ISNUMBER(FIND("EQUITY", UPPER(C134), 1)), _xll.BDP(C134, "TICKER_AND_EXCH_CODE"), C134), "")</f>
        <v/>
      </c>
      <c r="C134" s="589"/>
      <c r="D134" s="568"/>
      <c r="E134" s="763" t="str">
        <f>IF(A134="","",IF(Lang="English",_xll.BDP(A134&amp;" EQUITY","NAME"),IF(Lang="中文",_xll.BDP(A134&amp;" EQUITY","NAME_CHINESE_TRADITIONAL"),_xll.BDP(A134&amp;" EQUITY","NAME_KANJI"))))</f>
        <v/>
      </c>
      <c r="F134" s="764"/>
      <c r="G134" s="765"/>
      <c r="H134" s="763" t="str">
        <f>IF(A134="", "", _xll.BDP(A134 &amp; " EQUITY", "GICS_SUB_INDUSTRY_NAME"))</f>
        <v/>
      </c>
      <c r="I134" s="764"/>
      <c r="J134" s="765"/>
      <c r="K134" s="509" t="str">
        <f>IF($A134="", "", _xll.BDP($A134 &amp; " EQUITY", "CRNCY"))</f>
        <v/>
      </c>
      <c r="L134" s="276"/>
      <c r="M134" s="277" t="str">
        <f>IF(OR($A134="", ISERROR(_xll.BDP($A134 &amp; " EQUITY", "CRNCY_ADJ_MKT_CAP")*1)), "", _xll.BDP($A134 &amp; " EQUITY", "CRNCY_ADJ_MKT_CAP"))</f>
        <v/>
      </c>
      <c r="N134" s="278" t="str">
        <f>IF(OR($A134="", ISERROR(_xll.BDP($A134 &amp; " EQUITY", "CRNCY_ADJ_MKT_CAP", "EQY_FUND_CRNCY", CURRENCY)*1)), "", _xll.BDP($A134 &amp; " EQUITY", "CRNCY_ADJ_MKT_CAP", "EQY_FUND_CRNCY", CURRENCY))</f>
        <v/>
      </c>
      <c r="O134" s="146"/>
      <c r="P134" s="279" t="str">
        <f>IF($A134="","",_xll.BDP($A134 &amp;" EQUITY", "CUST_TRR_RETURN_HOLDING_PER", "CUST_TRR_START_DT", DataH!$F$22, "CUST_TRR_END_DT", DataH!$F$21, "CUST_TRR_CRNCY", CURRENCY)/100)</f>
        <v/>
      </c>
      <c r="Q134" s="102" t="str">
        <f>IF($A134="","",_xll.BDP($A134&amp;" EQUITY","CUST_TRR_RETURN_HOLDING_PER","CUST_TRR_START_DT",DataH!$G$22,"CUST_TRR_END_DT",DataH!$F$21,"CUST_TRR_CRNCY",CURRENCY)/100)</f>
        <v/>
      </c>
      <c r="R134" s="216"/>
      <c r="S134" s="280" t="str">
        <f>IF($A134="","",_xll.BDP($A134&amp;" EQUITY",DataH!$C$23, "BEST_FPERIOD_OVERRIDE", MID(DataH!H$22, 3, 2)&amp;"BC", "EQY_CONSOLIDATED", DataH!$D$18)*DataH!$D$23)</f>
        <v/>
      </c>
      <c r="T134" s="127" t="str">
        <f>IF($A134="","",_xll.BDP($A134&amp;" EQUITY",DataH!$C$23, "BEST_FPERIOD_OVERRIDE", MID(DataH!I$22, 3, 2)&amp;"BC", "EQY_CONSOLIDATED", DataH!$D$18)*DataH!$D$23)</f>
        <v/>
      </c>
      <c r="U134" s="127" t="str">
        <f>IF($A134="","",_xll.BDP($A134&amp;" EQUITY",DataH!$C$23,"BEST_FPERIOD_OVERRIDE",MID(DataH!J$22,3,2)&amp;"BC","EQY_CONSOLIDATED",DataH!$D$18)*DataH!$D$23)</f>
        <v/>
      </c>
      <c r="V134" s="127" t="str">
        <f>IF($A134="","",_xll.BDP($A134&amp;" EQUITY",DataH!$C$23, "BEST_FPERIOD_OVERRIDE", MID(DataH!K$22, 3, 2)&amp;"BC", "EQY_CONSOLIDATED", DataH!$D$18)*DataH!$D$23)</f>
        <v/>
      </c>
      <c r="W134" s="494" t="str">
        <f>IF($A134="","",_xll.BDP($A134&amp;" EQUITY",DataH!$C$23, "BEST_FPERIOD_OVERRIDE", MID(DataH!L$22, 3, 2)&amp;"BC", "EQY_CONSOLIDATED", DataH!$D$18)*DataH!$D$23)</f>
        <v/>
      </c>
      <c r="X134" s="256" t="str">
        <f>IF($A134="","",_xll.BDP($A134&amp;" EQUITY",DataH!$C$23, "BEST_FPERIOD_OVERRIDE", MID(DataH!M$22, 3, 2)&amp;"BC", "EQY_CONSOLIDATED", DataH!$D$18)*DataH!$D$23)</f>
        <v/>
      </c>
      <c r="Y134" s="257" t="str">
        <f>IF($A134="","",_xll.BDP($A133&amp;" EQUITY",DataH!$C$23, "BEST_FPERIOD_OVERRIDE", MID(DataH!N$22, 3, 2)&amp;"BC", "EQY_CONSOLIDATED", DataH!$D$18)*DataH!$D$23)</f>
        <v/>
      </c>
      <c r="AC134" s="5" t="e">
        <f>IF(YEAR(_xll.BToday())-YEAR(_xll.BDP($A134 &amp;" EQUITY", "EQY_FISCAL_YR_END"))&gt;=2, YEAR(_xll.BToday())-1, YEAR(_xll.BToday()))</f>
        <v>#N/A</v>
      </c>
    </row>
    <row r="135" spans="1:29" ht="15" customHeight="1">
      <c r="A135" s="164" t="str">
        <f>IF(C135&lt;&gt;"", IF(ISNUMBER(FIND("EQUITY", UPPER(C135), 1)), _xll.BDP(C135, "TICKER_AND_EXCH_CODE"), C135), "")</f>
        <v/>
      </c>
      <c r="C135" s="590"/>
      <c r="D135" s="571"/>
      <c r="E135" s="780" t="str">
        <f>IF(A135="","",IF(Lang="English",_xll.BDP(A135&amp;" EQUITY","NAME"),IF(Lang="中文",_xll.BDP(A135&amp;" EQUITY","NAME_CHINESE_TRADITIONAL"),_xll.BDP(A135&amp;" EQUITY","NAME_KANJI"))))</f>
        <v/>
      </c>
      <c r="F135" s="781"/>
      <c r="G135" s="782"/>
      <c r="H135" s="780" t="str">
        <f>IF(A135="", "", _xll.BDP(A135 &amp; " EQUITY", "GICS_SUB_INDUSTRY_NAME"))</f>
        <v/>
      </c>
      <c r="I135" s="781"/>
      <c r="J135" s="782"/>
      <c r="K135" s="572" t="str">
        <f>IF($A135="", "", _xll.BDP($A135 &amp; " EQUITY", "CRNCY"))</f>
        <v/>
      </c>
      <c r="L135" s="573"/>
      <c r="M135" s="574" t="str">
        <f>IF(OR($A135="", ISERROR(_xll.BDP($A135 &amp; " EQUITY", "CRNCY_ADJ_MKT_CAP")*1)), "", _xll.BDP($A135 &amp; " EQUITY", "CRNCY_ADJ_MKT_CAP"))</f>
        <v/>
      </c>
      <c r="N135" s="575" t="str">
        <f>IF(OR($A135="", ISERROR(_xll.BDP($A135 &amp; " EQUITY", "CRNCY_ADJ_MKT_CAP", "EQY_FUND_CRNCY", CURRENCY)*1)), "", _xll.BDP($A135 &amp; " EQUITY", "CRNCY_ADJ_MKT_CAP", "EQY_FUND_CRNCY", CURRENCY))</f>
        <v/>
      </c>
      <c r="O135" s="146"/>
      <c r="P135" s="576" t="str">
        <f>IF($A135="","",_xll.BDP($A135 &amp;" EQUITY", "CUST_TRR_RETURN_HOLDING_PER", "CUST_TRR_START_DT", DataH!$F$22, "CUST_TRR_END_DT", DataH!$F$21, "CUST_TRR_CRNCY", CURRENCY)/100)</f>
        <v/>
      </c>
      <c r="Q135" s="577" t="str">
        <f>IF($A135="","",_xll.BDP($A135&amp;" EQUITY","CUST_TRR_RETURN_HOLDING_PER","CUST_TRR_START_DT",DataH!$G$22,"CUST_TRR_END_DT",DataH!$F$21,"CUST_TRR_CRNCY",CURRENCY)/100)</f>
        <v/>
      </c>
      <c r="R135" s="578"/>
      <c r="S135" s="579" t="str">
        <f>IF($A135="","",_xll.BDP($A135&amp;" EQUITY",DataH!$C$23, "BEST_FPERIOD_OVERRIDE", MID(DataH!H$22, 3, 2)&amp;"BC", "EQY_CONSOLIDATED", DataH!$D$18)*DataH!$D$23)</f>
        <v/>
      </c>
      <c r="T135" s="580" t="str">
        <f>IF($A135="","",_xll.BDP($A135&amp;" EQUITY",DataH!$C$23, "BEST_FPERIOD_OVERRIDE", MID(DataH!I$22, 3, 2)&amp;"BC", "EQY_CONSOLIDATED", DataH!$D$18)*DataH!$D$23)</f>
        <v/>
      </c>
      <c r="U135" s="580" t="str">
        <f>IF($A135="","",_xll.BDP($A135&amp;" EQUITY",DataH!$C$23,"BEST_FPERIOD_OVERRIDE",MID(DataH!J$22,3,2)&amp;"BC","EQY_CONSOLIDATED",DataH!$D$18)*DataH!$D$23)</f>
        <v/>
      </c>
      <c r="V135" s="580" t="str">
        <f>IF($A135="","",_xll.BDP($A135&amp;" EQUITY",DataH!$C$23, "BEST_FPERIOD_OVERRIDE", MID(DataH!K$22, 3, 2)&amp;"BC", "EQY_CONSOLIDATED", DataH!$D$18)*DataH!$D$23)</f>
        <v/>
      </c>
      <c r="W135" s="581" t="str">
        <f>IF($A135="","",_xll.BDP($A135&amp;" EQUITY",DataH!$C$23, "BEST_FPERIOD_OVERRIDE", MID(DataH!L$22, 3, 2)&amp;"BC", "EQY_CONSOLIDATED", DataH!$D$18)*DataH!$D$23)</f>
        <v/>
      </c>
      <c r="X135" s="582" t="str">
        <f>IF($A135="","",_xll.BDP($A135&amp;" EQUITY",DataH!$C$23, "BEST_FPERIOD_OVERRIDE", MID(DataH!M$22, 3, 2)&amp;"BC", "EQY_CONSOLIDATED", DataH!$D$18)*DataH!$D$23)</f>
        <v/>
      </c>
      <c r="Y135" s="583" t="str">
        <f>IF($A135="","",_xll.BDP($A134&amp;" EQUITY",DataH!$C$23, "BEST_FPERIOD_OVERRIDE", MID(DataH!N$22, 3, 2)&amp;"BC", "EQY_CONSOLIDATED", DataH!$D$18)*DataH!$D$23)</f>
        <v/>
      </c>
      <c r="AC135" s="5" t="e">
        <f>IF(YEAR(_xll.BToday())-YEAR(_xll.BDP($A135 &amp;" EQUITY", "EQY_FISCAL_YR_END"))&gt;=2, YEAR(_xll.BToday())-1, YEAR(_xll.BToday()))</f>
        <v>#N/A</v>
      </c>
    </row>
    <row r="136" spans="1:29" ht="15" customHeight="1">
      <c r="A136" s="164" t="str">
        <f>IF(C136&lt;&gt;"", IF(ISNUMBER(FIND("EQUITY", UPPER(C136), 1)), _xll.BDP(C136, "TICKER_AND_EXCH_CODE"), C136), "")</f>
        <v/>
      </c>
      <c r="C136" s="589"/>
      <c r="D136" s="568"/>
      <c r="E136" s="763" t="str">
        <f>IF(A136="","",IF(Lang="English",_xll.BDP(A136&amp;" EQUITY","NAME"),IF(Lang="中文",_xll.BDP(A136&amp;" EQUITY","NAME_CHINESE_TRADITIONAL"),_xll.BDP(A136&amp;" EQUITY","NAME_KANJI"))))</f>
        <v/>
      </c>
      <c r="F136" s="764"/>
      <c r="G136" s="765"/>
      <c r="H136" s="763" t="str">
        <f>IF(A136="", "", _xll.BDP(A136 &amp; " EQUITY", "GICS_SUB_INDUSTRY_NAME"))</f>
        <v/>
      </c>
      <c r="I136" s="764"/>
      <c r="J136" s="765"/>
      <c r="K136" s="509" t="str">
        <f>IF($A136="", "", _xll.BDP($A136 &amp; " EQUITY", "CRNCY"))</f>
        <v/>
      </c>
      <c r="L136" s="276"/>
      <c r="M136" s="277" t="str">
        <f>IF(OR($A136="", ISERROR(_xll.BDP($A136 &amp; " EQUITY", "CRNCY_ADJ_MKT_CAP")*1)), "", _xll.BDP($A136 &amp; " EQUITY", "CRNCY_ADJ_MKT_CAP"))</f>
        <v/>
      </c>
      <c r="N136" s="278" t="str">
        <f>IF(OR($A136="", ISERROR(_xll.BDP($A136 &amp; " EQUITY", "CRNCY_ADJ_MKT_CAP", "EQY_FUND_CRNCY", CURRENCY)*1)), "", _xll.BDP($A136 &amp; " EQUITY", "CRNCY_ADJ_MKT_CAP", "EQY_FUND_CRNCY", CURRENCY))</f>
        <v/>
      </c>
      <c r="O136" s="146"/>
      <c r="P136" s="279" t="str">
        <f>IF($A136="","",_xll.BDP($A136 &amp;" EQUITY", "CUST_TRR_RETURN_HOLDING_PER", "CUST_TRR_START_DT", DataH!$F$22, "CUST_TRR_END_DT", DataH!$F$21, "CUST_TRR_CRNCY", CURRENCY)/100)</f>
        <v/>
      </c>
      <c r="Q136" s="102" t="str">
        <f>IF($A136="","",_xll.BDP($A136&amp;" EQUITY","CUST_TRR_RETURN_HOLDING_PER","CUST_TRR_START_DT",DataH!$G$22,"CUST_TRR_END_DT",DataH!$F$21,"CUST_TRR_CRNCY",CURRENCY)/100)</f>
        <v/>
      </c>
      <c r="R136" s="216"/>
      <c r="S136" s="280" t="str">
        <f>IF($A136="","",_xll.BDP($A136&amp;" EQUITY",DataH!$C$23, "BEST_FPERIOD_OVERRIDE", MID(DataH!H$22, 3, 2)&amp;"BC", "EQY_CONSOLIDATED", DataH!$D$18)*DataH!$D$23)</f>
        <v/>
      </c>
      <c r="T136" s="127" t="str">
        <f>IF($A136="","",_xll.BDP($A136&amp;" EQUITY",DataH!$C$23, "BEST_FPERIOD_OVERRIDE", MID(DataH!I$22, 3, 2)&amp;"BC", "EQY_CONSOLIDATED", DataH!$D$18)*DataH!$D$23)</f>
        <v/>
      </c>
      <c r="U136" s="127" t="str">
        <f>IF($A136="","",_xll.BDP($A136&amp;" EQUITY",DataH!$C$23,"BEST_FPERIOD_OVERRIDE",MID(DataH!J$22,3,2)&amp;"BC","EQY_CONSOLIDATED",DataH!$D$18)*DataH!$D$23)</f>
        <v/>
      </c>
      <c r="V136" s="127" t="str">
        <f>IF($A136="","",_xll.BDP($A136&amp;" EQUITY",DataH!$C$23, "BEST_FPERIOD_OVERRIDE", MID(DataH!K$22, 3, 2)&amp;"BC", "EQY_CONSOLIDATED", DataH!$D$18)*DataH!$D$23)</f>
        <v/>
      </c>
      <c r="W136" s="494" t="str">
        <f>IF($A136="","",_xll.BDP($A136&amp;" EQUITY",DataH!$C$23, "BEST_FPERIOD_OVERRIDE", MID(DataH!L$22, 3, 2)&amp;"BC", "EQY_CONSOLIDATED", DataH!$D$18)*DataH!$D$23)</f>
        <v/>
      </c>
      <c r="X136" s="256" t="str">
        <f>IF($A136="","",_xll.BDP($A136&amp;" EQUITY",DataH!$C$23, "BEST_FPERIOD_OVERRIDE", MID(DataH!M$22, 3, 2)&amp;"BC", "EQY_CONSOLIDATED", DataH!$D$18)*DataH!$D$23)</f>
        <v/>
      </c>
      <c r="Y136" s="257" t="str">
        <f>IF($A136="","",_xll.BDP($A135&amp;" EQUITY",DataH!$C$23, "BEST_FPERIOD_OVERRIDE", MID(DataH!N$22, 3, 2)&amp;"BC", "EQY_CONSOLIDATED", DataH!$D$18)*DataH!$D$23)</f>
        <v/>
      </c>
      <c r="AC136" s="5" t="e">
        <f>IF(YEAR(_xll.BToday())-YEAR(_xll.BDP($A136 &amp;" EQUITY", "EQY_FISCAL_YR_END"))&gt;=2, YEAR(_xll.BToday())-1, YEAR(_xll.BToday()))</f>
        <v>#N/A</v>
      </c>
    </row>
    <row r="137" spans="1:29" ht="15" customHeight="1">
      <c r="A137" s="164" t="str">
        <f>IF(C137&lt;&gt;"", IF(ISNUMBER(FIND("EQUITY", UPPER(C137), 1)), _xll.BDP(C137, "TICKER_AND_EXCH_CODE"), C137), "")</f>
        <v/>
      </c>
      <c r="C137" s="590"/>
      <c r="D137" s="571"/>
      <c r="E137" s="780" t="str">
        <f>IF(A137="","",IF(Lang="English",_xll.BDP(A137&amp;" EQUITY","NAME"),IF(Lang="中文",_xll.BDP(A137&amp;" EQUITY","NAME_CHINESE_TRADITIONAL"),_xll.BDP(A137&amp;" EQUITY","NAME_KANJI"))))</f>
        <v/>
      </c>
      <c r="F137" s="781"/>
      <c r="G137" s="782"/>
      <c r="H137" s="780" t="str">
        <f>IF(A137="", "", _xll.BDP(A137 &amp; " EQUITY", "GICS_SUB_INDUSTRY_NAME"))</f>
        <v/>
      </c>
      <c r="I137" s="781"/>
      <c r="J137" s="782"/>
      <c r="K137" s="572" t="str">
        <f>IF($A137="", "", _xll.BDP($A137 &amp; " EQUITY", "CRNCY"))</f>
        <v/>
      </c>
      <c r="L137" s="573"/>
      <c r="M137" s="574" t="str">
        <f>IF(OR($A137="", ISERROR(_xll.BDP($A137 &amp; " EQUITY", "CRNCY_ADJ_MKT_CAP")*1)), "", _xll.BDP($A137 &amp; " EQUITY", "CRNCY_ADJ_MKT_CAP"))</f>
        <v/>
      </c>
      <c r="N137" s="575" t="str">
        <f>IF(OR($A137="", ISERROR(_xll.BDP($A137 &amp; " EQUITY", "CRNCY_ADJ_MKT_CAP", "EQY_FUND_CRNCY", CURRENCY)*1)), "", _xll.BDP($A137 &amp; " EQUITY", "CRNCY_ADJ_MKT_CAP", "EQY_FUND_CRNCY", CURRENCY))</f>
        <v/>
      </c>
      <c r="O137" s="146"/>
      <c r="P137" s="576" t="str">
        <f>IF($A137="","",_xll.BDP($A137 &amp;" EQUITY", "CUST_TRR_RETURN_HOLDING_PER", "CUST_TRR_START_DT", DataH!$F$22, "CUST_TRR_END_DT", DataH!$F$21, "CUST_TRR_CRNCY", CURRENCY)/100)</f>
        <v/>
      </c>
      <c r="Q137" s="577" t="str">
        <f>IF($A137="","",_xll.BDP($A137&amp;" EQUITY","CUST_TRR_RETURN_HOLDING_PER","CUST_TRR_START_DT",DataH!$G$22,"CUST_TRR_END_DT",DataH!$F$21,"CUST_TRR_CRNCY",CURRENCY)/100)</f>
        <v/>
      </c>
      <c r="R137" s="578"/>
      <c r="S137" s="579" t="str">
        <f>IF($A137="","",_xll.BDP($A137&amp;" EQUITY",DataH!$C$23, "BEST_FPERIOD_OVERRIDE", MID(DataH!H$22, 3, 2)&amp;"BC", "EQY_CONSOLIDATED", DataH!$D$18)*DataH!$D$23)</f>
        <v/>
      </c>
      <c r="T137" s="580" t="str">
        <f>IF($A137="","",_xll.BDP($A137&amp;" EQUITY",DataH!$C$23, "BEST_FPERIOD_OVERRIDE", MID(DataH!I$22, 3, 2)&amp;"BC", "EQY_CONSOLIDATED", DataH!$D$18)*DataH!$D$23)</f>
        <v/>
      </c>
      <c r="U137" s="580" t="str">
        <f>IF($A137="","",_xll.BDP($A137&amp;" EQUITY",DataH!$C$23,"BEST_FPERIOD_OVERRIDE",MID(DataH!J$22,3,2)&amp;"BC","EQY_CONSOLIDATED",DataH!$D$18)*DataH!$D$23)</f>
        <v/>
      </c>
      <c r="V137" s="580" t="str">
        <f>IF($A137="","",_xll.BDP($A137&amp;" EQUITY",DataH!$C$23, "BEST_FPERIOD_OVERRIDE", MID(DataH!K$22, 3, 2)&amp;"BC", "EQY_CONSOLIDATED", DataH!$D$18)*DataH!$D$23)</f>
        <v/>
      </c>
      <c r="W137" s="581" t="str">
        <f>IF($A137="","",_xll.BDP($A137&amp;" EQUITY",DataH!$C$23, "BEST_FPERIOD_OVERRIDE", MID(DataH!L$22, 3, 2)&amp;"BC", "EQY_CONSOLIDATED", DataH!$D$18)*DataH!$D$23)</f>
        <v/>
      </c>
      <c r="X137" s="582" t="str">
        <f>IF($A137="","",_xll.BDP($A137&amp;" EQUITY",DataH!$C$23, "BEST_FPERIOD_OVERRIDE", MID(DataH!M$22, 3, 2)&amp;"BC", "EQY_CONSOLIDATED", DataH!$D$18)*DataH!$D$23)</f>
        <v/>
      </c>
      <c r="Y137" s="583" t="str">
        <f>IF($A137="","",_xll.BDP($A136&amp;" EQUITY",DataH!$C$23, "BEST_FPERIOD_OVERRIDE", MID(DataH!N$22, 3, 2)&amp;"BC", "EQY_CONSOLIDATED", DataH!$D$18)*DataH!$D$23)</f>
        <v/>
      </c>
      <c r="AC137" s="5" t="e">
        <f>IF(YEAR(_xll.BToday())-YEAR(_xll.BDP($A137 &amp;" EQUITY", "EQY_FISCAL_YR_END"))&gt;=2, YEAR(_xll.BToday())-1, YEAR(_xll.BToday()))</f>
        <v>#N/A</v>
      </c>
    </row>
    <row r="138" spans="1:29" ht="15" customHeight="1">
      <c r="A138" s="164" t="str">
        <f>IF(C138&lt;&gt;"", IF(ISNUMBER(FIND("EQUITY", UPPER(C138), 1)), _xll.BDP(C138, "TICKER_AND_EXCH_CODE"), C138), "")</f>
        <v/>
      </c>
      <c r="C138" s="589"/>
      <c r="D138" s="568"/>
      <c r="E138" s="763" t="str">
        <f>IF(A138="","",IF(Lang="English",_xll.BDP(A138&amp;" EQUITY","NAME"),IF(Lang="中文",_xll.BDP(A138&amp;" EQUITY","NAME_CHINESE_TRADITIONAL"),_xll.BDP(A138&amp;" EQUITY","NAME_KANJI"))))</f>
        <v/>
      </c>
      <c r="F138" s="764"/>
      <c r="G138" s="765"/>
      <c r="H138" s="763" t="str">
        <f>IF(A138="", "", _xll.BDP(A138 &amp; " EQUITY", "GICS_SUB_INDUSTRY_NAME"))</f>
        <v/>
      </c>
      <c r="I138" s="764"/>
      <c r="J138" s="765"/>
      <c r="K138" s="509" t="str">
        <f>IF($A138="", "", _xll.BDP($A138 &amp; " EQUITY", "CRNCY"))</f>
        <v/>
      </c>
      <c r="L138" s="276"/>
      <c r="M138" s="277" t="str">
        <f>IF(OR($A138="", ISERROR(_xll.BDP($A138 &amp; " EQUITY", "CRNCY_ADJ_MKT_CAP")*1)), "", _xll.BDP($A138 &amp; " EQUITY", "CRNCY_ADJ_MKT_CAP"))</f>
        <v/>
      </c>
      <c r="N138" s="278" t="str">
        <f>IF(OR($A138="", ISERROR(_xll.BDP($A138 &amp; " EQUITY", "CRNCY_ADJ_MKT_CAP", "EQY_FUND_CRNCY", CURRENCY)*1)), "", _xll.BDP($A138 &amp; " EQUITY", "CRNCY_ADJ_MKT_CAP", "EQY_FUND_CRNCY", CURRENCY))</f>
        <v/>
      </c>
      <c r="O138" s="146"/>
      <c r="P138" s="279" t="str">
        <f>IF($A138="","",_xll.BDP($A138 &amp;" EQUITY", "CUST_TRR_RETURN_HOLDING_PER", "CUST_TRR_START_DT", DataH!$F$22, "CUST_TRR_END_DT", DataH!$F$21, "CUST_TRR_CRNCY", CURRENCY)/100)</f>
        <v/>
      </c>
      <c r="Q138" s="102" t="str">
        <f>IF($A138="","",_xll.BDP($A138&amp;" EQUITY","CUST_TRR_RETURN_HOLDING_PER","CUST_TRR_START_DT",DataH!$G$22,"CUST_TRR_END_DT",DataH!$F$21,"CUST_TRR_CRNCY",CURRENCY)/100)</f>
        <v/>
      </c>
      <c r="R138" s="216"/>
      <c r="S138" s="280" t="str">
        <f>IF($A138="","",_xll.BDP($A138&amp;" EQUITY",DataH!$C$23, "BEST_FPERIOD_OVERRIDE", MID(DataH!H$22, 3, 2)&amp;"BC", "EQY_CONSOLIDATED", DataH!$D$18)*DataH!$D$23)</f>
        <v/>
      </c>
      <c r="T138" s="127" t="str">
        <f>IF($A138="","",_xll.BDP($A138&amp;" EQUITY",DataH!$C$23, "BEST_FPERIOD_OVERRIDE", MID(DataH!I$22, 3, 2)&amp;"BC", "EQY_CONSOLIDATED", DataH!$D$18)*DataH!$D$23)</f>
        <v/>
      </c>
      <c r="U138" s="127" t="str">
        <f>IF($A138="","",_xll.BDP($A138&amp;" EQUITY",DataH!$C$23,"BEST_FPERIOD_OVERRIDE",MID(DataH!J$22,3,2)&amp;"BC","EQY_CONSOLIDATED",DataH!$D$18)*DataH!$D$23)</f>
        <v/>
      </c>
      <c r="V138" s="127" t="str">
        <f>IF($A138="","",_xll.BDP($A138&amp;" EQUITY",DataH!$C$23, "BEST_FPERIOD_OVERRIDE", MID(DataH!K$22, 3, 2)&amp;"BC", "EQY_CONSOLIDATED", DataH!$D$18)*DataH!$D$23)</f>
        <v/>
      </c>
      <c r="W138" s="494" t="str">
        <f>IF($A138="","",_xll.BDP($A138&amp;" EQUITY",DataH!$C$23, "BEST_FPERIOD_OVERRIDE", MID(DataH!L$22, 3, 2)&amp;"BC", "EQY_CONSOLIDATED", DataH!$D$18)*DataH!$D$23)</f>
        <v/>
      </c>
      <c r="X138" s="256" t="str">
        <f>IF($A138="","",_xll.BDP($A138&amp;" EQUITY",DataH!$C$23, "BEST_FPERIOD_OVERRIDE", MID(DataH!M$22, 3, 2)&amp;"BC", "EQY_CONSOLIDATED", DataH!$D$18)*DataH!$D$23)</f>
        <v/>
      </c>
      <c r="Y138" s="257" t="str">
        <f>IF($A138="","",_xll.BDP($A137&amp;" EQUITY",DataH!$C$23, "BEST_FPERIOD_OVERRIDE", MID(DataH!N$22, 3, 2)&amp;"BC", "EQY_CONSOLIDATED", DataH!$D$18)*DataH!$D$23)</f>
        <v/>
      </c>
      <c r="AC138" s="5" t="e">
        <f>IF(YEAR(_xll.BToday())-YEAR(_xll.BDP($A138 &amp;" EQUITY", "EQY_FISCAL_YR_END"))&gt;=2, YEAR(_xll.BToday())-1, YEAR(_xll.BToday()))</f>
        <v>#N/A</v>
      </c>
    </row>
    <row r="139" spans="1:29" ht="15" customHeight="1">
      <c r="A139" s="164" t="str">
        <f>IF(C139&lt;&gt;"", IF(ISNUMBER(FIND("EQUITY", UPPER(C139), 1)), _xll.BDP(C139, "TICKER_AND_EXCH_CODE"), C139), "")</f>
        <v/>
      </c>
      <c r="C139" s="590"/>
      <c r="D139" s="571"/>
      <c r="E139" s="780" t="str">
        <f>IF(A139="","",IF(Lang="English",_xll.BDP(A139&amp;" EQUITY","NAME"),IF(Lang="中文",_xll.BDP(A139&amp;" EQUITY","NAME_CHINESE_TRADITIONAL"),_xll.BDP(A139&amp;" EQUITY","NAME_KANJI"))))</f>
        <v/>
      </c>
      <c r="F139" s="781"/>
      <c r="G139" s="782"/>
      <c r="H139" s="780" t="str">
        <f>IF(A139="", "", _xll.BDP(A139 &amp; " EQUITY", "GICS_SUB_INDUSTRY_NAME"))</f>
        <v/>
      </c>
      <c r="I139" s="781"/>
      <c r="J139" s="782"/>
      <c r="K139" s="572" t="str">
        <f>IF($A139="", "", _xll.BDP($A139 &amp; " EQUITY", "CRNCY"))</f>
        <v/>
      </c>
      <c r="L139" s="573"/>
      <c r="M139" s="574" t="str">
        <f>IF(OR($A139="", ISERROR(_xll.BDP($A139 &amp; " EQUITY", "CRNCY_ADJ_MKT_CAP")*1)), "", _xll.BDP($A139 &amp; " EQUITY", "CRNCY_ADJ_MKT_CAP"))</f>
        <v/>
      </c>
      <c r="N139" s="575" t="str">
        <f>IF(OR($A139="", ISERROR(_xll.BDP($A139 &amp; " EQUITY", "CRNCY_ADJ_MKT_CAP", "EQY_FUND_CRNCY", CURRENCY)*1)), "", _xll.BDP($A139 &amp; " EQUITY", "CRNCY_ADJ_MKT_CAP", "EQY_FUND_CRNCY", CURRENCY))</f>
        <v/>
      </c>
      <c r="O139" s="146"/>
      <c r="P139" s="576" t="str">
        <f>IF($A139="","",_xll.BDP($A139 &amp;" EQUITY", "CUST_TRR_RETURN_HOLDING_PER", "CUST_TRR_START_DT", DataH!$F$22, "CUST_TRR_END_DT", DataH!$F$21, "CUST_TRR_CRNCY", CURRENCY)/100)</f>
        <v/>
      </c>
      <c r="Q139" s="577" t="str">
        <f>IF($A139="","",_xll.BDP($A139&amp;" EQUITY","CUST_TRR_RETURN_HOLDING_PER","CUST_TRR_START_DT",DataH!$G$22,"CUST_TRR_END_DT",DataH!$F$21,"CUST_TRR_CRNCY",CURRENCY)/100)</f>
        <v/>
      </c>
      <c r="R139" s="578"/>
      <c r="S139" s="579" t="str">
        <f>IF($A139="","",_xll.BDP($A139&amp;" EQUITY",DataH!$C$23, "BEST_FPERIOD_OVERRIDE", MID(DataH!H$22, 3, 2)&amp;"BC", "EQY_CONSOLIDATED", DataH!$D$18)*DataH!$D$23)</f>
        <v/>
      </c>
      <c r="T139" s="580" t="str">
        <f>IF($A139="","",_xll.BDP($A139&amp;" EQUITY",DataH!$C$23, "BEST_FPERIOD_OVERRIDE", MID(DataH!I$22, 3, 2)&amp;"BC", "EQY_CONSOLIDATED", DataH!$D$18)*DataH!$D$23)</f>
        <v/>
      </c>
      <c r="U139" s="580" t="str">
        <f>IF($A139="","",_xll.BDP($A139&amp;" EQUITY",DataH!$C$23,"BEST_FPERIOD_OVERRIDE",MID(DataH!J$22,3,2)&amp;"BC","EQY_CONSOLIDATED",DataH!$D$18)*DataH!$D$23)</f>
        <v/>
      </c>
      <c r="V139" s="580" t="str">
        <f>IF($A139="","",_xll.BDP($A139&amp;" EQUITY",DataH!$C$23, "BEST_FPERIOD_OVERRIDE", MID(DataH!K$22, 3, 2)&amp;"BC", "EQY_CONSOLIDATED", DataH!$D$18)*DataH!$D$23)</f>
        <v/>
      </c>
      <c r="W139" s="581" t="str">
        <f>IF($A139="","",_xll.BDP($A139&amp;" EQUITY",DataH!$C$23, "BEST_FPERIOD_OVERRIDE", MID(DataH!L$22, 3, 2)&amp;"BC", "EQY_CONSOLIDATED", DataH!$D$18)*DataH!$D$23)</f>
        <v/>
      </c>
      <c r="X139" s="582" t="str">
        <f>IF($A139="","",_xll.BDP($A139&amp;" EQUITY",DataH!$C$23, "BEST_FPERIOD_OVERRIDE", MID(DataH!M$22, 3, 2)&amp;"BC", "EQY_CONSOLIDATED", DataH!$D$18)*DataH!$D$23)</f>
        <v/>
      </c>
      <c r="Y139" s="583" t="str">
        <f>IF($A139="","",_xll.BDP($A138&amp;" EQUITY",DataH!$C$23, "BEST_FPERIOD_OVERRIDE", MID(DataH!N$22, 3, 2)&amp;"BC", "EQY_CONSOLIDATED", DataH!$D$18)*DataH!$D$23)</f>
        <v/>
      </c>
      <c r="AC139" s="5" t="e">
        <f>IF(YEAR(_xll.BToday())-YEAR(_xll.BDP($A139 &amp;" EQUITY", "EQY_FISCAL_YR_END"))&gt;=2, YEAR(_xll.BToday())-1, YEAR(_xll.BToday()))</f>
        <v>#N/A</v>
      </c>
    </row>
    <row r="140" spans="1:29" ht="15" customHeight="1">
      <c r="A140" s="164" t="str">
        <f>IF(C140&lt;&gt;"", IF(ISNUMBER(FIND("EQUITY", UPPER(C140), 1)), _xll.BDP(C140, "TICKER_AND_EXCH_CODE"), C140), "")</f>
        <v/>
      </c>
      <c r="C140" s="589"/>
      <c r="D140" s="568"/>
      <c r="E140" s="763" t="str">
        <f>IF(A140="","",IF(Lang="English",_xll.BDP(A140&amp;" EQUITY","NAME"),IF(Lang="中文",_xll.BDP(A140&amp;" EQUITY","NAME_CHINESE_TRADITIONAL"),_xll.BDP(A140&amp;" EQUITY","NAME_KANJI"))))</f>
        <v/>
      </c>
      <c r="F140" s="764"/>
      <c r="G140" s="765"/>
      <c r="H140" s="763" t="str">
        <f>IF(A140="", "", _xll.BDP(A140 &amp; " EQUITY", "GICS_SUB_INDUSTRY_NAME"))</f>
        <v/>
      </c>
      <c r="I140" s="764"/>
      <c r="J140" s="765"/>
      <c r="K140" s="509" t="str">
        <f>IF($A140="", "", _xll.BDP($A140 &amp; " EQUITY", "CRNCY"))</f>
        <v/>
      </c>
      <c r="L140" s="276"/>
      <c r="M140" s="277" t="str">
        <f>IF(OR($A140="", ISERROR(_xll.BDP($A140 &amp; " EQUITY", "CRNCY_ADJ_MKT_CAP")*1)), "", _xll.BDP($A140 &amp; " EQUITY", "CRNCY_ADJ_MKT_CAP"))</f>
        <v/>
      </c>
      <c r="N140" s="278" t="str">
        <f>IF(OR($A140="", ISERROR(_xll.BDP($A140 &amp; " EQUITY", "CRNCY_ADJ_MKT_CAP", "EQY_FUND_CRNCY", CURRENCY)*1)), "", _xll.BDP($A140 &amp; " EQUITY", "CRNCY_ADJ_MKT_CAP", "EQY_FUND_CRNCY", CURRENCY))</f>
        <v/>
      </c>
      <c r="O140" s="146"/>
      <c r="P140" s="279" t="str">
        <f>IF($A140="","",_xll.BDP($A140 &amp;" EQUITY", "CUST_TRR_RETURN_HOLDING_PER", "CUST_TRR_START_DT", DataH!$F$22, "CUST_TRR_END_DT", DataH!$F$21, "CUST_TRR_CRNCY", CURRENCY)/100)</f>
        <v/>
      </c>
      <c r="Q140" s="102" t="str">
        <f>IF($A140="","",_xll.BDP($A140&amp;" EQUITY","CUST_TRR_RETURN_HOLDING_PER","CUST_TRR_START_DT",DataH!$G$22,"CUST_TRR_END_DT",DataH!$F$21,"CUST_TRR_CRNCY",CURRENCY)/100)</f>
        <v/>
      </c>
      <c r="R140" s="216"/>
      <c r="S140" s="280" t="str">
        <f>IF($A140="","",_xll.BDP($A140&amp;" EQUITY",DataH!$C$23, "BEST_FPERIOD_OVERRIDE", MID(DataH!H$22, 3, 2)&amp;"BC", "EQY_CONSOLIDATED", DataH!$D$18)*DataH!$D$23)</f>
        <v/>
      </c>
      <c r="T140" s="127" t="str">
        <f>IF($A140="","",_xll.BDP($A140&amp;" EQUITY",DataH!$C$23, "BEST_FPERIOD_OVERRIDE", MID(DataH!I$22, 3, 2)&amp;"BC", "EQY_CONSOLIDATED", DataH!$D$18)*DataH!$D$23)</f>
        <v/>
      </c>
      <c r="U140" s="127" t="str">
        <f>IF($A140="","",_xll.BDP($A140&amp;" EQUITY",DataH!$C$23,"BEST_FPERIOD_OVERRIDE",MID(DataH!J$22,3,2)&amp;"BC","EQY_CONSOLIDATED",DataH!$D$18)*DataH!$D$23)</f>
        <v/>
      </c>
      <c r="V140" s="127" t="str">
        <f>IF($A140="","",_xll.BDP($A140&amp;" EQUITY",DataH!$C$23, "BEST_FPERIOD_OVERRIDE", MID(DataH!K$22, 3, 2)&amp;"BC", "EQY_CONSOLIDATED", DataH!$D$18)*DataH!$D$23)</f>
        <v/>
      </c>
      <c r="W140" s="494" t="str">
        <f>IF($A140="","",_xll.BDP($A140&amp;" EQUITY",DataH!$C$23, "BEST_FPERIOD_OVERRIDE", MID(DataH!L$22, 3, 2)&amp;"BC", "EQY_CONSOLIDATED", DataH!$D$18)*DataH!$D$23)</f>
        <v/>
      </c>
      <c r="X140" s="256" t="str">
        <f>IF($A140="","",_xll.BDP($A140&amp;" EQUITY",DataH!$C$23, "BEST_FPERIOD_OVERRIDE", MID(DataH!M$22, 3, 2)&amp;"BC", "EQY_CONSOLIDATED", DataH!$D$18)*DataH!$D$23)</f>
        <v/>
      </c>
      <c r="Y140" s="257" t="str">
        <f>IF($A140="","",_xll.BDP($A139&amp;" EQUITY",DataH!$C$23, "BEST_FPERIOD_OVERRIDE", MID(DataH!N$22, 3, 2)&amp;"BC", "EQY_CONSOLIDATED", DataH!$D$18)*DataH!$D$23)</f>
        <v/>
      </c>
      <c r="AC140" s="5" t="e">
        <f>IF(YEAR(_xll.BToday())-YEAR(_xll.BDP($A140 &amp;" EQUITY", "EQY_FISCAL_YR_END"))&gt;=2, YEAR(_xll.BToday())-1, YEAR(_xll.BToday()))</f>
        <v>#N/A</v>
      </c>
    </row>
    <row r="141" spans="1:29" ht="15" customHeight="1">
      <c r="A141" s="164" t="str">
        <f>IF(C141&lt;&gt;"", IF(ISNUMBER(FIND("EQUITY", UPPER(C141), 1)), _xll.BDP(C141, "TICKER_AND_EXCH_CODE"), C141), "")</f>
        <v/>
      </c>
      <c r="C141" s="590"/>
      <c r="D141" s="571"/>
      <c r="E141" s="780" t="str">
        <f>IF(A141="","",IF(Lang="English",_xll.BDP(A141&amp;" EQUITY","NAME"),IF(Lang="中文",_xll.BDP(A141&amp;" EQUITY","NAME_CHINESE_TRADITIONAL"),_xll.BDP(A141&amp;" EQUITY","NAME_KANJI"))))</f>
        <v/>
      </c>
      <c r="F141" s="781"/>
      <c r="G141" s="782"/>
      <c r="H141" s="780" t="str">
        <f>IF(A141="", "", _xll.BDP(A141 &amp; " EQUITY", "GICS_SUB_INDUSTRY_NAME"))</f>
        <v/>
      </c>
      <c r="I141" s="781"/>
      <c r="J141" s="782"/>
      <c r="K141" s="572" t="str">
        <f>IF($A141="", "", _xll.BDP($A141 &amp; " EQUITY", "CRNCY"))</f>
        <v/>
      </c>
      <c r="L141" s="573"/>
      <c r="M141" s="574" t="str">
        <f>IF(OR($A141="", ISERROR(_xll.BDP($A141 &amp; " EQUITY", "CRNCY_ADJ_MKT_CAP")*1)), "", _xll.BDP($A141 &amp; " EQUITY", "CRNCY_ADJ_MKT_CAP"))</f>
        <v/>
      </c>
      <c r="N141" s="575" t="str">
        <f>IF(OR($A141="", ISERROR(_xll.BDP($A141 &amp; " EQUITY", "CRNCY_ADJ_MKT_CAP", "EQY_FUND_CRNCY", CURRENCY)*1)), "", _xll.BDP($A141 &amp; " EQUITY", "CRNCY_ADJ_MKT_CAP", "EQY_FUND_CRNCY", CURRENCY))</f>
        <v/>
      </c>
      <c r="O141" s="146"/>
      <c r="P141" s="576" t="str">
        <f>IF($A141="","",_xll.BDP($A141 &amp;" EQUITY", "CUST_TRR_RETURN_HOLDING_PER", "CUST_TRR_START_DT", DataH!$F$22, "CUST_TRR_END_DT", DataH!$F$21, "CUST_TRR_CRNCY", CURRENCY)/100)</f>
        <v/>
      </c>
      <c r="Q141" s="577" t="str">
        <f>IF($A141="","",_xll.BDP($A141&amp;" EQUITY","CUST_TRR_RETURN_HOLDING_PER","CUST_TRR_START_DT",DataH!$G$22,"CUST_TRR_END_DT",DataH!$F$21,"CUST_TRR_CRNCY",CURRENCY)/100)</f>
        <v/>
      </c>
      <c r="R141" s="578"/>
      <c r="S141" s="579" t="str">
        <f>IF($A141="","",_xll.BDP($A141&amp;" EQUITY",DataH!$C$23, "BEST_FPERIOD_OVERRIDE", MID(DataH!H$22, 3, 2)&amp;"BC", "EQY_CONSOLIDATED", DataH!$D$18)*DataH!$D$23)</f>
        <v/>
      </c>
      <c r="T141" s="580" t="str">
        <f>IF($A141="","",_xll.BDP($A141&amp;" EQUITY",DataH!$C$23, "BEST_FPERIOD_OVERRIDE", MID(DataH!I$22, 3, 2)&amp;"BC", "EQY_CONSOLIDATED", DataH!$D$18)*DataH!$D$23)</f>
        <v/>
      </c>
      <c r="U141" s="580" t="str">
        <f>IF($A141="","",_xll.BDP($A141&amp;" EQUITY",DataH!$C$23,"BEST_FPERIOD_OVERRIDE",MID(DataH!J$22,3,2)&amp;"BC","EQY_CONSOLIDATED",DataH!$D$18)*DataH!$D$23)</f>
        <v/>
      </c>
      <c r="V141" s="580" t="str">
        <f>IF($A141="","",_xll.BDP($A141&amp;" EQUITY",DataH!$C$23, "BEST_FPERIOD_OVERRIDE", MID(DataH!K$22, 3, 2)&amp;"BC", "EQY_CONSOLIDATED", DataH!$D$18)*DataH!$D$23)</f>
        <v/>
      </c>
      <c r="W141" s="581" t="str">
        <f>IF($A141="","",_xll.BDP($A141&amp;" EQUITY",DataH!$C$23, "BEST_FPERIOD_OVERRIDE", MID(DataH!L$22, 3, 2)&amp;"BC", "EQY_CONSOLIDATED", DataH!$D$18)*DataH!$D$23)</f>
        <v/>
      </c>
      <c r="X141" s="582" t="str">
        <f>IF($A141="","",_xll.BDP($A141&amp;" EQUITY",DataH!$C$23, "BEST_FPERIOD_OVERRIDE", MID(DataH!M$22, 3, 2)&amp;"BC", "EQY_CONSOLIDATED", DataH!$D$18)*DataH!$D$23)</f>
        <v/>
      </c>
      <c r="Y141" s="583" t="str">
        <f>IF($A141="","",_xll.BDP($A140&amp;" EQUITY",DataH!$C$23, "BEST_FPERIOD_OVERRIDE", MID(DataH!N$22, 3, 2)&amp;"BC", "EQY_CONSOLIDATED", DataH!$D$18)*DataH!$D$23)</f>
        <v/>
      </c>
      <c r="AC141" s="5" t="e">
        <f>IF(YEAR(_xll.BToday())-YEAR(_xll.BDP($A141 &amp;" EQUITY", "EQY_FISCAL_YR_END"))&gt;=2, YEAR(_xll.BToday())-1, YEAR(_xll.BToday()))</f>
        <v>#N/A</v>
      </c>
    </row>
    <row r="142" spans="1:29" ht="15" customHeight="1">
      <c r="A142" s="164" t="str">
        <f>IF(C142&lt;&gt;"", IF(ISNUMBER(FIND("EQUITY", UPPER(C142), 1)), _xll.BDP(C142, "TICKER_AND_EXCH_CODE"), C142), "")</f>
        <v/>
      </c>
      <c r="C142" s="589"/>
      <c r="D142" s="568"/>
      <c r="E142" s="763" t="str">
        <f>IF(A142="","",IF(Lang="English",_xll.BDP(A142&amp;" EQUITY","NAME"),IF(Lang="中文",_xll.BDP(A142&amp;" EQUITY","NAME_CHINESE_TRADITIONAL"),_xll.BDP(A142&amp;" EQUITY","NAME_KANJI"))))</f>
        <v/>
      </c>
      <c r="F142" s="764"/>
      <c r="G142" s="765"/>
      <c r="H142" s="763" t="str">
        <f>IF(A142="", "", _xll.BDP(A142 &amp; " EQUITY", "GICS_SUB_INDUSTRY_NAME"))</f>
        <v/>
      </c>
      <c r="I142" s="764"/>
      <c r="J142" s="765"/>
      <c r="K142" s="509" t="str">
        <f>IF($A142="", "", _xll.BDP($A142 &amp; " EQUITY", "CRNCY"))</f>
        <v/>
      </c>
      <c r="L142" s="276"/>
      <c r="M142" s="277" t="str">
        <f>IF(OR($A142="", ISERROR(_xll.BDP($A142 &amp; " EQUITY", "CRNCY_ADJ_MKT_CAP")*1)), "", _xll.BDP($A142 &amp; " EQUITY", "CRNCY_ADJ_MKT_CAP"))</f>
        <v/>
      </c>
      <c r="N142" s="278" t="str">
        <f>IF(OR($A142="", ISERROR(_xll.BDP($A142 &amp; " EQUITY", "CRNCY_ADJ_MKT_CAP", "EQY_FUND_CRNCY", CURRENCY)*1)), "", _xll.BDP($A142 &amp; " EQUITY", "CRNCY_ADJ_MKT_CAP", "EQY_FUND_CRNCY", CURRENCY))</f>
        <v/>
      </c>
      <c r="O142" s="146"/>
      <c r="P142" s="279" t="str">
        <f>IF($A142="","",_xll.BDP($A142 &amp;" EQUITY", "CUST_TRR_RETURN_HOLDING_PER", "CUST_TRR_START_DT", DataH!$F$22, "CUST_TRR_END_DT", DataH!$F$21, "CUST_TRR_CRNCY", CURRENCY)/100)</f>
        <v/>
      </c>
      <c r="Q142" s="102" t="str">
        <f>IF($A142="","",_xll.BDP($A142&amp;" EQUITY","CUST_TRR_RETURN_HOLDING_PER","CUST_TRR_START_DT",DataH!$G$22,"CUST_TRR_END_DT",DataH!$F$21,"CUST_TRR_CRNCY",CURRENCY)/100)</f>
        <v/>
      </c>
      <c r="R142" s="216"/>
      <c r="S142" s="280" t="str">
        <f>IF($A142="","",_xll.BDP($A142&amp;" EQUITY",DataH!$C$23, "BEST_FPERIOD_OVERRIDE", MID(DataH!H$22, 3, 2)&amp;"BC", "EQY_CONSOLIDATED", DataH!$D$18)*DataH!$D$23)</f>
        <v/>
      </c>
      <c r="T142" s="127" t="str">
        <f>IF($A142="","",_xll.BDP($A142&amp;" EQUITY",DataH!$C$23, "BEST_FPERIOD_OVERRIDE", MID(DataH!I$22, 3, 2)&amp;"BC", "EQY_CONSOLIDATED", DataH!$D$18)*DataH!$D$23)</f>
        <v/>
      </c>
      <c r="U142" s="127" t="str">
        <f>IF($A142="","",_xll.BDP($A142&amp;" EQUITY",DataH!$C$23,"BEST_FPERIOD_OVERRIDE",MID(DataH!J$22,3,2)&amp;"BC","EQY_CONSOLIDATED",DataH!$D$18)*DataH!$D$23)</f>
        <v/>
      </c>
      <c r="V142" s="127" t="str">
        <f>IF($A142="","",_xll.BDP($A142&amp;" EQUITY",DataH!$C$23, "BEST_FPERIOD_OVERRIDE", MID(DataH!K$22, 3, 2)&amp;"BC", "EQY_CONSOLIDATED", DataH!$D$18)*DataH!$D$23)</f>
        <v/>
      </c>
      <c r="W142" s="494" t="str">
        <f>IF($A142="","",_xll.BDP($A142&amp;" EQUITY",DataH!$C$23, "BEST_FPERIOD_OVERRIDE", MID(DataH!L$22, 3, 2)&amp;"BC", "EQY_CONSOLIDATED", DataH!$D$18)*DataH!$D$23)</f>
        <v/>
      </c>
      <c r="X142" s="256" t="str">
        <f>IF($A142="","",_xll.BDP($A142&amp;" EQUITY",DataH!$C$23, "BEST_FPERIOD_OVERRIDE", MID(DataH!M$22, 3, 2)&amp;"BC", "EQY_CONSOLIDATED", DataH!$D$18)*DataH!$D$23)</f>
        <v/>
      </c>
      <c r="Y142" s="257" t="str">
        <f>IF($A142="","",_xll.BDP($A141&amp;" EQUITY",DataH!$C$23, "BEST_FPERIOD_OVERRIDE", MID(DataH!N$22, 3, 2)&amp;"BC", "EQY_CONSOLIDATED", DataH!$D$18)*DataH!$D$23)</f>
        <v/>
      </c>
      <c r="AC142" s="5" t="e">
        <f>IF(YEAR(_xll.BToday())-YEAR(_xll.BDP($A142 &amp;" EQUITY", "EQY_FISCAL_YR_END"))&gt;=2, YEAR(_xll.BToday())-1, YEAR(_xll.BToday()))</f>
        <v>#N/A</v>
      </c>
    </row>
    <row r="143" spans="1:29" ht="15" customHeight="1">
      <c r="A143" s="164" t="str">
        <f>IF(C143&lt;&gt;"", IF(ISNUMBER(FIND("EQUITY", UPPER(C143), 1)), _xll.BDP(C143, "TICKER_AND_EXCH_CODE"), C143), "")</f>
        <v/>
      </c>
      <c r="C143" s="590"/>
      <c r="D143" s="571"/>
      <c r="E143" s="780" t="str">
        <f>IF(A143="","",IF(Lang="English",_xll.BDP(A143&amp;" EQUITY","NAME"),IF(Lang="中文",_xll.BDP(A143&amp;" EQUITY","NAME_CHINESE_TRADITIONAL"),_xll.BDP(A143&amp;" EQUITY","NAME_KANJI"))))</f>
        <v/>
      </c>
      <c r="F143" s="781"/>
      <c r="G143" s="782"/>
      <c r="H143" s="780" t="str">
        <f>IF(A143="", "", _xll.BDP(A143 &amp; " EQUITY", "GICS_SUB_INDUSTRY_NAME"))</f>
        <v/>
      </c>
      <c r="I143" s="781"/>
      <c r="J143" s="782"/>
      <c r="K143" s="572" t="str">
        <f>IF($A143="", "", _xll.BDP($A143 &amp; " EQUITY", "CRNCY"))</f>
        <v/>
      </c>
      <c r="L143" s="573"/>
      <c r="M143" s="574" t="str">
        <f>IF(OR($A143="", ISERROR(_xll.BDP($A143 &amp; " EQUITY", "CRNCY_ADJ_MKT_CAP")*1)), "", _xll.BDP($A143 &amp; " EQUITY", "CRNCY_ADJ_MKT_CAP"))</f>
        <v/>
      </c>
      <c r="N143" s="575" t="str">
        <f>IF(OR($A143="", ISERROR(_xll.BDP($A143 &amp; " EQUITY", "CRNCY_ADJ_MKT_CAP", "EQY_FUND_CRNCY", CURRENCY)*1)), "", _xll.BDP($A143 &amp; " EQUITY", "CRNCY_ADJ_MKT_CAP", "EQY_FUND_CRNCY", CURRENCY))</f>
        <v/>
      </c>
      <c r="O143" s="146"/>
      <c r="P143" s="576" t="str">
        <f>IF($A143="","",_xll.BDP($A143 &amp;" EQUITY", "CUST_TRR_RETURN_HOLDING_PER", "CUST_TRR_START_DT", DataH!$F$22, "CUST_TRR_END_DT", DataH!$F$21, "CUST_TRR_CRNCY", CURRENCY)/100)</f>
        <v/>
      </c>
      <c r="Q143" s="577" t="str">
        <f>IF($A143="","",_xll.BDP($A143&amp;" EQUITY","CUST_TRR_RETURN_HOLDING_PER","CUST_TRR_START_DT",DataH!$G$22,"CUST_TRR_END_DT",DataH!$F$21,"CUST_TRR_CRNCY",CURRENCY)/100)</f>
        <v/>
      </c>
      <c r="R143" s="578"/>
      <c r="S143" s="579" t="str">
        <f>IF($A143="","",_xll.BDP($A143&amp;" EQUITY",DataH!$C$23, "BEST_FPERIOD_OVERRIDE", MID(DataH!H$22, 3, 2)&amp;"BC", "EQY_CONSOLIDATED", DataH!$D$18)*DataH!$D$23)</f>
        <v/>
      </c>
      <c r="T143" s="580" t="str">
        <f>IF($A143="","",_xll.BDP($A143&amp;" EQUITY",DataH!$C$23, "BEST_FPERIOD_OVERRIDE", MID(DataH!I$22, 3, 2)&amp;"BC", "EQY_CONSOLIDATED", DataH!$D$18)*DataH!$D$23)</f>
        <v/>
      </c>
      <c r="U143" s="580" t="str">
        <f>IF($A143="","",_xll.BDP($A143&amp;" EQUITY",DataH!$C$23,"BEST_FPERIOD_OVERRIDE",MID(DataH!J$22,3,2)&amp;"BC","EQY_CONSOLIDATED",DataH!$D$18)*DataH!$D$23)</f>
        <v/>
      </c>
      <c r="V143" s="580" t="str">
        <f>IF($A143="","",_xll.BDP($A143&amp;" EQUITY",DataH!$C$23, "BEST_FPERIOD_OVERRIDE", MID(DataH!K$22, 3, 2)&amp;"BC", "EQY_CONSOLIDATED", DataH!$D$18)*DataH!$D$23)</f>
        <v/>
      </c>
      <c r="W143" s="581" t="str">
        <f>IF($A143="","",_xll.BDP($A143&amp;" EQUITY",DataH!$C$23, "BEST_FPERIOD_OVERRIDE", MID(DataH!L$22, 3, 2)&amp;"BC", "EQY_CONSOLIDATED", DataH!$D$18)*DataH!$D$23)</f>
        <v/>
      </c>
      <c r="X143" s="582" t="str">
        <f>IF($A143="","",_xll.BDP($A143&amp;" EQUITY",DataH!$C$23, "BEST_FPERIOD_OVERRIDE", MID(DataH!M$22, 3, 2)&amp;"BC", "EQY_CONSOLIDATED", DataH!$D$18)*DataH!$D$23)</f>
        <v/>
      </c>
      <c r="Y143" s="583" t="str">
        <f>IF($A143="","",_xll.BDP($A142&amp;" EQUITY",DataH!$C$23, "BEST_FPERIOD_OVERRIDE", MID(DataH!N$22, 3, 2)&amp;"BC", "EQY_CONSOLIDATED", DataH!$D$18)*DataH!$D$23)</f>
        <v/>
      </c>
      <c r="AC143" s="5" t="e">
        <f>IF(YEAR(_xll.BToday())-YEAR(_xll.BDP($A143 &amp;" EQUITY", "EQY_FISCAL_YR_END"))&gt;=2, YEAR(_xll.BToday())-1, YEAR(_xll.BToday()))</f>
        <v>#N/A</v>
      </c>
    </row>
    <row r="144" spans="1:29" ht="15" customHeight="1">
      <c r="A144" s="164" t="str">
        <f>IF(C144&lt;&gt;"", IF(ISNUMBER(FIND("EQUITY", UPPER(C144), 1)), _xll.BDP(C144, "TICKER_AND_EXCH_CODE"), C144), "")</f>
        <v/>
      </c>
      <c r="C144" s="589"/>
      <c r="D144" s="568"/>
      <c r="E144" s="763" t="str">
        <f>IF(A144="","",IF(Lang="English",_xll.BDP(A144&amp;" EQUITY","NAME"),IF(Lang="中文",_xll.BDP(A144&amp;" EQUITY","NAME_CHINESE_TRADITIONAL"),_xll.BDP(A144&amp;" EQUITY","NAME_KANJI"))))</f>
        <v/>
      </c>
      <c r="F144" s="764"/>
      <c r="G144" s="765"/>
      <c r="H144" s="763" t="str">
        <f>IF(A144="", "", _xll.BDP(A144 &amp; " EQUITY", "GICS_SUB_INDUSTRY_NAME"))</f>
        <v/>
      </c>
      <c r="I144" s="764"/>
      <c r="J144" s="765"/>
      <c r="K144" s="509" t="str">
        <f>IF($A144="", "", _xll.BDP($A144 &amp; " EQUITY", "CRNCY"))</f>
        <v/>
      </c>
      <c r="L144" s="276"/>
      <c r="M144" s="277" t="str">
        <f>IF(OR($A144="", ISERROR(_xll.BDP($A144 &amp; " EQUITY", "CRNCY_ADJ_MKT_CAP")*1)), "", _xll.BDP($A144 &amp; " EQUITY", "CRNCY_ADJ_MKT_CAP"))</f>
        <v/>
      </c>
      <c r="N144" s="278" t="str">
        <f>IF(OR($A144="", ISERROR(_xll.BDP($A144 &amp; " EQUITY", "CRNCY_ADJ_MKT_CAP", "EQY_FUND_CRNCY", CURRENCY)*1)), "", _xll.BDP($A144 &amp; " EQUITY", "CRNCY_ADJ_MKT_CAP", "EQY_FUND_CRNCY", CURRENCY))</f>
        <v/>
      </c>
      <c r="O144" s="146"/>
      <c r="P144" s="279" t="str">
        <f>IF($A144="","",_xll.BDP($A144 &amp;" EQUITY", "CUST_TRR_RETURN_HOLDING_PER", "CUST_TRR_START_DT", DataH!$F$22, "CUST_TRR_END_DT", DataH!$F$21, "CUST_TRR_CRNCY", CURRENCY)/100)</f>
        <v/>
      </c>
      <c r="Q144" s="102" t="str">
        <f>IF($A144="","",_xll.BDP($A144&amp;" EQUITY","CUST_TRR_RETURN_HOLDING_PER","CUST_TRR_START_DT",DataH!$G$22,"CUST_TRR_END_DT",DataH!$F$21,"CUST_TRR_CRNCY",CURRENCY)/100)</f>
        <v/>
      </c>
      <c r="R144" s="216"/>
      <c r="S144" s="280" t="str">
        <f>IF($A144="","",_xll.BDP($A144&amp;" EQUITY",DataH!$C$23, "BEST_FPERIOD_OVERRIDE", MID(DataH!H$22, 3, 2)&amp;"BC", "EQY_CONSOLIDATED", DataH!$D$18)*DataH!$D$23)</f>
        <v/>
      </c>
      <c r="T144" s="127" t="str">
        <f>IF($A144="","",_xll.BDP($A144&amp;" EQUITY",DataH!$C$23, "BEST_FPERIOD_OVERRIDE", MID(DataH!I$22, 3, 2)&amp;"BC", "EQY_CONSOLIDATED", DataH!$D$18)*DataH!$D$23)</f>
        <v/>
      </c>
      <c r="U144" s="127" t="str">
        <f>IF($A144="","",_xll.BDP($A144&amp;" EQUITY",DataH!$C$23,"BEST_FPERIOD_OVERRIDE",MID(DataH!J$22,3,2)&amp;"BC","EQY_CONSOLIDATED",DataH!$D$18)*DataH!$D$23)</f>
        <v/>
      </c>
      <c r="V144" s="127" t="str">
        <f>IF($A144="","",_xll.BDP($A144&amp;" EQUITY",DataH!$C$23, "BEST_FPERIOD_OVERRIDE", MID(DataH!K$22, 3, 2)&amp;"BC", "EQY_CONSOLIDATED", DataH!$D$18)*DataH!$D$23)</f>
        <v/>
      </c>
      <c r="W144" s="494" t="str">
        <f>IF($A144="","",_xll.BDP($A144&amp;" EQUITY",DataH!$C$23, "BEST_FPERIOD_OVERRIDE", MID(DataH!L$22, 3, 2)&amp;"BC", "EQY_CONSOLIDATED", DataH!$D$18)*DataH!$D$23)</f>
        <v/>
      </c>
      <c r="X144" s="256" t="str">
        <f>IF($A144="","",_xll.BDP($A144&amp;" EQUITY",DataH!$C$23, "BEST_FPERIOD_OVERRIDE", MID(DataH!M$22, 3, 2)&amp;"BC", "EQY_CONSOLIDATED", DataH!$D$18)*DataH!$D$23)</f>
        <v/>
      </c>
      <c r="Y144" s="257" t="str">
        <f>IF($A144="","",_xll.BDP($A143&amp;" EQUITY",DataH!$C$23, "BEST_FPERIOD_OVERRIDE", MID(DataH!N$22, 3, 2)&amp;"BC", "EQY_CONSOLIDATED", DataH!$D$18)*DataH!$D$23)</f>
        <v/>
      </c>
      <c r="AC144" s="5" t="e">
        <f>IF(YEAR(_xll.BToday())-YEAR(_xll.BDP($A144 &amp;" EQUITY", "EQY_FISCAL_YR_END"))&gt;=2, YEAR(_xll.BToday())-1, YEAR(_xll.BToday()))</f>
        <v>#N/A</v>
      </c>
    </row>
    <row r="145" spans="1:29" ht="15" customHeight="1">
      <c r="A145" s="164" t="str">
        <f>IF(C145&lt;&gt;"", IF(ISNUMBER(FIND("EQUITY", UPPER(C145), 1)), _xll.BDP(C145, "TICKER_AND_EXCH_CODE"), C145), "")</f>
        <v/>
      </c>
      <c r="C145" s="590"/>
      <c r="D145" s="571"/>
      <c r="E145" s="780" t="str">
        <f>IF(A145="","",IF(Lang="English",_xll.BDP(A145&amp;" EQUITY","NAME"),IF(Lang="中文",_xll.BDP(A145&amp;" EQUITY","NAME_CHINESE_TRADITIONAL"),_xll.BDP(A145&amp;" EQUITY","NAME_KANJI"))))</f>
        <v/>
      </c>
      <c r="F145" s="781"/>
      <c r="G145" s="782"/>
      <c r="H145" s="780" t="str">
        <f>IF(A145="", "", _xll.BDP(A145 &amp; " EQUITY", "GICS_SUB_INDUSTRY_NAME"))</f>
        <v/>
      </c>
      <c r="I145" s="781"/>
      <c r="J145" s="782"/>
      <c r="K145" s="572" t="str">
        <f>IF($A145="", "", _xll.BDP($A145 &amp; " EQUITY", "CRNCY"))</f>
        <v/>
      </c>
      <c r="L145" s="573"/>
      <c r="M145" s="574" t="str">
        <f>IF(OR($A145="", ISERROR(_xll.BDP($A145 &amp; " EQUITY", "CRNCY_ADJ_MKT_CAP")*1)), "", _xll.BDP($A145 &amp; " EQUITY", "CRNCY_ADJ_MKT_CAP"))</f>
        <v/>
      </c>
      <c r="N145" s="575" t="str">
        <f>IF(OR($A145="", ISERROR(_xll.BDP($A145 &amp; " EQUITY", "CRNCY_ADJ_MKT_CAP", "EQY_FUND_CRNCY", CURRENCY)*1)), "", _xll.BDP($A145 &amp; " EQUITY", "CRNCY_ADJ_MKT_CAP", "EQY_FUND_CRNCY", CURRENCY))</f>
        <v/>
      </c>
      <c r="O145" s="146"/>
      <c r="P145" s="576" t="str">
        <f>IF($A145="","",_xll.BDP($A145 &amp;" EQUITY", "CUST_TRR_RETURN_HOLDING_PER", "CUST_TRR_START_DT", DataH!$F$22, "CUST_TRR_END_DT", DataH!$F$21, "CUST_TRR_CRNCY", CURRENCY)/100)</f>
        <v/>
      </c>
      <c r="Q145" s="577" t="str">
        <f>IF($A145="","",_xll.BDP($A145&amp;" EQUITY","CUST_TRR_RETURN_HOLDING_PER","CUST_TRR_START_DT",DataH!$G$22,"CUST_TRR_END_DT",DataH!$F$21,"CUST_TRR_CRNCY",CURRENCY)/100)</f>
        <v/>
      </c>
      <c r="R145" s="578"/>
      <c r="S145" s="579" t="str">
        <f>IF($A145="","",_xll.BDP($A145&amp;" EQUITY",DataH!$C$23, "BEST_FPERIOD_OVERRIDE", MID(DataH!H$22, 3, 2)&amp;"BC", "EQY_CONSOLIDATED", DataH!$D$18)*DataH!$D$23)</f>
        <v/>
      </c>
      <c r="T145" s="580" t="str">
        <f>IF($A145="","",_xll.BDP($A145&amp;" EQUITY",DataH!$C$23, "BEST_FPERIOD_OVERRIDE", MID(DataH!I$22, 3, 2)&amp;"BC", "EQY_CONSOLIDATED", DataH!$D$18)*DataH!$D$23)</f>
        <v/>
      </c>
      <c r="U145" s="580" t="str">
        <f>IF($A145="","",_xll.BDP($A145&amp;" EQUITY",DataH!$C$23,"BEST_FPERIOD_OVERRIDE",MID(DataH!J$22,3,2)&amp;"BC","EQY_CONSOLIDATED",DataH!$D$18)*DataH!$D$23)</f>
        <v/>
      </c>
      <c r="V145" s="580" t="str">
        <f>IF($A145="","",_xll.BDP($A145&amp;" EQUITY",DataH!$C$23, "BEST_FPERIOD_OVERRIDE", MID(DataH!K$22, 3, 2)&amp;"BC", "EQY_CONSOLIDATED", DataH!$D$18)*DataH!$D$23)</f>
        <v/>
      </c>
      <c r="W145" s="581" t="str">
        <f>IF($A145="","",_xll.BDP($A145&amp;" EQUITY",DataH!$C$23, "BEST_FPERIOD_OVERRIDE", MID(DataH!L$22, 3, 2)&amp;"BC", "EQY_CONSOLIDATED", DataH!$D$18)*DataH!$D$23)</f>
        <v/>
      </c>
      <c r="X145" s="582" t="str">
        <f>IF($A145="","",_xll.BDP($A145&amp;" EQUITY",DataH!$C$23, "BEST_FPERIOD_OVERRIDE", MID(DataH!M$22, 3, 2)&amp;"BC", "EQY_CONSOLIDATED", DataH!$D$18)*DataH!$D$23)</f>
        <v/>
      </c>
      <c r="Y145" s="583" t="str">
        <f>IF($A145="","",_xll.BDP($A144&amp;" EQUITY",DataH!$C$23, "BEST_FPERIOD_OVERRIDE", MID(DataH!N$22, 3, 2)&amp;"BC", "EQY_CONSOLIDATED", DataH!$D$18)*DataH!$D$23)</f>
        <v/>
      </c>
      <c r="AC145" s="5" t="e">
        <f>IF(YEAR(_xll.BToday())-YEAR(_xll.BDP($A145 &amp;" EQUITY", "EQY_FISCAL_YR_END"))&gt;=2, YEAR(_xll.BToday())-1, YEAR(_xll.BToday()))</f>
        <v>#N/A</v>
      </c>
    </row>
    <row r="146" spans="1:29" ht="15" customHeight="1">
      <c r="A146" s="164" t="str">
        <f>IF(C146&lt;&gt;"", IF(ISNUMBER(FIND("EQUITY", UPPER(C146), 1)), _xll.BDP(C146, "TICKER_AND_EXCH_CODE"), C146), "")</f>
        <v/>
      </c>
      <c r="C146" s="589"/>
      <c r="D146" s="568"/>
      <c r="E146" s="763" t="str">
        <f>IF(A146="","",IF(Lang="English",_xll.BDP(A146&amp;" EQUITY","NAME"),IF(Lang="中文",_xll.BDP(A146&amp;" EQUITY","NAME_CHINESE_TRADITIONAL"),_xll.BDP(A146&amp;" EQUITY","NAME_KANJI"))))</f>
        <v/>
      </c>
      <c r="F146" s="764"/>
      <c r="G146" s="765"/>
      <c r="H146" s="763" t="str">
        <f>IF(A146="", "", _xll.BDP(A146 &amp; " EQUITY", "GICS_SUB_INDUSTRY_NAME"))</f>
        <v/>
      </c>
      <c r="I146" s="764"/>
      <c r="J146" s="765"/>
      <c r="K146" s="509" t="str">
        <f>IF($A146="", "", _xll.BDP($A146 &amp; " EQUITY", "CRNCY"))</f>
        <v/>
      </c>
      <c r="L146" s="276"/>
      <c r="M146" s="277" t="str">
        <f>IF(OR($A146="", ISERROR(_xll.BDP($A146 &amp; " EQUITY", "CRNCY_ADJ_MKT_CAP")*1)), "", _xll.BDP($A146 &amp; " EQUITY", "CRNCY_ADJ_MKT_CAP"))</f>
        <v/>
      </c>
      <c r="N146" s="278" t="str">
        <f>IF(OR($A146="", ISERROR(_xll.BDP($A146 &amp; " EQUITY", "CRNCY_ADJ_MKT_CAP", "EQY_FUND_CRNCY", CURRENCY)*1)), "", _xll.BDP($A146 &amp; " EQUITY", "CRNCY_ADJ_MKT_CAP", "EQY_FUND_CRNCY", CURRENCY))</f>
        <v/>
      </c>
      <c r="O146" s="146"/>
      <c r="P146" s="279" t="str">
        <f>IF($A146="","",_xll.BDP($A146 &amp;" EQUITY", "CUST_TRR_RETURN_HOLDING_PER", "CUST_TRR_START_DT", DataH!$F$22, "CUST_TRR_END_DT", DataH!$F$21, "CUST_TRR_CRNCY", CURRENCY)/100)</f>
        <v/>
      </c>
      <c r="Q146" s="102" t="str">
        <f>IF($A146="","",_xll.BDP($A146&amp;" EQUITY","CUST_TRR_RETURN_HOLDING_PER","CUST_TRR_START_DT",DataH!$G$22,"CUST_TRR_END_DT",DataH!$F$21,"CUST_TRR_CRNCY",CURRENCY)/100)</f>
        <v/>
      </c>
      <c r="R146" s="216"/>
      <c r="S146" s="280" t="str">
        <f>IF($A146="","",_xll.BDP($A146&amp;" EQUITY",DataH!$C$23, "BEST_FPERIOD_OVERRIDE", MID(DataH!H$22, 3, 2)&amp;"BC", "EQY_CONSOLIDATED", DataH!$D$18)*DataH!$D$23)</f>
        <v/>
      </c>
      <c r="T146" s="127" t="str">
        <f>IF($A146="","",_xll.BDP($A146&amp;" EQUITY",DataH!$C$23, "BEST_FPERIOD_OVERRIDE", MID(DataH!I$22, 3, 2)&amp;"BC", "EQY_CONSOLIDATED", DataH!$D$18)*DataH!$D$23)</f>
        <v/>
      </c>
      <c r="U146" s="127" t="str">
        <f>IF($A146="","",_xll.BDP($A146&amp;" EQUITY",DataH!$C$23,"BEST_FPERIOD_OVERRIDE",MID(DataH!J$22,3,2)&amp;"BC","EQY_CONSOLIDATED",DataH!$D$18)*DataH!$D$23)</f>
        <v/>
      </c>
      <c r="V146" s="127" t="str">
        <f>IF($A146="","",_xll.BDP($A146&amp;" EQUITY",DataH!$C$23, "BEST_FPERIOD_OVERRIDE", MID(DataH!K$22, 3, 2)&amp;"BC", "EQY_CONSOLIDATED", DataH!$D$18)*DataH!$D$23)</f>
        <v/>
      </c>
      <c r="W146" s="494" t="str">
        <f>IF($A146="","",_xll.BDP($A146&amp;" EQUITY",DataH!$C$23, "BEST_FPERIOD_OVERRIDE", MID(DataH!L$22, 3, 2)&amp;"BC", "EQY_CONSOLIDATED", DataH!$D$18)*DataH!$D$23)</f>
        <v/>
      </c>
      <c r="X146" s="256" t="str">
        <f>IF($A146="","",_xll.BDP($A146&amp;" EQUITY",DataH!$C$23, "BEST_FPERIOD_OVERRIDE", MID(DataH!M$22, 3, 2)&amp;"BC", "EQY_CONSOLIDATED", DataH!$D$18)*DataH!$D$23)</f>
        <v/>
      </c>
      <c r="Y146" s="257" t="str">
        <f>IF($A146="","",_xll.BDP($A145&amp;" EQUITY",DataH!$C$23, "BEST_FPERIOD_OVERRIDE", MID(DataH!N$22, 3, 2)&amp;"BC", "EQY_CONSOLIDATED", DataH!$D$18)*DataH!$D$23)</f>
        <v/>
      </c>
      <c r="AC146" s="5" t="e">
        <f>IF(YEAR(_xll.BToday())-YEAR(_xll.BDP($A146 &amp;" EQUITY", "EQY_FISCAL_YR_END"))&gt;=2, YEAR(_xll.BToday())-1, YEAR(_xll.BToday()))</f>
        <v>#N/A</v>
      </c>
    </row>
    <row r="147" spans="1:29" ht="15" customHeight="1">
      <c r="A147" s="164" t="str">
        <f>IF(C147&lt;&gt;"", IF(ISNUMBER(FIND("EQUITY", UPPER(C147), 1)), _xll.BDP(C147, "TICKER_AND_EXCH_CODE"), C147), "")</f>
        <v/>
      </c>
      <c r="C147" s="590"/>
      <c r="D147" s="571"/>
      <c r="E147" s="780" t="str">
        <f>IF(A147="","",IF(Lang="English",_xll.BDP(A147&amp;" EQUITY","NAME"),IF(Lang="中文",_xll.BDP(A147&amp;" EQUITY","NAME_CHINESE_TRADITIONAL"),_xll.BDP(A147&amp;" EQUITY","NAME_KANJI"))))</f>
        <v/>
      </c>
      <c r="F147" s="781"/>
      <c r="G147" s="782"/>
      <c r="H147" s="780" t="str">
        <f>IF(A147="", "", _xll.BDP(A147 &amp; " EQUITY", "GICS_SUB_INDUSTRY_NAME"))</f>
        <v/>
      </c>
      <c r="I147" s="781"/>
      <c r="J147" s="782"/>
      <c r="K147" s="572" t="str">
        <f>IF($A147="", "", _xll.BDP($A147 &amp; " EQUITY", "CRNCY"))</f>
        <v/>
      </c>
      <c r="L147" s="573"/>
      <c r="M147" s="574" t="str">
        <f>IF(OR($A147="", ISERROR(_xll.BDP($A147 &amp; " EQUITY", "CRNCY_ADJ_MKT_CAP")*1)), "", _xll.BDP($A147 &amp; " EQUITY", "CRNCY_ADJ_MKT_CAP"))</f>
        <v/>
      </c>
      <c r="N147" s="575" t="str">
        <f>IF(OR($A147="", ISERROR(_xll.BDP($A147 &amp; " EQUITY", "CRNCY_ADJ_MKT_CAP", "EQY_FUND_CRNCY", CURRENCY)*1)), "", _xll.BDP($A147 &amp; " EQUITY", "CRNCY_ADJ_MKT_CAP", "EQY_FUND_CRNCY", CURRENCY))</f>
        <v/>
      </c>
      <c r="O147" s="146"/>
      <c r="P147" s="576" t="str">
        <f>IF($A147="","",_xll.BDP($A147 &amp;" EQUITY", "CUST_TRR_RETURN_HOLDING_PER", "CUST_TRR_START_DT", DataH!$F$22, "CUST_TRR_END_DT", DataH!$F$21, "CUST_TRR_CRNCY", CURRENCY)/100)</f>
        <v/>
      </c>
      <c r="Q147" s="577" t="str">
        <f>IF($A147="","",_xll.BDP($A147&amp;" EQUITY","CUST_TRR_RETURN_HOLDING_PER","CUST_TRR_START_DT",DataH!$G$22,"CUST_TRR_END_DT",DataH!$F$21,"CUST_TRR_CRNCY",CURRENCY)/100)</f>
        <v/>
      </c>
      <c r="R147" s="578"/>
      <c r="S147" s="579" t="str">
        <f>IF($A147="","",_xll.BDP($A147&amp;" EQUITY",DataH!$C$23, "BEST_FPERIOD_OVERRIDE", MID(DataH!H$22, 3, 2)&amp;"BC", "EQY_CONSOLIDATED", DataH!$D$18)*DataH!$D$23)</f>
        <v/>
      </c>
      <c r="T147" s="580" t="str">
        <f>IF($A147="","",_xll.BDP($A147&amp;" EQUITY",DataH!$C$23, "BEST_FPERIOD_OVERRIDE", MID(DataH!I$22, 3, 2)&amp;"BC", "EQY_CONSOLIDATED", DataH!$D$18)*DataH!$D$23)</f>
        <v/>
      </c>
      <c r="U147" s="580" t="str">
        <f>IF($A147="","",_xll.BDP($A147&amp;" EQUITY",DataH!$C$23,"BEST_FPERIOD_OVERRIDE",MID(DataH!J$22,3,2)&amp;"BC","EQY_CONSOLIDATED",DataH!$D$18)*DataH!$D$23)</f>
        <v/>
      </c>
      <c r="V147" s="580" t="str">
        <f>IF($A147="","",_xll.BDP($A147&amp;" EQUITY",DataH!$C$23, "BEST_FPERIOD_OVERRIDE", MID(DataH!K$22, 3, 2)&amp;"BC", "EQY_CONSOLIDATED", DataH!$D$18)*DataH!$D$23)</f>
        <v/>
      </c>
      <c r="W147" s="581" t="str">
        <f>IF($A147="","",_xll.BDP($A147&amp;" EQUITY",DataH!$C$23, "BEST_FPERIOD_OVERRIDE", MID(DataH!L$22, 3, 2)&amp;"BC", "EQY_CONSOLIDATED", DataH!$D$18)*DataH!$D$23)</f>
        <v/>
      </c>
      <c r="X147" s="582" t="str">
        <f>IF($A147="","",_xll.BDP($A147&amp;" EQUITY",DataH!$C$23, "BEST_FPERIOD_OVERRIDE", MID(DataH!M$22, 3, 2)&amp;"BC", "EQY_CONSOLIDATED", DataH!$D$18)*DataH!$D$23)</f>
        <v/>
      </c>
      <c r="Y147" s="583" t="str">
        <f>IF($A147="","",_xll.BDP($A146&amp;" EQUITY",DataH!$C$23, "BEST_FPERIOD_OVERRIDE", MID(DataH!N$22, 3, 2)&amp;"BC", "EQY_CONSOLIDATED", DataH!$D$18)*DataH!$D$23)</f>
        <v/>
      </c>
      <c r="AC147" s="5" t="e">
        <f>IF(YEAR(_xll.BToday())-YEAR(_xll.BDP($A147 &amp;" EQUITY", "EQY_FISCAL_YR_END"))&gt;=2, YEAR(_xll.BToday())-1, YEAR(_xll.BToday()))</f>
        <v>#N/A</v>
      </c>
    </row>
    <row r="148" spans="1:29" ht="15" customHeight="1">
      <c r="A148" s="164" t="str">
        <f>IF(C148&lt;&gt;"", IF(ISNUMBER(FIND("EQUITY", UPPER(C148), 1)), _xll.BDP(C148, "TICKER_AND_EXCH_CODE"), C148), "")</f>
        <v/>
      </c>
      <c r="C148" s="589"/>
      <c r="D148" s="568"/>
      <c r="E148" s="763" t="str">
        <f>IF(A148="","",IF(Lang="English",_xll.BDP(A148&amp;" EQUITY","NAME"),IF(Lang="中文",_xll.BDP(A148&amp;" EQUITY","NAME_CHINESE_TRADITIONAL"),_xll.BDP(A148&amp;" EQUITY","NAME_KANJI"))))</f>
        <v/>
      </c>
      <c r="F148" s="764"/>
      <c r="G148" s="765"/>
      <c r="H148" s="763" t="str">
        <f>IF(A148="", "", _xll.BDP(A148 &amp; " EQUITY", "GICS_SUB_INDUSTRY_NAME"))</f>
        <v/>
      </c>
      <c r="I148" s="764"/>
      <c r="J148" s="765"/>
      <c r="K148" s="509" t="str">
        <f>IF($A148="", "", _xll.BDP($A148 &amp; " EQUITY", "CRNCY"))</f>
        <v/>
      </c>
      <c r="L148" s="276"/>
      <c r="M148" s="277" t="str">
        <f>IF(OR($A148="", ISERROR(_xll.BDP($A148 &amp; " EQUITY", "CRNCY_ADJ_MKT_CAP")*1)), "", _xll.BDP($A148 &amp; " EQUITY", "CRNCY_ADJ_MKT_CAP"))</f>
        <v/>
      </c>
      <c r="N148" s="278" t="str">
        <f>IF(OR($A148="", ISERROR(_xll.BDP($A148 &amp; " EQUITY", "CRNCY_ADJ_MKT_CAP", "EQY_FUND_CRNCY", CURRENCY)*1)), "", _xll.BDP($A148 &amp; " EQUITY", "CRNCY_ADJ_MKT_CAP", "EQY_FUND_CRNCY", CURRENCY))</f>
        <v/>
      </c>
      <c r="O148" s="146"/>
      <c r="P148" s="279" t="str">
        <f>IF($A148="","",_xll.BDP($A148 &amp;" EQUITY", "CUST_TRR_RETURN_HOLDING_PER", "CUST_TRR_START_DT", DataH!$F$22, "CUST_TRR_END_DT", DataH!$F$21, "CUST_TRR_CRNCY", CURRENCY)/100)</f>
        <v/>
      </c>
      <c r="Q148" s="102" t="str">
        <f>IF($A148="","",_xll.BDP($A148&amp;" EQUITY","CUST_TRR_RETURN_HOLDING_PER","CUST_TRR_START_DT",DataH!$G$22,"CUST_TRR_END_DT",DataH!$F$21,"CUST_TRR_CRNCY",CURRENCY)/100)</f>
        <v/>
      </c>
      <c r="R148" s="216"/>
      <c r="S148" s="280" t="str">
        <f>IF($A148="","",_xll.BDP($A148&amp;" EQUITY",DataH!$C$23, "BEST_FPERIOD_OVERRIDE", MID(DataH!H$22, 3, 2)&amp;"BC", "EQY_CONSOLIDATED", DataH!$D$18)*DataH!$D$23)</f>
        <v/>
      </c>
      <c r="T148" s="127" t="str">
        <f>IF($A148="","",_xll.BDP($A148&amp;" EQUITY",DataH!$C$23, "BEST_FPERIOD_OVERRIDE", MID(DataH!I$22, 3, 2)&amp;"BC", "EQY_CONSOLIDATED", DataH!$D$18)*DataH!$D$23)</f>
        <v/>
      </c>
      <c r="U148" s="127" t="str">
        <f>IF($A148="","",_xll.BDP($A148&amp;" EQUITY",DataH!$C$23,"BEST_FPERIOD_OVERRIDE",MID(DataH!J$22,3,2)&amp;"BC","EQY_CONSOLIDATED",DataH!$D$18)*DataH!$D$23)</f>
        <v/>
      </c>
      <c r="V148" s="127" t="str">
        <f>IF($A148="","",_xll.BDP($A148&amp;" EQUITY",DataH!$C$23, "BEST_FPERIOD_OVERRIDE", MID(DataH!K$22, 3, 2)&amp;"BC", "EQY_CONSOLIDATED", DataH!$D$18)*DataH!$D$23)</f>
        <v/>
      </c>
      <c r="W148" s="494" t="str">
        <f>IF($A148="","",_xll.BDP($A148&amp;" EQUITY",DataH!$C$23, "BEST_FPERIOD_OVERRIDE", MID(DataH!L$22, 3, 2)&amp;"BC", "EQY_CONSOLIDATED", DataH!$D$18)*DataH!$D$23)</f>
        <v/>
      </c>
      <c r="X148" s="256" t="str">
        <f>IF($A148="","",_xll.BDP($A148&amp;" EQUITY",DataH!$C$23, "BEST_FPERIOD_OVERRIDE", MID(DataH!M$22, 3, 2)&amp;"BC", "EQY_CONSOLIDATED", DataH!$D$18)*DataH!$D$23)</f>
        <v/>
      </c>
      <c r="Y148" s="257" t="str">
        <f>IF($A148="","",_xll.BDP($A147&amp;" EQUITY",DataH!$C$23, "BEST_FPERIOD_OVERRIDE", MID(DataH!N$22, 3, 2)&amp;"BC", "EQY_CONSOLIDATED", DataH!$D$18)*DataH!$D$23)</f>
        <v/>
      </c>
      <c r="AC148" s="5" t="e">
        <f>IF(YEAR(_xll.BToday())-YEAR(_xll.BDP($A148 &amp;" EQUITY", "EQY_FISCAL_YR_END"))&gt;=2, YEAR(_xll.BToday())-1, YEAR(_xll.BToday()))</f>
        <v>#N/A</v>
      </c>
    </row>
    <row r="149" spans="1:29" ht="15" customHeight="1">
      <c r="A149" s="164" t="str">
        <f>IF(C149&lt;&gt;"", IF(ISNUMBER(FIND("EQUITY", UPPER(C149), 1)), _xll.BDP(C149, "TICKER_AND_EXCH_CODE"), C149), "")</f>
        <v/>
      </c>
      <c r="C149" s="590"/>
      <c r="D149" s="571"/>
      <c r="E149" s="780" t="str">
        <f>IF(A149="","",IF(Lang="English",_xll.BDP(A149&amp;" EQUITY","NAME"),IF(Lang="中文",_xll.BDP(A149&amp;" EQUITY","NAME_CHINESE_TRADITIONAL"),_xll.BDP(A149&amp;" EQUITY","NAME_KANJI"))))</f>
        <v/>
      </c>
      <c r="F149" s="781"/>
      <c r="G149" s="782"/>
      <c r="H149" s="780" t="str">
        <f>IF(A149="", "", _xll.BDP(A149 &amp; " EQUITY", "GICS_SUB_INDUSTRY_NAME"))</f>
        <v/>
      </c>
      <c r="I149" s="781"/>
      <c r="J149" s="782"/>
      <c r="K149" s="572" t="str">
        <f>IF($A149="", "", _xll.BDP($A149 &amp; " EQUITY", "CRNCY"))</f>
        <v/>
      </c>
      <c r="L149" s="573"/>
      <c r="M149" s="574" t="str">
        <f>IF(OR($A149="", ISERROR(_xll.BDP($A149 &amp; " EQUITY", "CRNCY_ADJ_MKT_CAP")*1)), "", _xll.BDP($A149 &amp; " EQUITY", "CRNCY_ADJ_MKT_CAP"))</f>
        <v/>
      </c>
      <c r="N149" s="575" t="str">
        <f>IF(OR($A149="", ISERROR(_xll.BDP($A149 &amp; " EQUITY", "CRNCY_ADJ_MKT_CAP", "EQY_FUND_CRNCY", CURRENCY)*1)), "", _xll.BDP($A149 &amp; " EQUITY", "CRNCY_ADJ_MKT_CAP", "EQY_FUND_CRNCY", CURRENCY))</f>
        <v/>
      </c>
      <c r="O149" s="146"/>
      <c r="P149" s="576" t="str">
        <f>IF($A149="","",_xll.BDP($A149 &amp;" EQUITY", "CUST_TRR_RETURN_HOLDING_PER", "CUST_TRR_START_DT", DataH!$F$22, "CUST_TRR_END_DT", DataH!$F$21, "CUST_TRR_CRNCY", CURRENCY)/100)</f>
        <v/>
      </c>
      <c r="Q149" s="577" t="str">
        <f>IF($A149="","",_xll.BDP($A149&amp;" EQUITY","CUST_TRR_RETURN_HOLDING_PER","CUST_TRR_START_DT",DataH!$G$22,"CUST_TRR_END_DT",DataH!$F$21,"CUST_TRR_CRNCY",CURRENCY)/100)</f>
        <v/>
      </c>
      <c r="R149" s="578"/>
      <c r="S149" s="579" t="str">
        <f>IF($A149="","",_xll.BDP($A149&amp;" EQUITY",DataH!$C$23, "BEST_FPERIOD_OVERRIDE", MID(DataH!H$22, 3, 2)&amp;"BC", "EQY_CONSOLIDATED", DataH!$D$18)*DataH!$D$23)</f>
        <v/>
      </c>
      <c r="T149" s="580" t="str">
        <f>IF($A149="","",_xll.BDP($A149&amp;" EQUITY",DataH!$C$23, "BEST_FPERIOD_OVERRIDE", MID(DataH!I$22, 3, 2)&amp;"BC", "EQY_CONSOLIDATED", DataH!$D$18)*DataH!$D$23)</f>
        <v/>
      </c>
      <c r="U149" s="580" t="str">
        <f>IF($A149="","",_xll.BDP($A149&amp;" EQUITY",DataH!$C$23,"BEST_FPERIOD_OVERRIDE",MID(DataH!J$22,3,2)&amp;"BC","EQY_CONSOLIDATED",DataH!$D$18)*DataH!$D$23)</f>
        <v/>
      </c>
      <c r="V149" s="580" t="str">
        <f>IF($A149="","",_xll.BDP($A149&amp;" EQUITY",DataH!$C$23, "BEST_FPERIOD_OVERRIDE", MID(DataH!K$22, 3, 2)&amp;"BC", "EQY_CONSOLIDATED", DataH!$D$18)*DataH!$D$23)</f>
        <v/>
      </c>
      <c r="W149" s="581" t="str">
        <f>IF($A149="","",_xll.BDP($A149&amp;" EQUITY",DataH!$C$23, "BEST_FPERIOD_OVERRIDE", MID(DataH!L$22, 3, 2)&amp;"BC", "EQY_CONSOLIDATED", DataH!$D$18)*DataH!$D$23)</f>
        <v/>
      </c>
      <c r="X149" s="582" t="str">
        <f>IF($A149="","",_xll.BDP($A149&amp;" EQUITY",DataH!$C$23, "BEST_FPERIOD_OVERRIDE", MID(DataH!M$22, 3, 2)&amp;"BC", "EQY_CONSOLIDATED", DataH!$D$18)*DataH!$D$23)</f>
        <v/>
      </c>
      <c r="Y149" s="583" t="str">
        <f>IF($A149="","",_xll.BDP($A148&amp;" EQUITY",DataH!$C$23, "BEST_FPERIOD_OVERRIDE", MID(DataH!N$22, 3, 2)&amp;"BC", "EQY_CONSOLIDATED", DataH!$D$18)*DataH!$D$23)</f>
        <v/>
      </c>
      <c r="AC149" s="5" t="e">
        <f>IF(YEAR(_xll.BToday())-YEAR(_xll.BDP($A149 &amp;" EQUITY", "EQY_FISCAL_YR_END"))&gt;=2, YEAR(_xll.BToday())-1, YEAR(_xll.BToday()))</f>
        <v>#N/A</v>
      </c>
    </row>
    <row r="150" spans="1:29" ht="15" customHeight="1">
      <c r="A150" s="164" t="str">
        <f>IF(C150&lt;&gt;"", IF(ISNUMBER(FIND("EQUITY", UPPER(C150), 1)), _xll.BDP(C150, "TICKER_AND_EXCH_CODE"), C150), "")</f>
        <v/>
      </c>
      <c r="C150" s="589"/>
      <c r="D150" s="568"/>
      <c r="E150" s="763" t="str">
        <f>IF(A150="","",IF(Lang="English",_xll.BDP(A150&amp;" EQUITY","NAME"),IF(Lang="中文",_xll.BDP(A150&amp;" EQUITY","NAME_CHINESE_TRADITIONAL"),_xll.BDP(A150&amp;" EQUITY","NAME_KANJI"))))</f>
        <v/>
      </c>
      <c r="F150" s="764"/>
      <c r="G150" s="765"/>
      <c r="H150" s="763" t="str">
        <f>IF(A150="", "", _xll.BDP(A150 &amp; " EQUITY", "GICS_SUB_INDUSTRY_NAME"))</f>
        <v/>
      </c>
      <c r="I150" s="764"/>
      <c r="J150" s="765"/>
      <c r="K150" s="509" t="str">
        <f>IF($A150="", "", _xll.BDP($A150 &amp; " EQUITY", "CRNCY"))</f>
        <v/>
      </c>
      <c r="L150" s="276"/>
      <c r="M150" s="277" t="str">
        <f>IF(OR($A150="", ISERROR(_xll.BDP($A150 &amp; " EQUITY", "CRNCY_ADJ_MKT_CAP")*1)), "", _xll.BDP($A150 &amp; " EQUITY", "CRNCY_ADJ_MKT_CAP"))</f>
        <v/>
      </c>
      <c r="N150" s="278" t="str">
        <f>IF(OR($A150="", ISERROR(_xll.BDP($A150 &amp; " EQUITY", "CRNCY_ADJ_MKT_CAP", "EQY_FUND_CRNCY", CURRENCY)*1)), "", _xll.BDP($A150 &amp; " EQUITY", "CRNCY_ADJ_MKT_CAP", "EQY_FUND_CRNCY", CURRENCY))</f>
        <v/>
      </c>
      <c r="O150" s="146"/>
      <c r="P150" s="279" t="str">
        <f>IF($A150="","",_xll.BDP($A150 &amp;" EQUITY", "CUST_TRR_RETURN_HOLDING_PER", "CUST_TRR_START_DT", DataH!$F$22, "CUST_TRR_END_DT", DataH!$F$21, "CUST_TRR_CRNCY", CURRENCY)/100)</f>
        <v/>
      </c>
      <c r="Q150" s="102" t="str">
        <f>IF($A150="","",_xll.BDP($A150&amp;" EQUITY","CUST_TRR_RETURN_HOLDING_PER","CUST_TRR_START_DT",DataH!$G$22,"CUST_TRR_END_DT",DataH!$F$21,"CUST_TRR_CRNCY",CURRENCY)/100)</f>
        <v/>
      </c>
      <c r="R150" s="216"/>
      <c r="S150" s="280" t="str">
        <f>IF($A150="","",_xll.BDP($A150&amp;" EQUITY",DataH!$C$23, "BEST_FPERIOD_OVERRIDE", MID(DataH!H$22, 3, 2)&amp;"BC", "EQY_CONSOLIDATED", DataH!$D$18)*DataH!$D$23)</f>
        <v/>
      </c>
      <c r="T150" s="127" t="str">
        <f>IF($A150="","",_xll.BDP($A150&amp;" EQUITY",DataH!$C$23, "BEST_FPERIOD_OVERRIDE", MID(DataH!I$22, 3, 2)&amp;"BC", "EQY_CONSOLIDATED", DataH!$D$18)*DataH!$D$23)</f>
        <v/>
      </c>
      <c r="U150" s="127" t="str">
        <f>IF($A150="","",_xll.BDP($A150&amp;" EQUITY",DataH!$C$23,"BEST_FPERIOD_OVERRIDE",MID(DataH!J$22,3,2)&amp;"BC","EQY_CONSOLIDATED",DataH!$D$18)*DataH!$D$23)</f>
        <v/>
      </c>
      <c r="V150" s="127" t="str">
        <f>IF($A150="","",_xll.BDP($A150&amp;" EQUITY",DataH!$C$23, "BEST_FPERIOD_OVERRIDE", MID(DataH!K$22, 3, 2)&amp;"BC", "EQY_CONSOLIDATED", DataH!$D$18)*DataH!$D$23)</f>
        <v/>
      </c>
      <c r="W150" s="494" t="str">
        <f>IF($A150="","",_xll.BDP($A150&amp;" EQUITY",DataH!$C$23, "BEST_FPERIOD_OVERRIDE", MID(DataH!L$22, 3, 2)&amp;"BC", "EQY_CONSOLIDATED", DataH!$D$18)*DataH!$D$23)</f>
        <v/>
      </c>
      <c r="X150" s="256" t="str">
        <f>IF($A150="","",_xll.BDP($A150&amp;" EQUITY",DataH!$C$23, "BEST_FPERIOD_OVERRIDE", MID(DataH!M$22, 3, 2)&amp;"BC", "EQY_CONSOLIDATED", DataH!$D$18)*DataH!$D$23)</f>
        <v/>
      </c>
      <c r="Y150" s="257" t="str">
        <f>IF($A150="","",_xll.BDP($A149&amp;" EQUITY",DataH!$C$23, "BEST_FPERIOD_OVERRIDE", MID(DataH!N$22, 3, 2)&amp;"BC", "EQY_CONSOLIDATED", DataH!$D$18)*DataH!$D$23)</f>
        <v/>
      </c>
      <c r="AC150" s="5" t="e">
        <f>IF(YEAR(_xll.BToday())-YEAR(_xll.BDP($A150 &amp;" EQUITY", "EQY_FISCAL_YR_END"))&gt;=2, YEAR(_xll.BToday())-1, YEAR(_xll.BToday()))</f>
        <v>#N/A</v>
      </c>
    </row>
    <row r="151" spans="1:29" ht="15" customHeight="1">
      <c r="A151" s="164" t="str">
        <f>IF(C151&lt;&gt;"", IF(ISNUMBER(FIND("EQUITY", UPPER(C151), 1)), _xll.BDP(C151, "TICKER_AND_EXCH_CODE"), C151), "")</f>
        <v/>
      </c>
      <c r="C151" s="590"/>
      <c r="D151" s="571"/>
      <c r="E151" s="780" t="str">
        <f>IF(A151="","",IF(Lang="English",_xll.BDP(A151&amp;" EQUITY","NAME"),IF(Lang="中文",_xll.BDP(A151&amp;" EQUITY","NAME_CHINESE_TRADITIONAL"),_xll.BDP(A151&amp;" EQUITY","NAME_KANJI"))))</f>
        <v/>
      </c>
      <c r="F151" s="781"/>
      <c r="G151" s="782"/>
      <c r="H151" s="780" t="str">
        <f>IF(A151="", "", _xll.BDP(A151 &amp; " EQUITY", "GICS_SUB_INDUSTRY_NAME"))</f>
        <v/>
      </c>
      <c r="I151" s="781"/>
      <c r="J151" s="782"/>
      <c r="K151" s="572" t="str">
        <f>IF($A151="", "", _xll.BDP($A151 &amp; " EQUITY", "CRNCY"))</f>
        <v/>
      </c>
      <c r="L151" s="573"/>
      <c r="M151" s="574" t="str">
        <f>IF(OR($A151="", ISERROR(_xll.BDP($A151 &amp; " EQUITY", "CRNCY_ADJ_MKT_CAP")*1)), "", _xll.BDP($A151 &amp; " EQUITY", "CRNCY_ADJ_MKT_CAP"))</f>
        <v/>
      </c>
      <c r="N151" s="575" t="str">
        <f>IF(OR($A151="", ISERROR(_xll.BDP($A151 &amp; " EQUITY", "CRNCY_ADJ_MKT_CAP", "EQY_FUND_CRNCY", CURRENCY)*1)), "", _xll.BDP($A151 &amp; " EQUITY", "CRNCY_ADJ_MKT_CAP", "EQY_FUND_CRNCY", CURRENCY))</f>
        <v/>
      </c>
      <c r="O151" s="146"/>
      <c r="P151" s="576" t="str">
        <f>IF($A151="","",_xll.BDP($A151 &amp;" EQUITY", "CUST_TRR_RETURN_HOLDING_PER", "CUST_TRR_START_DT", DataH!$F$22, "CUST_TRR_END_DT", DataH!$F$21, "CUST_TRR_CRNCY", CURRENCY)/100)</f>
        <v/>
      </c>
      <c r="Q151" s="577" t="str">
        <f>IF($A151="","",_xll.BDP($A151&amp;" EQUITY","CUST_TRR_RETURN_HOLDING_PER","CUST_TRR_START_DT",DataH!$G$22,"CUST_TRR_END_DT",DataH!$F$21,"CUST_TRR_CRNCY",CURRENCY)/100)</f>
        <v/>
      </c>
      <c r="R151" s="578"/>
      <c r="S151" s="579" t="str">
        <f>IF($A151="","",_xll.BDP($A151&amp;" EQUITY",DataH!$C$23, "BEST_FPERIOD_OVERRIDE", MID(DataH!H$22, 3, 2)&amp;"BC", "EQY_CONSOLIDATED", DataH!$D$18)*DataH!$D$23)</f>
        <v/>
      </c>
      <c r="T151" s="580" t="str">
        <f>IF($A151="","",_xll.BDP($A151&amp;" EQUITY",DataH!$C$23, "BEST_FPERIOD_OVERRIDE", MID(DataH!I$22, 3, 2)&amp;"BC", "EQY_CONSOLIDATED", DataH!$D$18)*DataH!$D$23)</f>
        <v/>
      </c>
      <c r="U151" s="580" t="str">
        <f>IF($A151="","",_xll.BDP($A151&amp;" EQUITY",DataH!$C$23,"BEST_FPERIOD_OVERRIDE",MID(DataH!J$22,3,2)&amp;"BC","EQY_CONSOLIDATED",DataH!$D$18)*DataH!$D$23)</f>
        <v/>
      </c>
      <c r="V151" s="580" t="str">
        <f>IF($A151="","",_xll.BDP($A151&amp;" EQUITY",DataH!$C$23, "BEST_FPERIOD_OVERRIDE", MID(DataH!K$22, 3, 2)&amp;"BC", "EQY_CONSOLIDATED", DataH!$D$18)*DataH!$D$23)</f>
        <v/>
      </c>
      <c r="W151" s="581" t="str">
        <f>IF($A151="","",_xll.BDP($A151&amp;" EQUITY",DataH!$C$23, "BEST_FPERIOD_OVERRIDE", MID(DataH!L$22, 3, 2)&amp;"BC", "EQY_CONSOLIDATED", DataH!$D$18)*DataH!$D$23)</f>
        <v/>
      </c>
      <c r="X151" s="582" t="str">
        <f>IF($A151="","",_xll.BDP($A151&amp;" EQUITY",DataH!$C$23, "BEST_FPERIOD_OVERRIDE", MID(DataH!M$22, 3, 2)&amp;"BC", "EQY_CONSOLIDATED", DataH!$D$18)*DataH!$D$23)</f>
        <v/>
      </c>
      <c r="Y151" s="583" t="str">
        <f>IF($A151="","",_xll.BDP($A150&amp;" EQUITY",DataH!$C$23, "BEST_FPERIOD_OVERRIDE", MID(DataH!N$22, 3, 2)&amp;"BC", "EQY_CONSOLIDATED", DataH!$D$18)*DataH!$D$23)</f>
        <v/>
      </c>
      <c r="AC151" s="5" t="e">
        <f>IF(YEAR(_xll.BToday())-YEAR(_xll.BDP($A151 &amp;" EQUITY", "EQY_FISCAL_YR_END"))&gt;=2, YEAR(_xll.BToday())-1, YEAR(_xll.BToday()))</f>
        <v>#N/A</v>
      </c>
    </row>
    <row r="152" spans="1:29" ht="15" customHeight="1">
      <c r="A152" s="164" t="str">
        <f>IF(C152&lt;&gt;"", IF(ISNUMBER(FIND("EQUITY", UPPER(C152), 1)), _xll.BDP(C152, "TICKER_AND_EXCH_CODE"), C152), "")</f>
        <v/>
      </c>
      <c r="C152" s="589"/>
      <c r="D152" s="568"/>
      <c r="E152" s="763" t="str">
        <f>IF(A152="","",IF(Lang="English",_xll.BDP(A152&amp;" EQUITY","NAME"),IF(Lang="中文",_xll.BDP(A152&amp;" EQUITY","NAME_CHINESE_TRADITIONAL"),_xll.BDP(A152&amp;" EQUITY","NAME_KANJI"))))</f>
        <v/>
      </c>
      <c r="F152" s="764"/>
      <c r="G152" s="765"/>
      <c r="H152" s="763" t="str">
        <f>IF(A152="", "", _xll.BDP(A152 &amp; " EQUITY", "GICS_SUB_INDUSTRY_NAME"))</f>
        <v/>
      </c>
      <c r="I152" s="764"/>
      <c r="J152" s="765"/>
      <c r="K152" s="509" t="str">
        <f>IF($A152="", "", _xll.BDP($A152 &amp; " EQUITY", "CRNCY"))</f>
        <v/>
      </c>
      <c r="L152" s="276"/>
      <c r="M152" s="277" t="str">
        <f>IF(OR($A152="", ISERROR(_xll.BDP($A152 &amp; " EQUITY", "CRNCY_ADJ_MKT_CAP")*1)), "", _xll.BDP($A152 &amp; " EQUITY", "CRNCY_ADJ_MKT_CAP"))</f>
        <v/>
      </c>
      <c r="N152" s="278" t="str">
        <f>IF(OR($A152="", ISERROR(_xll.BDP($A152 &amp; " EQUITY", "CRNCY_ADJ_MKT_CAP", "EQY_FUND_CRNCY", CURRENCY)*1)), "", _xll.BDP($A152 &amp; " EQUITY", "CRNCY_ADJ_MKT_CAP", "EQY_FUND_CRNCY", CURRENCY))</f>
        <v/>
      </c>
      <c r="O152" s="146"/>
      <c r="P152" s="279" t="str">
        <f>IF($A152="","",_xll.BDP($A152 &amp;" EQUITY", "CUST_TRR_RETURN_HOLDING_PER", "CUST_TRR_START_DT", DataH!$F$22, "CUST_TRR_END_DT", DataH!$F$21, "CUST_TRR_CRNCY", CURRENCY)/100)</f>
        <v/>
      </c>
      <c r="Q152" s="102" t="str">
        <f>IF($A152="","",_xll.BDP($A152&amp;" EQUITY","CUST_TRR_RETURN_HOLDING_PER","CUST_TRR_START_DT",DataH!$G$22,"CUST_TRR_END_DT",DataH!$F$21,"CUST_TRR_CRNCY",CURRENCY)/100)</f>
        <v/>
      </c>
      <c r="R152" s="216"/>
      <c r="S152" s="280" t="str">
        <f>IF($A152="","",_xll.BDP($A152&amp;" EQUITY",DataH!$C$23, "BEST_FPERIOD_OVERRIDE", MID(DataH!H$22, 3, 2)&amp;"BC", "EQY_CONSOLIDATED", DataH!$D$18)*DataH!$D$23)</f>
        <v/>
      </c>
      <c r="T152" s="127" t="str">
        <f>IF($A152="","",_xll.BDP($A152&amp;" EQUITY",DataH!$C$23, "BEST_FPERIOD_OVERRIDE", MID(DataH!I$22, 3, 2)&amp;"BC", "EQY_CONSOLIDATED", DataH!$D$18)*DataH!$D$23)</f>
        <v/>
      </c>
      <c r="U152" s="127" t="str">
        <f>IF($A152="","",_xll.BDP($A152&amp;" EQUITY",DataH!$C$23,"BEST_FPERIOD_OVERRIDE",MID(DataH!J$22,3,2)&amp;"BC","EQY_CONSOLIDATED",DataH!$D$18)*DataH!$D$23)</f>
        <v/>
      </c>
      <c r="V152" s="127" t="str">
        <f>IF($A152="","",_xll.BDP($A152&amp;" EQUITY",DataH!$C$23, "BEST_FPERIOD_OVERRIDE", MID(DataH!K$22, 3, 2)&amp;"BC", "EQY_CONSOLIDATED", DataH!$D$18)*DataH!$D$23)</f>
        <v/>
      </c>
      <c r="W152" s="494" t="str">
        <f>IF($A152="","",_xll.BDP($A152&amp;" EQUITY",DataH!$C$23, "BEST_FPERIOD_OVERRIDE", MID(DataH!L$22, 3, 2)&amp;"BC", "EQY_CONSOLIDATED", DataH!$D$18)*DataH!$D$23)</f>
        <v/>
      </c>
      <c r="X152" s="256" t="str">
        <f>IF($A152="","",_xll.BDP($A152&amp;" EQUITY",DataH!$C$23, "BEST_FPERIOD_OVERRIDE", MID(DataH!M$22, 3, 2)&amp;"BC", "EQY_CONSOLIDATED", DataH!$D$18)*DataH!$D$23)</f>
        <v/>
      </c>
      <c r="Y152" s="257" t="str">
        <f>IF($A152="","",_xll.BDP($A151&amp;" EQUITY",DataH!$C$23, "BEST_FPERIOD_OVERRIDE", MID(DataH!N$22, 3, 2)&amp;"BC", "EQY_CONSOLIDATED", DataH!$D$18)*DataH!$D$23)</f>
        <v/>
      </c>
      <c r="AC152" s="5" t="e">
        <f>IF(YEAR(_xll.BToday())-YEAR(_xll.BDP($A152 &amp;" EQUITY", "EQY_FISCAL_YR_END"))&gt;=2, YEAR(_xll.BToday())-1, YEAR(_xll.BToday()))</f>
        <v>#N/A</v>
      </c>
    </row>
    <row r="153" spans="1:29" ht="15" customHeight="1">
      <c r="A153" s="164" t="str">
        <f>IF(C153&lt;&gt;"", IF(ISNUMBER(FIND("EQUITY", UPPER(C153), 1)), _xll.BDP(C153, "TICKER_AND_EXCH_CODE"), C153), "")</f>
        <v/>
      </c>
      <c r="C153" s="590"/>
      <c r="D153" s="571"/>
      <c r="E153" s="780" t="str">
        <f>IF(A153="","",IF(Lang="English",_xll.BDP(A153&amp;" EQUITY","NAME"),IF(Lang="中文",_xll.BDP(A153&amp;" EQUITY","NAME_CHINESE_TRADITIONAL"),_xll.BDP(A153&amp;" EQUITY","NAME_KANJI"))))</f>
        <v/>
      </c>
      <c r="F153" s="781"/>
      <c r="G153" s="782"/>
      <c r="H153" s="780" t="str">
        <f>IF(A153="", "", _xll.BDP(A153 &amp; " EQUITY", "GICS_SUB_INDUSTRY_NAME"))</f>
        <v/>
      </c>
      <c r="I153" s="781"/>
      <c r="J153" s="782"/>
      <c r="K153" s="572" t="str">
        <f>IF($A153="", "", _xll.BDP($A153 &amp; " EQUITY", "CRNCY"))</f>
        <v/>
      </c>
      <c r="L153" s="573"/>
      <c r="M153" s="574" t="str">
        <f>IF(OR($A153="", ISERROR(_xll.BDP($A153 &amp; " EQUITY", "CRNCY_ADJ_MKT_CAP")*1)), "", _xll.BDP($A153 &amp; " EQUITY", "CRNCY_ADJ_MKT_CAP"))</f>
        <v/>
      </c>
      <c r="N153" s="575" t="str">
        <f>IF(OR($A153="", ISERROR(_xll.BDP($A153 &amp; " EQUITY", "CRNCY_ADJ_MKT_CAP", "EQY_FUND_CRNCY", CURRENCY)*1)), "", _xll.BDP($A153 &amp; " EQUITY", "CRNCY_ADJ_MKT_CAP", "EQY_FUND_CRNCY", CURRENCY))</f>
        <v/>
      </c>
      <c r="O153" s="146"/>
      <c r="P153" s="576" t="str">
        <f>IF($A153="","",_xll.BDP($A153 &amp;" EQUITY", "CUST_TRR_RETURN_HOLDING_PER", "CUST_TRR_START_DT", DataH!$F$22, "CUST_TRR_END_DT", DataH!$F$21, "CUST_TRR_CRNCY", CURRENCY)/100)</f>
        <v/>
      </c>
      <c r="Q153" s="577" t="str">
        <f>IF($A153="","",_xll.BDP($A153&amp;" EQUITY","CUST_TRR_RETURN_HOLDING_PER","CUST_TRR_START_DT",DataH!$G$22,"CUST_TRR_END_DT",DataH!$F$21,"CUST_TRR_CRNCY",CURRENCY)/100)</f>
        <v/>
      </c>
      <c r="R153" s="578"/>
      <c r="S153" s="579" t="str">
        <f>IF($A153="","",_xll.BDP($A153&amp;" EQUITY",DataH!$C$23, "BEST_FPERIOD_OVERRIDE", MID(DataH!H$22, 3, 2)&amp;"BC", "EQY_CONSOLIDATED", DataH!$D$18)*DataH!$D$23)</f>
        <v/>
      </c>
      <c r="T153" s="580" t="str">
        <f>IF($A153="","",_xll.BDP($A153&amp;" EQUITY",DataH!$C$23, "BEST_FPERIOD_OVERRIDE", MID(DataH!I$22, 3, 2)&amp;"BC", "EQY_CONSOLIDATED", DataH!$D$18)*DataH!$D$23)</f>
        <v/>
      </c>
      <c r="U153" s="580" t="str">
        <f>IF($A153="","",_xll.BDP($A153&amp;" EQUITY",DataH!$C$23,"BEST_FPERIOD_OVERRIDE",MID(DataH!J$22,3,2)&amp;"BC","EQY_CONSOLIDATED",DataH!$D$18)*DataH!$D$23)</f>
        <v/>
      </c>
      <c r="V153" s="580" t="str">
        <f>IF($A153="","",_xll.BDP($A153&amp;" EQUITY",DataH!$C$23, "BEST_FPERIOD_OVERRIDE", MID(DataH!K$22, 3, 2)&amp;"BC", "EQY_CONSOLIDATED", DataH!$D$18)*DataH!$D$23)</f>
        <v/>
      </c>
      <c r="W153" s="581" t="str">
        <f>IF($A153="","",_xll.BDP($A153&amp;" EQUITY",DataH!$C$23, "BEST_FPERIOD_OVERRIDE", MID(DataH!L$22, 3, 2)&amp;"BC", "EQY_CONSOLIDATED", DataH!$D$18)*DataH!$D$23)</f>
        <v/>
      </c>
      <c r="X153" s="582" t="str">
        <f>IF($A153="","",_xll.BDP($A153&amp;" EQUITY",DataH!$C$23, "BEST_FPERIOD_OVERRIDE", MID(DataH!M$22, 3, 2)&amp;"BC", "EQY_CONSOLIDATED", DataH!$D$18)*DataH!$D$23)</f>
        <v/>
      </c>
      <c r="Y153" s="583" t="str">
        <f>IF($A153="","",_xll.BDP($A152&amp;" EQUITY",DataH!$C$23, "BEST_FPERIOD_OVERRIDE", MID(DataH!N$22, 3, 2)&amp;"BC", "EQY_CONSOLIDATED", DataH!$D$18)*DataH!$D$23)</f>
        <v/>
      </c>
      <c r="AC153" s="5" t="e">
        <f>IF(YEAR(_xll.BToday())-YEAR(_xll.BDP($A153 &amp;" EQUITY", "EQY_FISCAL_YR_END"))&gt;=2, YEAR(_xll.BToday())-1, YEAR(_xll.BToday()))</f>
        <v>#N/A</v>
      </c>
    </row>
    <row r="154" spans="1:29" ht="15" customHeight="1">
      <c r="A154" s="164" t="str">
        <f>IF(C154&lt;&gt;"", IF(ISNUMBER(FIND("EQUITY", UPPER(C154), 1)), _xll.BDP(C154, "TICKER_AND_EXCH_CODE"), C154), "")</f>
        <v/>
      </c>
      <c r="C154" s="589"/>
      <c r="D154" s="568"/>
      <c r="E154" s="763" t="str">
        <f>IF(A154="","",IF(Lang="English",_xll.BDP(A154&amp;" EQUITY","NAME"),IF(Lang="中文",_xll.BDP(A154&amp;" EQUITY","NAME_CHINESE_TRADITIONAL"),_xll.BDP(A154&amp;" EQUITY","NAME_KANJI"))))</f>
        <v/>
      </c>
      <c r="F154" s="764"/>
      <c r="G154" s="765"/>
      <c r="H154" s="763" t="str">
        <f>IF(A154="", "", _xll.BDP(A154 &amp; " EQUITY", "GICS_SUB_INDUSTRY_NAME"))</f>
        <v/>
      </c>
      <c r="I154" s="764"/>
      <c r="J154" s="765"/>
      <c r="K154" s="509" t="str">
        <f>IF($A154="", "", _xll.BDP($A154 &amp; " EQUITY", "CRNCY"))</f>
        <v/>
      </c>
      <c r="L154" s="276"/>
      <c r="M154" s="277" t="str">
        <f>IF(OR($A154="", ISERROR(_xll.BDP($A154 &amp; " EQUITY", "CRNCY_ADJ_MKT_CAP")*1)), "", _xll.BDP($A154 &amp; " EQUITY", "CRNCY_ADJ_MKT_CAP"))</f>
        <v/>
      </c>
      <c r="N154" s="278" t="str">
        <f>IF(OR($A154="", ISERROR(_xll.BDP($A154 &amp; " EQUITY", "CRNCY_ADJ_MKT_CAP", "EQY_FUND_CRNCY", CURRENCY)*1)), "", _xll.BDP($A154 &amp; " EQUITY", "CRNCY_ADJ_MKT_CAP", "EQY_FUND_CRNCY", CURRENCY))</f>
        <v/>
      </c>
      <c r="O154" s="146"/>
      <c r="P154" s="279" t="str">
        <f>IF($A154="","",_xll.BDP($A154 &amp;" EQUITY", "CUST_TRR_RETURN_HOLDING_PER", "CUST_TRR_START_DT", DataH!$F$22, "CUST_TRR_END_DT", DataH!$F$21, "CUST_TRR_CRNCY", CURRENCY)/100)</f>
        <v/>
      </c>
      <c r="Q154" s="102" t="str">
        <f>IF($A154="","",_xll.BDP($A154&amp;" EQUITY","CUST_TRR_RETURN_HOLDING_PER","CUST_TRR_START_DT",DataH!$G$22,"CUST_TRR_END_DT",DataH!$F$21,"CUST_TRR_CRNCY",CURRENCY)/100)</f>
        <v/>
      </c>
      <c r="R154" s="216"/>
      <c r="S154" s="280" t="str">
        <f>IF($A154="","",_xll.BDP($A154&amp;" EQUITY",DataH!$C$23, "BEST_FPERIOD_OVERRIDE", MID(DataH!H$22, 3, 2)&amp;"BC", "EQY_CONSOLIDATED", DataH!$D$18)*DataH!$D$23)</f>
        <v/>
      </c>
      <c r="T154" s="127" t="str">
        <f>IF($A154="","",_xll.BDP($A154&amp;" EQUITY",DataH!$C$23, "BEST_FPERIOD_OVERRIDE", MID(DataH!I$22, 3, 2)&amp;"BC", "EQY_CONSOLIDATED", DataH!$D$18)*DataH!$D$23)</f>
        <v/>
      </c>
      <c r="U154" s="127" t="str">
        <f>IF($A154="","",_xll.BDP($A154&amp;" EQUITY",DataH!$C$23,"BEST_FPERIOD_OVERRIDE",MID(DataH!J$22,3,2)&amp;"BC","EQY_CONSOLIDATED",DataH!$D$18)*DataH!$D$23)</f>
        <v/>
      </c>
      <c r="V154" s="127" t="str">
        <f>IF($A154="","",_xll.BDP($A154&amp;" EQUITY",DataH!$C$23, "BEST_FPERIOD_OVERRIDE", MID(DataH!K$22, 3, 2)&amp;"BC", "EQY_CONSOLIDATED", DataH!$D$18)*DataH!$D$23)</f>
        <v/>
      </c>
      <c r="W154" s="494" t="str">
        <f>IF($A154="","",_xll.BDP($A154&amp;" EQUITY",DataH!$C$23, "BEST_FPERIOD_OVERRIDE", MID(DataH!L$22, 3, 2)&amp;"BC", "EQY_CONSOLIDATED", DataH!$D$18)*DataH!$D$23)</f>
        <v/>
      </c>
      <c r="X154" s="256" t="str">
        <f>IF($A154="","",_xll.BDP($A154&amp;" EQUITY",DataH!$C$23, "BEST_FPERIOD_OVERRIDE", MID(DataH!M$22, 3, 2)&amp;"BC", "EQY_CONSOLIDATED", DataH!$D$18)*DataH!$D$23)</f>
        <v/>
      </c>
      <c r="Y154" s="257" t="str">
        <f>IF($A154="","",_xll.BDP($A153&amp;" EQUITY",DataH!$C$23, "BEST_FPERIOD_OVERRIDE", MID(DataH!N$22, 3, 2)&amp;"BC", "EQY_CONSOLIDATED", DataH!$D$18)*DataH!$D$23)</f>
        <v/>
      </c>
      <c r="AC154" s="5" t="e">
        <f>IF(YEAR(_xll.BToday())-YEAR(_xll.BDP($A154 &amp;" EQUITY", "EQY_FISCAL_YR_END"))&gt;=2, YEAR(_xll.BToday())-1, YEAR(_xll.BToday()))</f>
        <v>#N/A</v>
      </c>
    </row>
    <row r="155" spans="1:29" ht="15" customHeight="1">
      <c r="A155" s="164" t="str">
        <f>IF(C155&lt;&gt;"", IF(ISNUMBER(FIND("EQUITY", UPPER(C155), 1)), _xll.BDP(C155, "TICKER_AND_EXCH_CODE"), C155), "")</f>
        <v/>
      </c>
      <c r="C155" s="590"/>
      <c r="D155" s="571"/>
      <c r="E155" s="780" t="str">
        <f>IF(A155="","",IF(Lang="English",_xll.BDP(A155&amp;" EQUITY","NAME"),IF(Lang="中文",_xll.BDP(A155&amp;" EQUITY","NAME_CHINESE_TRADITIONAL"),_xll.BDP(A155&amp;" EQUITY","NAME_KANJI"))))</f>
        <v/>
      </c>
      <c r="F155" s="781"/>
      <c r="G155" s="782"/>
      <c r="H155" s="780" t="str">
        <f>IF(A155="", "", _xll.BDP(A155 &amp; " EQUITY", "GICS_SUB_INDUSTRY_NAME"))</f>
        <v/>
      </c>
      <c r="I155" s="781"/>
      <c r="J155" s="782"/>
      <c r="K155" s="572" t="str">
        <f>IF($A155="", "", _xll.BDP($A155 &amp; " EQUITY", "CRNCY"))</f>
        <v/>
      </c>
      <c r="L155" s="573"/>
      <c r="M155" s="574" t="str">
        <f>IF(OR($A155="", ISERROR(_xll.BDP($A155 &amp; " EQUITY", "CRNCY_ADJ_MKT_CAP")*1)), "", _xll.BDP($A155 &amp; " EQUITY", "CRNCY_ADJ_MKT_CAP"))</f>
        <v/>
      </c>
      <c r="N155" s="575" t="str">
        <f>IF(OR($A155="", ISERROR(_xll.BDP($A155 &amp; " EQUITY", "CRNCY_ADJ_MKT_CAP", "EQY_FUND_CRNCY", CURRENCY)*1)), "", _xll.BDP($A155 &amp; " EQUITY", "CRNCY_ADJ_MKT_CAP", "EQY_FUND_CRNCY", CURRENCY))</f>
        <v/>
      </c>
      <c r="O155" s="146"/>
      <c r="P155" s="576" t="str">
        <f>IF($A155="","",_xll.BDP($A155 &amp;" EQUITY", "CUST_TRR_RETURN_HOLDING_PER", "CUST_TRR_START_DT", DataH!$F$22, "CUST_TRR_END_DT", DataH!$F$21, "CUST_TRR_CRNCY", CURRENCY)/100)</f>
        <v/>
      </c>
      <c r="Q155" s="577" t="str">
        <f>IF($A155="","",_xll.BDP($A155&amp;" EQUITY","CUST_TRR_RETURN_HOLDING_PER","CUST_TRR_START_DT",DataH!$G$22,"CUST_TRR_END_DT",DataH!$F$21,"CUST_TRR_CRNCY",CURRENCY)/100)</f>
        <v/>
      </c>
      <c r="R155" s="578"/>
      <c r="S155" s="579" t="str">
        <f>IF($A155="","",_xll.BDP($A155&amp;" EQUITY",DataH!$C$23, "BEST_FPERIOD_OVERRIDE", MID(DataH!H$22, 3, 2)&amp;"BC", "EQY_CONSOLIDATED", DataH!$D$18)*DataH!$D$23)</f>
        <v/>
      </c>
      <c r="T155" s="580" t="str">
        <f>IF($A155="","",_xll.BDP($A155&amp;" EQUITY",DataH!$C$23, "BEST_FPERIOD_OVERRIDE", MID(DataH!I$22, 3, 2)&amp;"BC", "EQY_CONSOLIDATED", DataH!$D$18)*DataH!$D$23)</f>
        <v/>
      </c>
      <c r="U155" s="580" t="str">
        <f>IF($A155="","",_xll.BDP($A155&amp;" EQUITY",DataH!$C$23,"BEST_FPERIOD_OVERRIDE",MID(DataH!J$22,3,2)&amp;"BC","EQY_CONSOLIDATED",DataH!$D$18)*DataH!$D$23)</f>
        <v/>
      </c>
      <c r="V155" s="580" t="str">
        <f>IF($A155="","",_xll.BDP($A155&amp;" EQUITY",DataH!$C$23, "BEST_FPERIOD_OVERRIDE", MID(DataH!K$22, 3, 2)&amp;"BC", "EQY_CONSOLIDATED", DataH!$D$18)*DataH!$D$23)</f>
        <v/>
      </c>
      <c r="W155" s="581" t="str">
        <f>IF($A155="","",_xll.BDP($A155&amp;" EQUITY",DataH!$C$23, "BEST_FPERIOD_OVERRIDE", MID(DataH!L$22, 3, 2)&amp;"BC", "EQY_CONSOLIDATED", DataH!$D$18)*DataH!$D$23)</f>
        <v/>
      </c>
      <c r="X155" s="582" t="str">
        <f>IF($A155="","",_xll.BDP($A155&amp;" EQUITY",DataH!$C$23, "BEST_FPERIOD_OVERRIDE", MID(DataH!M$22, 3, 2)&amp;"BC", "EQY_CONSOLIDATED", DataH!$D$18)*DataH!$D$23)</f>
        <v/>
      </c>
      <c r="Y155" s="583" t="str">
        <f>IF($A155="","",_xll.BDP($A154&amp;" EQUITY",DataH!$C$23, "BEST_FPERIOD_OVERRIDE", MID(DataH!N$22, 3, 2)&amp;"BC", "EQY_CONSOLIDATED", DataH!$D$18)*DataH!$D$23)</f>
        <v/>
      </c>
      <c r="AC155" s="5" t="e">
        <f>IF(YEAR(_xll.BToday())-YEAR(_xll.BDP($A155 &amp;" EQUITY", "EQY_FISCAL_YR_END"))&gt;=2, YEAR(_xll.BToday())-1, YEAR(_xll.BToday()))</f>
        <v>#N/A</v>
      </c>
    </row>
    <row r="156" spans="1:29" ht="15" customHeight="1">
      <c r="A156" s="164" t="str">
        <f>IF(C156&lt;&gt;"", IF(ISNUMBER(FIND("EQUITY", UPPER(C156), 1)), _xll.BDP(C156, "TICKER_AND_EXCH_CODE"), C156), "")</f>
        <v/>
      </c>
      <c r="C156" s="589"/>
      <c r="D156" s="568"/>
      <c r="E156" s="763" t="str">
        <f>IF(A156="","",IF(Lang="English",_xll.BDP(A156&amp;" EQUITY","NAME"),IF(Lang="中文",_xll.BDP(A156&amp;" EQUITY","NAME_CHINESE_TRADITIONAL"),_xll.BDP(A156&amp;" EQUITY","NAME_KANJI"))))</f>
        <v/>
      </c>
      <c r="F156" s="764"/>
      <c r="G156" s="765"/>
      <c r="H156" s="763" t="str">
        <f>IF(A156="", "", _xll.BDP(A156 &amp; " EQUITY", "GICS_SUB_INDUSTRY_NAME"))</f>
        <v/>
      </c>
      <c r="I156" s="764"/>
      <c r="J156" s="765"/>
      <c r="K156" s="509" t="str">
        <f>IF($A156="", "", _xll.BDP($A156 &amp; " EQUITY", "CRNCY"))</f>
        <v/>
      </c>
      <c r="L156" s="276"/>
      <c r="M156" s="277" t="str">
        <f>IF(OR($A156="", ISERROR(_xll.BDP($A156 &amp; " EQUITY", "CRNCY_ADJ_MKT_CAP")*1)), "", _xll.BDP($A156 &amp; " EQUITY", "CRNCY_ADJ_MKT_CAP"))</f>
        <v/>
      </c>
      <c r="N156" s="278" t="str">
        <f>IF(OR($A156="", ISERROR(_xll.BDP($A156 &amp; " EQUITY", "CRNCY_ADJ_MKT_CAP", "EQY_FUND_CRNCY", CURRENCY)*1)), "", _xll.BDP($A156 &amp; " EQUITY", "CRNCY_ADJ_MKT_CAP", "EQY_FUND_CRNCY", CURRENCY))</f>
        <v/>
      </c>
      <c r="O156" s="146"/>
      <c r="P156" s="279" t="str">
        <f>IF($A156="","",_xll.BDP($A156 &amp;" EQUITY", "CUST_TRR_RETURN_HOLDING_PER", "CUST_TRR_START_DT", DataH!$F$22, "CUST_TRR_END_DT", DataH!$F$21, "CUST_TRR_CRNCY", CURRENCY)/100)</f>
        <v/>
      </c>
      <c r="Q156" s="102" t="str">
        <f>IF($A156="","",_xll.BDP($A156&amp;" EQUITY","CUST_TRR_RETURN_HOLDING_PER","CUST_TRR_START_DT",DataH!$G$22,"CUST_TRR_END_DT",DataH!$F$21,"CUST_TRR_CRNCY",CURRENCY)/100)</f>
        <v/>
      </c>
      <c r="R156" s="216"/>
      <c r="S156" s="280" t="str">
        <f>IF($A156="","",_xll.BDP($A156&amp;" EQUITY",DataH!$C$23, "BEST_FPERIOD_OVERRIDE", MID(DataH!H$22, 3, 2)&amp;"BC", "EQY_CONSOLIDATED", DataH!$D$18)*DataH!$D$23)</f>
        <v/>
      </c>
      <c r="T156" s="127" t="str">
        <f>IF($A156="","",_xll.BDP($A156&amp;" EQUITY",DataH!$C$23, "BEST_FPERIOD_OVERRIDE", MID(DataH!I$22, 3, 2)&amp;"BC", "EQY_CONSOLIDATED", DataH!$D$18)*DataH!$D$23)</f>
        <v/>
      </c>
      <c r="U156" s="127" t="str">
        <f>IF($A156="","",_xll.BDP($A156&amp;" EQUITY",DataH!$C$23,"BEST_FPERIOD_OVERRIDE",MID(DataH!J$22,3,2)&amp;"BC","EQY_CONSOLIDATED",DataH!$D$18)*DataH!$D$23)</f>
        <v/>
      </c>
      <c r="V156" s="127" t="str">
        <f>IF($A156="","",_xll.BDP($A156&amp;" EQUITY",DataH!$C$23, "BEST_FPERIOD_OVERRIDE", MID(DataH!K$22, 3, 2)&amp;"BC", "EQY_CONSOLIDATED", DataH!$D$18)*DataH!$D$23)</f>
        <v/>
      </c>
      <c r="W156" s="494" t="str">
        <f>IF($A156="","",_xll.BDP($A156&amp;" EQUITY",DataH!$C$23, "BEST_FPERIOD_OVERRIDE", MID(DataH!L$22, 3, 2)&amp;"BC", "EQY_CONSOLIDATED", DataH!$D$18)*DataH!$D$23)</f>
        <v/>
      </c>
      <c r="X156" s="256" t="str">
        <f>IF($A156="","",_xll.BDP($A156&amp;" EQUITY",DataH!$C$23, "BEST_FPERIOD_OVERRIDE", MID(DataH!M$22, 3, 2)&amp;"BC", "EQY_CONSOLIDATED", DataH!$D$18)*DataH!$D$23)</f>
        <v/>
      </c>
      <c r="Y156" s="257" t="str">
        <f>IF($A156="","",_xll.BDP($A155&amp;" EQUITY",DataH!$C$23, "BEST_FPERIOD_OVERRIDE", MID(DataH!N$22, 3, 2)&amp;"BC", "EQY_CONSOLIDATED", DataH!$D$18)*DataH!$D$23)</f>
        <v/>
      </c>
      <c r="AC156" s="5" t="e">
        <f>IF(YEAR(_xll.BToday())-YEAR(_xll.BDP($A156 &amp;" EQUITY", "EQY_FISCAL_YR_END"))&gt;=2, YEAR(_xll.BToday())-1, YEAR(_xll.BToday()))</f>
        <v>#N/A</v>
      </c>
    </row>
    <row r="157" spans="1:29" ht="15" customHeight="1">
      <c r="A157" s="164" t="str">
        <f>IF(C157&lt;&gt;"", IF(ISNUMBER(FIND("EQUITY", UPPER(C157), 1)), _xll.BDP(C157, "TICKER_AND_EXCH_CODE"), C157), "")</f>
        <v/>
      </c>
      <c r="C157" s="590"/>
      <c r="D157" s="571"/>
      <c r="E157" s="780" t="str">
        <f>IF(A157="","",IF(Lang="English",_xll.BDP(A157&amp;" EQUITY","NAME"),IF(Lang="中文",_xll.BDP(A157&amp;" EQUITY","NAME_CHINESE_TRADITIONAL"),_xll.BDP(A157&amp;" EQUITY","NAME_KANJI"))))</f>
        <v/>
      </c>
      <c r="F157" s="781"/>
      <c r="G157" s="782"/>
      <c r="H157" s="780" t="str">
        <f>IF(A157="", "", _xll.BDP(A157 &amp; " EQUITY", "GICS_SUB_INDUSTRY_NAME"))</f>
        <v/>
      </c>
      <c r="I157" s="781"/>
      <c r="J157" s="782"/>
      <c r="K157" s="572" t="str">
        <f>IF($A157="", "", _xll.BDP($A157 &amp; " EQUITY", "CRNCY"))</f>
        <v/>
      </c>
      <c r="L157" s="573"/>
      <c r="M157" s="574" t="str">
        <f>IF(OR($A157="", ISERROR(_xll.BDP($A157 &amp; " EQUITY", "CRNCY_ADJ_MKT_CAP")*1)), "", _xll.BDP($A157 &amp; " EQUITY", "CRNCY_ADJ_MKT_CAP"))</f>
        <v/>
      </c>
      <c r="N157" s="575" t="str">
        <f>IF(OR($A157="", ISERROR(_xll.BDP($A157 &amp; " EQUITY", "CRNCY_ADJ_MKT_CAP", "EQY_FUND_CRNCY", CURRENCY)*1)), "", _xll.BDP($A157 &amp; " EQUITY", "CRNCY_ADJ_MKT_CAP", "EQY_FUND_CRNCY", CURRENCY))</f>
        <v/>
      </c>
      <c r="O157" s="146"/>
      <c r="P157" s="576" t="str">
        <f>IF($A157="","",_xll.BDP($A157 &amp;" EQUITY", "CUST_TRR_RETURN_HOLDING_PER", "CUST_TRR_START_DT", DataH!$F$22, "CUST_TRR_END_DT", DataH!$F$21, "CUST_TRR_CRNCY", CURRENCY)/100)</f>
        <v/>
      </c>
      <c r="Q157" s="577" t="str">
        <f>IF($A157="","",_xll.BDP($A157&amp;" EQUITY","CUST_TRR_RETURN_HOLDING_PER","CUST_TRR_START_DT",DataH!$G$22,"CUST_TRR_END_DT",DataH!$F$21,"CUST_TRR_CRNCY",CURRENCY)/100)</f>
        <v/>
      </c>
      <c r="R157" s="578"/>
      <c r="S157" s="579" t="str">
        <f>IF($A157="","",_xll.BDP($A157&amp;" EQUITY",DataH!$C$23, "BEST_FPERIOD_OVERRIDE", MID(DataH!H$22, 3, 2)&amp;"BC", "EQY_CONSOLIDATED", DataH!$D$18)*DataH!$D$23)</f>
        <v/>
      </c>
      <c r="T157" s="580" t="str">
        <f>IF($A157="","",_xll.BDP($A157&amp;" EQUITY",DataH!$C$23, "BEST_FPERIOD_OVERRIDE", MID(DataH!I$22, 3, 2)&amp;"BC", "EQY_CONSOLIDATED", DataH!$D$18)*DataH!$D$23)</f>
        <v/>
      </c>
      <c r="U157" s="580" t="str">
        <f>IF($A157="","",_xll.BDP($A157&amp;" EQUITY",DataH!$C$23,"BEST_FPERIOD_OVERRIDE",MID(DataH!J$22,3,2)&amp;"BC","EQY_CONSOLIDATED",DataH!$D$18)*DataH!$D$23)</f>
        <v/>
      </c>
      <c r="V157" s="580" t="str">
        <f>IF($A157="","",_xll.BDP($A157&amp;" EQUITY",DataH!$C$23, "BEST_FPERIOD_OVERRIDE", MID(DataH!K$22, 3, 2)&amp;"BC", "EQY_CONSOLIDATED", DataH!$D$18)*DataH!$D$23)</f>
        <v/>
      </c>
      <c r="W157" s="581" t="str">
        <f>IF($A157="","",_xll.BDP($A157&amp;" EQUITY",DataH!$C$23, "BEST_FPERIOD_OVERRIDE", MID(DataH!L$22, 3, 2)&amp;"BC", "EQY_CONSOLIDATED", DataH!$D$18)*DataH!$D$23)</f>
        <v/>
      </c>
      <c r="X157" s="582" t="str">
        <f>IF($A157="","",_xll.BDP($A157&amp;" EQUITY",DataH!$C$23, "BEST_FPERIOD_OVERRIDE", MID(DataH!M$22, 3, 2)&amp;"BC", "EQY_CONSOLIDATED", DataH!$D$18)*DataH!$D$23)</f>
        <v/>
      </c>
      <c r="Y157" s="583" t="str">
        <f>IF($A157="","",_xll.BDP($A156&amp;" EQUITY",DataH!$C$23, "BEST_FPERIOD_OVERRIDE", MID(DataH!N$22, 3, 2)&amp;"BC", "EQY_CONSOLIDATED", DataH!$D$18)*DataH!$D$23)</f>
        <v/>
      </c>
      <c r="AC157" s="5" t="e">
        <f>IF(YEAR(_xll.BToday())-YEAR(_xll.BDP($A157 &amp;" EQUITY", "EQY_FISCAL_YR_END"))&gt;=2, YEAR(_xll.BToday())-1, YEAR(_xll.BToday()))</f>
        <v>#N/A</v>
      </c>
    </row>
    <row r="158" spans="1:29" ht="15" customHeight="1">
      <c r="A158" s="164" t="str">
        <f>IF(C158&lt;&gt;"", IF(ISNUMBER(FIND("EQUITY", UPPER(C158), 1)), _xll.BDP(C158, "TICKER_AND_EXCH_CODE"), C158), "")</f>
        <v/>
      </c>
      <c r="C158" s="589"/>
      <c r="D158" s="568"/>
      <c r="E158" s="763" t="str">
        <f>IF(A158="","",IF(Lang="English",_xll.BDP(A158&amp;" EQUITY","NAME"),IF(Lang="中文",_xll.BDP(A158&amp;" EQUITY","NAME_CHINESE_TRADITIONAL"),_xll.BDP(A158&amp;" EQUITY","NAME_KANJI"))))</f>
        <v/>
      </c>
      <c r="F158" s="764"/>
      <c r="G158" s="765"/>
      <c r="H158" s="763" t="str">
        <f>IF(A158="", "", _xll.BDP(A158 &amp; " EQUITY", "GICS_SUB_INDUSTRY_NAME"))</f>
        <v/>
      </c>
      <c r="I158" s="764"/>
      <c r="J158" s="765"/>
      <c r="K158" s="509" t="str">
        <f>IF($A158="", "", _xll.BDP($A158 &amp; " EQUITY", "CRNCY"))</f>
        <v/>
      </c>
      <c r="L158" s="276"/>
      <c r="M158" s="277" t="str">
        <f>IF(OR($A158="", ISERROR(_xll.BDP($A158 &amp; " EQUITY", "CRNCY_ADJ_MKT_CAP")*1)), "", _xll.BDP($A158 &amp; " EQUITY", "CRNCY_ADJ_MKT_CAP"))</f>
        <v/>
      </c>
      <c r="N158" s="278" t="str">
        <f>IF(OR($A158="", ISERROR(_xll.BDP($A158 &amp; " EQUITY", "CRNCY_ADJ_MKT_CAP", "EQY_FUND_CRNCY", CURRENCY)*1)), "", _xll.BDP($A158 &amp; " EQUITY", "CRNCY_ADJ_MKT_CAP", "EQY_FUND_CRNCY", CURRENCY))</f>
        <v/>
      </c>
      <c r="O158" s="146"/>
      <c r="P158" s="279" t="str">
        <f>IF($A158="","",_xll.BDP($A158 &amp;" EQUITY", "CUST_TRR_RETURN_HOLDING_PER", "CUST_TRR_START_DT", DataH!$F$22, "CUST_TRR_END_DT", DataH!$F$21, "CUST_TRR_CRNCY", CURRENCY)/100)</f>
        <v/>
      </c>
      <c r="Q158" s="102" t="str">
        <f>IF($A158="","",_xll.BDP($A158&amp;" EQUITY","CUST_TRR_RETURN_HOLDING_PER","CUST_TRR_START_DT",DataH!$G$22,"CUST_TRR_END_DT",DataH!$F$21,"CUST_TRR_CRNCY",CURRENCY)/100)</f>
        <v/>
      </c>
      <c r="R158" s="216"/>
      <c r="S158" s="280" t="str">
        <f>IF($A158="","",_xll.BDP($A158&amp;" EQUITY",DataH!$C$23, "BEST_FPERIOD_OVERRIDE", MID(DataH!H$22, 3, 2)&amp;"BC", "EQY_CONSOLIDATED", DataH!$D$18)*DataH!$D$23)</f>
        <v/>
      </c>
      <c r="T158" s="127" t="str">
        <f>IF($A158="","",_xll.BDP($A158&amp;" EQUITY",DataH!$C$23, "BEST_FPERIOD_OVERRIDE", MID(DataH!I$22, 3, 2)&amp;"BC", "EQY_CONSOLIDATED", DataH!$D$18)*DataH!$D$23)</f>
        <v/>
      </c>
      <c r="U158" s="127" t="str">
        <f>IF($A158="","",_xll.BDP($A158&amp;" EQUITY",DataH!$C$23,"BEST_FPERIOD_OVERRIDE",MID(DataH!J$22,3,2)&amp;"BC","EQY_CONSOLIDATED",DataH!$D$18)*DataH!$D$23)</f>
        <v/>
      </c>
      <c r="V158" s="127" t="str">
        <f>IF($A158="","",_xll.BDP($A158&amp;" EQUITY",DataH!$C$23, "BEST_FPERIOD_OVERRIDE", MID(DataH!K$22, 3, 2)&amp;"BC", "EQY_CONSOLIDATED", DataH!$D$18)*DataH!$D$23)</f>
        <v/>
      </c>
      <c r="W158" s="494" t="str">
        <f>IF($A158="","",_xll.BDP($A158&amp;" EQUITY",DataH!$C$23, "BEST_FPERIOD_OVERRIDE", MID(DataH!L$22, 3, 2)&amp;"BC", "EQY_CONSOLIDATED", DataH!$D$18)*DataH!$D$23)</f>
        <v/>
      </c>
      <c r="X158" s="256" t="str">
        <f>IF($A158="","",_xll.BDP($A158&amp;" EQUITY",DataH!$C$23, "BEST_FPERIOD_OVERRIDE", MID(DataH!M$22, 3, 2)&amp;"BC", "EQY_CONSOLIDATED", DataH!$D$18)*DataH!$D$23)</f>
        <v/>
      </c>
      <c r="Y158" s="257" t="str">
        <f>IF($A158="","",_xll.BDP($A157&amp;" EQUITY",DataH!$C$23, "BEST_FPERIOD_OVERRIDE", MID(DataH!N$22, 3, 2)&amp;"BC", "EQY_CONSOLIDATED", DataH!$D$18)*DataH!$D$23)</f>
        <v/>
      </c>
      <c r="AC158" s="5" t="e">
        <f>IF(YEAR(_xll.BToday())-YEAR(_xll.BDP($A158 &amp;" EQUITY", "EQY_FISCAL_YR_END"))&gt;=2, YEAR(_xll.BToday())-1, YEAR(_xll.BToday()))</f>
        <v>#N/A</v>
      </c>
    </row>
    <row r="159" spans="1:29" ht="15" customHeight="1">
      <c r="A159" s="164" t="str">
        <f>IF(C159&lt;&gt;"", IF(ISNUMBER(FIND("EQUITY", UPPER(C159), 1)), _xll.BDP(C159, "TICKER_AND_EXCH_CODE"), C159), "")</f>
        <v/>
      </c>
      <c r="C159" s="590"/>
      <c r="D159" s="571"/>
      <c r="E159" s="780" t="str">
        <f>IF(A159="","",IF(Lang="English",_xll.BDP(A159&amp;" EQUITY","NAME"),IF(Lang="中文",_xll.BDP(A159&amp;" EQUITY","NAME_CHINESE_TRADITIONAL"),_xll.BDP(A159&amp;" EQUITY","NAME_KANJI"))))</f>
        <v/>
      </c>
      <c r="F159" s="781"/>
      <c r="G159" s="782"/>
      <c r="H159" s="780" t="str">
        <f>IF(A159="", "", _xll.BDP(A159 &amp; " EQUITY", "GICS_SUB_INDUSTRY_NAME"))</f>
        <v/>
      </c>
      <c r="I159" s="781"/>
      <c r="J159" s="782"/>
      <c r="K159" s="572" t="str">
        <f>IF($A159="", "", _xll.BDP($A159 &amp; " EQUITY", "CRNCY"))</f>
        <v/>
      </c>
      <c r="L159" s="573"/>
      <c r="M159" s="574" t="str">
        <f>IF(OR($A159="", ISERROR(_xll.BDP($A159 &amp; " EQUITY", "CRNCY_ADJ_MKT_CAP")*1)), "", _xll.BDP($A159 &amp; " EQUITY", "CRNCY_ADJ_MKT_CAP"))</f>
        <v/>
      </c>
      <c r="N159" s="575" t="str">
        <f>IF(OR($A159="", ISERROR(_xll.BDP($A159 &amp; " EQUITY", "CRNCY_ADJ_MKT_CAP", "EQY_FUND_CRNCY", CURRENCY)*1)), "", _xll.BDP($A159 &amp; " EQUITY", "CRNCY_ADJ_MKT_CAP", "EQY_FUND_CRNCY", CURRENCY))</f>
        <v/>
      </c>
      <c r="O159" s="146"/>
      <c r="P159" s="576" t="str">
        <f>IF($A159="","",_xll.BDP($A159 &amp;" EQUITY", "CUST_TRR_RETURN_HOLDING_PER", "CUST_TRR_START_DT", DataH!$F$22, "CUST_TRR_END_DT", DataH!$F$21, "CUST_TRR_CRNCY", CURRENCY)/100)</f>
        <v/>
      </c>
      <c r="Q159" s="577" t="str">
        <f>IF($A159="","",_xll.BDP($A159&amp;" EQUITY","CUST_TRR_RETURN_HOLDING_PER","CUST_TRR_START_DT",DataH!$G$22,"CUST_TRR_END_DT",DataH!$F$21,"CUST_TRR_CRNCY",CURRENCY)/100)</f>
        <v/>
      </c>
      <c r="R159" s="578"/>
      <c r="S159" s="579" t="str">
        <f>IF($A159="","",_xll.BDP($A159&amp;" EQUITY",DataH!$C$23, "BEST_FPERIOD_OVERRIDE", MID(DataH!H$22, 3, 2)&amp;"BC", "EQY_CONSOLIDATED", DataH!$D$18)*DataH!$D$23)</f>
        <v/>
      </c>
      <c r="T159" s="580" t="str">
        <f>IF($A159="","",_xll.BDP($A159&amp;" EQUITY",DataH!$C$23, "BEST_FPERIOD_OVERRIDE", MID(DataH!I$22, 3, 2)&amp;"BC", "EQY_CONSOLIDATED", DataH!$D$18)*DataH!$D$23)</f>
        <v/>
      </c>
      <c r="U159" s="580" t="str">
        <f>IF($A159="","",_xll.BDP($A159&amp;" EQUITY",DataH!$C$23,"BEST_FPERIOD_OVERRIDE",MID(DataH!J$22,3,2)&amp;"BC","EQY_CONSOLIDATED",DataH!$D$18)*DataH!$D$23)</f>
        <v/>
      </c>
      <c r="V159" s="580" t="str">
        <f>IF($A159="","",_xll.BDP($A159&amp;" EQUITY",DataH!$C$23, "BEST_FPERIOD_OVERRIDE", MID(DataH!K$22, 3, 2)&amp;"BC", "EQY_CONSOLIDATED", DataH!$D$18)*DataH!$D$23)</f>
        <v/>
      </c>
      <c r="W159" s="581" t="str">
        <f>IF($A159="","",_xll.BDP($A159&amp;" EQUITY",DataH!$C$23, "BEST_FPERIOD_OVERRIDE", MID(DataH!L$22, 3, 2)&amp;"BC", "EQY_CONSOLIDATED", DataH!$D$18)*DataH!$D$23)</f>
        <v/>
      </c>
      <c r="X159" s="582" t="str">
        <f>IF($A159="","",_xll.BDP($A159&amp;" EQUITY",DataH!$C$23, "BEST_FPERIOD_OVERRIDE", MID(DataH!M$22, 3, 2)&amp;"BC", "EQY_CONSOLIDATED", DataH!$D$18)*DataH!$D$23)</f>
        <v/>
      </c>
      <c r="Y159" s="583" t="str">
        <f>IF($A159="","",_xll.BDP($A158&amp;" EQUITY",DataH!$C$23, "BEST_FPERIOD_OVERRIDE", MID(DataH!N$22, 3, 2)&amp;"BC", "EQY_CONSOLIDATED", DataH!$D$18)*DataH!$D$23)</f>
        <v/>
      </c>
      <c r="AC159" s="5" t="e">
        <f>IF(YEAR(_xll.BToday())-YEAR(_xll.BDP($A159 &amp;" EQUITY", "EQY_FISCAL_YR_END"))&gt;=2, YEAR(_xll.BToday())-1, YEAR(_xll.BToday()))</f>
        <v>#N/A</v>
      </c>
    </row>
    <row r="160" spans="1:29" ht="15" customHeight="1">
      <c r="A160" s="164" t="str">
        <f>IF(C160&lt;&gt;"", IF(ISNUMBER(FIND("EQUITY", UPPER(C160), 1)), _xll.BDP(C160, "TICKER_AND_EXCH_CODE"), C160), "")</f>
        <v/>
      </c>
      <c r="C160" s="589"/>
      <c r="D160" s="568"/>
      <c r="E160" s="763" t="str">
        <f>IF(A160="","",IF(Lang="English",_xll.BDP(A160&amp;" EQUITY","NAME"),IF(Lang="中文",_xll.BDP(A160&amp;" EQUITY","NAME_CHINESE_TRADITIONAL"),_xll.BDP(A160&amp;" EQUITY","NAME_KANJI"))))</f>
        <v/>
      </c>
      <c r="F160" s="764"/>
      <c r="G160" s="765"/>
      <c r="H160" s="763" t="str">
        <f>IF(A160="", "", _xll.BDP(A160 &amp; " EQUITY", "GICS_SUB_INDUSTRY_NAME"))</f>
        <v/>
      </c>
      <c r="I160" s="764"/>
      <c r="J160" s="765"/>
      <c r="K160" s="509" t="str">
        <f>IF($A160="", "", _xll.BDP($A160 &amp; " EQUITY", "CRNCY"))</f>
        <v/>
      </c>
      <c r="L160" s="276"/>
      <c r="M160" s="277" t="str">
        <f>IF(OR($A160="", ISERROR(_xll.BDP($A160 &amp; " EQUITY", "CRNCY_ADJ_MKT_CAP")*1)), "", _xll.BDP($A160 &amp; " EQUITY", "CRNCY_ADJ_MKT_CAP"))</f>
        <v/>
      </c>
      <c r="N160" s="278" t="str">
        <f>IF(OR($A160="", ISERROR(_xll.BDP($A160 &amp; " EQUITY", "CRNCY_ADJ_MKT_CAP", "EQY_FUND_CRNCY", CURRENCY)*1)), "", _xll.BDP($A160 &amp; " EQUITY", "CRNCY_ADJ_MKT_CAP", "EQY_FUND_CRNCY", CURRENCY))</f>
        <v/>
      </c>
      <c r="O160" s="146"/>
      <c r="P160" s="279" t="str">
        <f>IF($A160="","",_xll.BDP($A160 &amp;" EQUITY", "CUST_TRR_RETURN_HOLDING_PER", "CUST_TRR_START_DT", DataH!$F$22, "CUST_TRR_END_DT", DataH!$F$21, "CUST_TRR_CRNCY", CURRENCY)/100)</f>
        <v/>
      </c>
      <c r="Q160" s="102" t="str">
        <f>IF($A160="","",_xll.BDP($A160&amp;" EQUITY","CUST_TRR_RETURN_HOLDING_PER","CUST_TRR_START_DT",DataH!$G$22,"CUST_TRR_END_DT",DataH!$F$21,"CUST_TRR_CRNCY",CURRENCY)/100)</f>
        <v/>
      </c>
      <c r="R160" s="216"/>
      <c r="S160" s="280" t="str">
        <f>IF($A160="","",_xll.BDP($A160&amp;" EQUITY",DataH!$C$23, "BEST_FPERIOD_OVERRIDE", MID(DataH!H$22, 3, 2)&amp;"BC", "EQY_CONSOLIDATED", DataH!$D$18)*DataH!$D$23)</f>
        <v/>
      </c>
      <c r="T160" s="127" t="str">
        <f>IF($A160="","",_xll.BDP($A160&amp;" EQUITY",DataH!$C$23, "BEST_FPERIOD_OVERRIDE", MID(DataH!I$22, 3, 2)&amp;"BC", "EQY_CONSOLIDATED", DataH!$D$18)*DataH!$D$23)</f>
        <v/>
      </c>
      <c r="U160" s="127" t="str">
        <f>IF($A160="","",_xll.BDP($A160&amp;" EQUITY",DataH!$C$23,"BEST_FPERIOD_OVERRIDE",MID(DataH!J$22,3,2)&amp;"BC","EQY_CONSOLIDATED",DataH!$D$18)*DataH!$D$23)</f>
        <v/>
      </c>
      <c r="V160" s="127" t="str">
        <f>IF($A160="","",_xll.BDP($A160&amp;" EQUITY",DataH!$C$23, "BEST_FPERIOD_OVERRIDE", MID(DataH!K$22, 3, 2)&amp;"BC", "EQY_CONSOLIDATED", DataH!$D$18)*DataH!$D$23)</f>
        <v/>
      </c>
      <c r="W160" s="494" t="str">
        <f>IF($A160="","",_xll.BDP($A160&amp;" EQUITY",DataH!$C$23, "BEST_FPERIOD_OVERRIDE", MID(DataH!L$22, 3, 2)&amp;"BC", "EQY_CONSOLIDATED", DataH!$D$18)*DataH!$D$23)</f>
        <v/>
      </c>
      <c r="X160" s="256" t="str">
        <f>IF($A160="","",_xll.BDP($A160&amp;" EQUITY",DataH!$C$23, "BEST_FPERIOD_OVERRIDE", MID(DataH!M$22, 3, 2)&amp;"BC", "EQY_CONSOLIDATED", DataH!$D$18)*DataH!$D$23)</f>
        <v/>
      </c>
      <c r="Y160" s="257" t="str">
        <f>IF($A160="","",_xll.BDP($A159&amp;" EQUITY",DataH!$C$23, "BEST_FPERIOD_OVERRIDE", MID(DataH!N$22, 3, 2)&amp;"BC", "EQY_CONSOLIDATED", DataH!$D$18)*DataH!$D$23)</f>
        <v/>
      </c>
      <c r="AC160" s="5" t="e">
        <f>IF(YEAR(_xll.BToday())-YEAR(_xll.BDP($A160 &amp;" EQUITY", "EQY_FISCAL_YR_END"))&gt;=2, YEAR(_xll.BToday())-1, YEAR(_xll.BToday()))</f>
        <v>#N/A</v>
      </c>
    </row>
    <row r="161" spans="1:29" ht="15" customHeight="1">
      <c r="A161" s="164" t="str">
        <f>IF(C161&lt;&gt;"", IF(ISNUMBER(FIND("EQUITY", UPPER(C161), 1)), _xll.BDP(C161, "TICKER_AND_EXCH_CODE"), C161), "")</f>
        <v/>
      </c>
      <c r="C161" s="590"/>
      <c r="D161" s="571"/>
      <c r="E161" s="780" t="str">
        <f>IF(A161="","",IF(Lang="English",_xll.BDP(A161&amp;" EQUITY","NAME"),IF(Lang="中文",_xll.BDP(A161&amp;" EQUITY","NAME_CHINESE_TRADITIONAL"),_xll.BDP(A161&amp;" EQUITY","NAME_KANJI"))))</f>
        <v/>
      </c>
      <c r="F161" s="781"/>
      <c r="G161" s="782"/>
      <c r="H161" s="780" t="str">
        <f>IF(A161="", "", _xll.BDP(A161 &amp; " EQUITY", "GICS_SUB_INDUSTRY_NAME"))</f>
        <v/>
      </c>
      <c r="I161" s="781"/>
      <c r="J161" s="782"/>
      <c r="K161" s="572" t="str">
        <f>IF($A161="", "", _xll.BDP($A161 &amp; " EQUITY", "CRNCY"))</f>
        <v/>
      </c>
      <c r="L161" s="573"/>
      <c r="M161" s="574" t="str">
        <f>IF(OR($A161="", ISERROR(_xll.BDP($A161 &amp; " EQUITY", "CRNCY_ADJ_MKT_CAP")*1)), "", _xll.BDP($A161 &amp; " EQUITY", "CRNCY_ADJ_MKT_CAP"))</f>
        <v/>
      </c>
      <c r="N161" s="575" t="str">
        <f>IF(OR($A161="", ISERROR(_xll.BDP($A161 &amp; " EQUITY", "CRNCY_ADJ_MKT_CAP", "EQY_FUND_CRNCY", CURRENCY)*1)), "", _xll.BDP($A161 &amp; " EQUITY", "CRNCY_ADJ_MKT_CAP", "EQY_FUND_CRNCY", CURRENCY))</f>
        <v/>
      </c>
      <c r="O161" s="146"/>
      <c r="P161" s="576" t="str">
        <f>IF($A161="","",_xll.BDP($A161 &amp;" EQUITY", "CUST_TRR_RETURN_HOLDING_PER", "CUST_TRR_START_DT", DataH!$F$22, "CUST_TRR_END_DT", DataH!$F$21, "CUST_TRR_CRNCY", CURRENCY)/100)</f>
        <v/>
      </c>
      <c r="Q161" s="577" t="str">
        <f>IF($A161="","",_xll.BDP($A161&amp;" EQUITY","CUST_TRR_RETURN_HOLDING_PER","CUST_TRR_START_DT",DataH!$G$22,"CUST_TRR_END_DT",DataH!$F$21,"CUST_TRR_CRNCY",CURRENCY)/100)</f>
        <v/>
      </c>
      <c r="R161" s="578"/>
      <c r="S161" s="579" t="str">
        <f>IF($A161="","",_xll.BDP($A161&amp;" EQUITY",DataH!$C$23, "BEST_FPERIOD_OVERRIDE", MID(DataH!H$22, 3, 2)&amp;"BC", "EQY_CONSOLIDATED", DataH!$D$18)*DataH!$D$23)</f>
        <v/>
      </c>
      <c r="T161" s="580" t="str">
        <f>IF($A161="","",_xll.BDP($A161&amp;" EQUITY",DataH!$C$23, "BEST_FPERIOD_OVERRIDE", MID(DataH!I$22, 3, 2)&amp;"BC", "EQY_CONSOLIDATED", DataH!$D$18)*DataH!$D$23)</f>
        <v/>
      </c>
      <c r="U161" s="580" t="str">
        <f>IF($A161="","",_xll.BDP($A161&amp;" EQUITY",DataH!$C$23,"BEST_FPERIOD_OVERRIDE",MID(DataH!J$22,3,2)&amp;"BC","EQY_CONSOLIDATED",DataH!$D$18)*DataH!$D$23)</f>
        <v/>
      </c>
      <c r="V161" s="580" t="str">
        <f>IF($A161="","",_xll.BDP($A161&amp;" EQUITY",DataH!$C$23, "BEST_FPERIOD_OVERRIDE", MID(DataH!K$22, 3, 2)&amp;"BC", "EQY_CONSOLIDATED", DataH!$D$18)*DataH!$D$23)</f>
        <v/>
      </c>
      <c r="W161" s="581" t="str">
        <f>IF($A161="","",_xll.BDP($A161&amp;" EQUITY",DataH!$C$23, "BEST_FPERIOD_OVERRIDE", MID(DataH!L$22, 3, 2)&amp;"BC", "EQY_CONSOLIDATED", DataH!$D$18)*DataH!$D$23)</f>
        <v/>
      </c>
      <c r="X161" s="582" t="str">
        <f>IF($A161="","",_xll.BDP($A161&amp;" EQUITY",DataH!$C$23, "BEST_FPERIOD_OVERRIDE", MID(DataH!M$22, 3, 2)&amp;"BC", "EQY_CONSOLIDATED", DataH!$D$18)*DataH!$D$23)</f>
        <v/>
      </c>
      <c r="Y161" s="583" t="str">
        <f>IF($A161="","",_xll.BDP($A160&amp;" EQUITY",DataH!$C$23, "BEST_FPERIOD_OVERRIDE", MID(DataH!N$22, 3, 2)&amp;"BC", "EQY_CONSOLIDATED", DataH!$D$18)*DataH!$D$23)</f>
        <v/>
      </c>
      <c r="AC161" s="5" t="e">
        <f>IF(YEAR(_xll.BToday())-YEAR(_xll.BDP($A161 &amp;" EQUITY", "EQY_FISCAL_YR_END"))&gt;=2, YEAR(_xll.BToday())-1, YEAR(_xll.BToday()))</f>
        <v>#N/A</v>
      </c>
    </row>
    <row r="162" spans="1:29" ht="15" customHeight="1">
      <c r="A162" s="164" t="str">
        <f>IF(C162&lt;&gt;"", IF(ISNUMBER(FIND("EQUITY", UPPER(C162), 1)), _xll.BDP(C162, "TICKER_AND_EXCH_CODE"), C162), "")</f>
        <v/>
      </c>
      <c r="C162" s="589"/>
      <c r="D162" s="568"/>
      <c r="E162" s="763" t="str">
        <f>IF(A162="","",IF(Lang="English",_xll.BDP(A162&amp;" EQUITY","NAME"),IF(Lang="中文",_xll.BDP(A162&amp;" EQUITY","NAME_CHINESE_TRADITIONAL"),_xll.BDP(A162&amp;" EQUITY","NAME_KANJI"))))</f>
        <v/>
      </c>
      <c r="F162" s="764"/>
      <c r="G162" s="765"/>
      <c r="H162" s="763" t="str">
        <f>IF(A162="", "", _xll.BDP(A162 &amp; " EQUITY", "GICS_SUB_INDUSTRY_NAME"))</f>
        <v/>
      </c>
      <c r="I162" s="764"/>
      <c r="J162" s="765"/>
      <c r="K162" s="509" t="str">
        <f>IF($A162="", "", _xll.BDP($A162 &amp; " EQUITY", "CRNCY"))</f>
        <v/>
      </c>
      <c r="L162" s="276"/>
      <c r="M162" s="277" t="str">
        <f>IF(OR($A162="", ISERROR(_xll.BDP($A162 &amp; " EQUITY", "CRNCY_ADJ_MKT_CAP")*1)), "", _xll.BDP($A162 &amp; " EQUITY", "CRNCY_ADJ_MKT_CAP"))</f>
        <v/>
      </c>
      <c r="N162" s="278" t="str">
        <f>IF(OR($A162="", ISERROR(_xll.BDP($A162 &amp; " EQUITY", "CRNCY_ADJ_MKT_CAP", "EQY_FUND_CRNCY", CURRENCY)*1)), "", _xll.BDP($A162 &amp; " EQUITY", "CRNCY_ADJ_MKT_CAP", "EQY_FUND_CRNCY", CURRENCY))</f>
        <v/>
      </c>
      <c r="O162" s="146"/>
      <c r="P162" s="279" t="str">
        <f>IF($A162="","",_xll.BDP($A162 &amp;" EQUITY", "CUST_TRR_RETURN_HOLDING_PER", "CUST_TRR_START_DT", DataH!$F$22, "CUST_TRR_END_DT", DataH!$F$21, "CUST_TRR_CRNCY", CURRENCY)/100)</f>
        <v/>
      </c>
      <c r="Q162" s="102" t="str">
        <f>IF($A162="","",_xll.BDP($A162&amp;" EQUITY","CUST_TRR_RETURN_HOLDING_PER","CUST_TRR_START_DT",DataH!$G$22,"CUST_TRR_END_DT",DataH!$F$21,"CUST_TRR_CRNCY",CURRENCY)/100)</f>
        <v/>
      </c>
      <c r="R162" s="216"/>
      <c r="S162" s="280" t="str">
        <f>IF($A162="","",_xll.BDP($A162&amp;" EQUITY",DataH!$C$23, "BEST_FPERIOD_OVERRIDE", MID(DataH!H$22, 3, 2)&amp;"BC", "EQY_CONSOLIDATED", DataH!$D$18)*DataH!$D$23)</f>
        <v/>
      </c>
      <c r="T162" s="127" t="str">
        <f>IF($A162="","",_xll.BDP($A162&amp;" EQUITY",DataH!$C$23, "BEST_FPERIOD_OVERRIDE", MID(DataH!I$22, 3, 2)&amp;"BC", "EQY_CONSOLIDATED", DataH!$D$18)*DataH!$D$23)</f>
        <v/>
      </c>
      <c r="U162" s="127" t="str">
        <f>IF($A162="","",_xll.BDP($A162&amp;" EQUITY",DataH!$C$23,"BEST_FPERIOD_OVERRIDE",MID(DataH!J$22,3,2)&amp;"BC","EQY_CONSOLIDATED",DataH!$D$18)*DataH!$D$23)</f>
        <v/>
      </c>
      <c r="V162" s="127" t="str">
        <f>IF($A162="","",_xll.BDP($A162&amp;" EQUITY",DataH!$C$23, "BEST_FPERIOD_OVERRIDE", MID(DataH!K$22, 3, 2)&amp;"BC", "EQY_CONSOLIDATED", DataH!$D$18)*DataH!$D$23)</f>
        <v/>
      </c>
      <c r="W162" s="494" t="str">
        <f>IF($A162="","",_xll.BDP($A162&amp;" EQUITY",DataH!$C$23, "BEST_FPERIOD_OVERRIDE", MID(DataH!L$22, 3, 2)&amp;"BC", "EQY_CONSOLIDATED", DataH!$D$18)*DataH!$D$23)</f>
        <v/>
      </c>
      <c r="X162" s="256" t="str">
        <f>IF($A162="","",_xll.BDP($A162&amp;" EQUITY",DataH!$C$23, "BEST_FPERIOD_OVERRIDE", MID(DataH!M$22, 3, 2)&amp;"BC", "EQY_CONSOLIDATED", DataH!$D$18)*DataH!$D$23)</f>
        <v/>
      </c>
      <c r="Y162" s="257" t="str">
        <f>IF($A162="","",_xll.BDP($A161&amp;" EQUITY",DataH!$C$23, "BEST_FPERIOD_OVERRIDE", MID(DataH!N$22, 3, 2)&amp;"BC", "EQY_CONSOLIDATED", DataH!$D$18)*DataH!$D$23)</f>
        <v/>
      </c>
      <c r="AC162" s="5" t="e">
        <f>IF(YEAR(_xll.BToday())-YEAR(_xll.BDP($A162 &amp;" EQUITY", "EQY_FISCAL_YR_END"))&gt;=2, YEAR(_xll.BToday())-1, YEAR(_xll.BToday()))</f>
        <v>#N/A</v>
      </c>
    </row>
    <row r="163" spans="1:29" ht="15" customHeight="1">
      <c r="A163" s="164" t="str">
        <f>IF(C163&lt;&gt;"", IF(ISNUMBER(FIND("EQUITY", UPPER(C163), 1)), _xll.BDP(C163, "TICKER_AND_EXCH_CODE"), C163), "")</f>
        <v/>
      </c>
      <c r="C163" s="590"/>
      <c r="D163" s="571"/>
      <c r="E163" s="780" t="str">
        <f>IF(A163="","",IF(Lang="English",_xll.BDP(A163&amp;" EQUITY","NAME"),IF(Lang="中文",_xll.BDP(A163&amp;" EQUITY","NAME_CHINESE_TRADITIONAL"),_xll.BDP(A163&amp;" EQUITY","NAME_KANJI"))))</f>
        <v/>
      </c>
      <c r="F163" s="781"/>
      <c r="G163" s="782"/>
      <c r="H163" s="780" t="str">
        <f>IF(A163="", "", _xll.BDP(A163 &amp; " EQUITY", "GICS_SUB_INDUSTRY_NAME"))</f>
        <v/>
      </c>
      <c r="I163" s="781"/>
      <c r="J163" s="782"/>
      <c r="K163" s="572" t="str">
        <f>IF($A163="", "", _xll.BDP($A163 &amp; " EQUITY", "CRNCY"))</f>
        <v/>
      </c>
      <c r="L163" s="573"/>
      <c r="M163" s="574" t="str">
        <f>IF(OR($A163="", ISERROR(_xll.BDP($A163 &amp; " EQUITY", "CRNCY_ADJ_MKT_CAP")*1)), "", _xll.BDP($A163 &amp; " EQUITY", "CRNCY_ADJ_MKT_CAP"))</f>
        <v/>
      </c>
      <c r="N163" s="575" t="str">
        <f>IF(OR($A163="", ISERROR(_xll.BDP($A163 &amp; " EQUITY", "CRNCY_ADJ_MKT_CAP", "EQY_FUND_CRNCY", CURRENCY)*1)), "", _xll.BDP($A163 &amp; " EQUITY", "CRNCY_ADJ_MKT_CAP", "EQY_FUND_CRNCY", CURRENCY))</f>
        <v/>
      </c>
      <c r="O163" s="146"/>
      <c r="P163" s="576" t="str">
        <f>IF($A163="","",_xll.BDP($A163 &amp;" EQUITY", "CUST_TRR_RETURN_HOLDING_PER", "CUST_TRR_START_DT", DataH!$F$22, "CUST_TRR_END_DT", DataH!$F$21, "CUST_TRR_CRNCY", CURRENCY)/100)</f>
        <v/>
      </c>
      <c r="Q163" s="577" t="str">
        <f>IF($A163="","",_xll.BDP($A163&amp;" EQUITY","CUST_TRR_RETURN_HOLDING_PER","CUST_TRR_START_DT",DataH!$G$22,"CUST_TRR_END_DT",DataH!$F$21,"CUST_TRR_CRNCY",CURRENCY)/100)</f>
        <v/>
      </c>
      <c r="R163" s="578"/>
      <c r="S163" s="579" t="str">
        <f>IF($A163="","",_xll.BDP($A163&amp;" EQUITY",DataH!$C$23, "BEST_FPERIOD_OVERRIDE", MID(DataH!H$22, 3, 2)&amp;"BC", "EQY_CONSOLIDATED", DataH!$D$18)*DataH!$D$23)</f>
        <v/>
      </c>
      <c r="T163" s="580" t="str">
        <f>IF($A163="","",_xll.BDP($A163&amp;" EQUITY",DataH!$C$23, "BEST_FPERIOD_OVERRIDE", MID(DataH!I$22, 3, 2)&amp;"BC", "EQY_CONSOLIDATED", DataH!$D$18)*DataH!$D$23)</f>
        <v/>
      </c>
      <c r="U163" s="580" t="str">
        <f>IF($A163="","",_xll.BDP($A163&amp;" EQUITY",DataH!$C$23,"BEST_FPERIOD_OVERRIDE",MID(DataH!J$22,3,2)&amp;"BC","EQY_CONSOLIDATED",DataH!$D$18)*DataH!$D$23)</f>
        <v/>
      </c>
      <c r="V163" s="580" t="str">
        <f>IF($A163="","",_xll.BDP($A163&amp;" EQUITY",DataH!$C$23, "BEST_FPERIOD_OVERRIDE", MID(DataH!K$22, 3, 2)&amp;"BC", "EQY_CONSOLIDATED", DataH!$D$18)*DataH!$D$23)</f>
        <v/>
      </c>
      <c r="W163" s="581" t="str">
        <f>IF($A163="","",_xll.BDP($A163&amp;" EQUITY",DataH!$C$23, "BEST_FPERIOD_OVERRIDE", MID(DataH!L$22, 3, 2)&amp;"BC", "EQY_CONSOLIDATED", DataH!$D$18)*DataH!$D$23)</f>
        <v/>
      </c>
      <c r="X163" s="582" t="str">
        <f>IF($A163="","",_xll.BDP($A163&amp;" EQUITY",DataH!$C$23, "BEST_FPERIOD_OVERRIDE", MID(DataH!M$22, 3, 2)&amp;"BC", "EQY_CONSOLIDATED", DataH!$D$18)*DataH!$D$23)</f>
        <v/>
      </c>
      <c r="Y163" s="583" t="str">
        <f>IF($A163="","",_xll.BDP($A162&amp;" EQUITY",DataH!$C$23, "BEST_FPERIOD_OVERRIDE", MID(DataH!N$22, 3, 2)&amp;"BC", "EQY_CONSOLIDATED", DataH!$D$18)*DataH!$D$23)</f>
        <v/>
      </c>
      <c r="AC163" s="5" t="e">
        <f>IF(YEAR(_xll.BToday())-YEAR(_xll.BDP($A163 &amp;" EQUITY", "EQY_FISCAL_YR_END"))&gt;=2, YEAR(_xll.BToday())-1, YEAR(_xll.BToday()))</f>
        <v>#N/A</v>
      </c>
    </row>
    <row r="164" spans="1:29" ht="15" customHeight="1">
      <c r="A164" s="164" t="str">
        <f>IF(C164&lt;&gt;"", IF(ISNUMBER(FIND("EQUITY", UPPER(C164), 1)), _xll.BDP(C164, "TICKER_AND_EXCH_CODE"), C164), "")</f>
        <v/>
      </c>
      <c r="C164" s="589"/>
      <c r="D164" s="568"/>
      <c r="E164" s="763" t="str">
        <f>IF(A164="","",IF(Lang="English",_xll.BDP(A164&amp;" EQUITY","NAME"),IF(Lang="中文",_xll.BDP(A164&amp;" EQUITY","NAME_CHINESE_TRADITIONAL"),_xll.BDP(A164&amp;" EQUITY","NAME_KANJI"))))</f>
        <v/>
      </c>
      <c r="F164" s="764"/>
      <c r="G164" s="765"/>
      <c r="H164" s="763" t="str">
        <f>IF(A164="", "", _xll.BDP(A164 &amp; " EQUITY", "GICS_SUB_INDUSTRY_NAME"))</f>
        <v/>
      </c>
      <c r="I164" s="764"/>
      <c r="J164" s="765"/>
      <c r="K164" s="509" t="str">
        <f>IF($A164="", "", _xll.BDP($A164 &amp; " EQUITY", "CRNCY"))</f>
        <v/>
      </c>
      <c r="L164" s="276"/>
      <c r="M164" s="277" t="str">
        <f>IF(OR($A164="", ISERROR(_xll.BDP($A164 &amp; " EQUITY", "CRNCY_ADJ_MKT_CAP")*1)), "", _xll.BDP($A164 &amp; " EQUITY", "CRNCY_ADJ_MKT_CAP"))</f>
        <v/>
      </c>
      <c r="N164" s="278" t="str">
        <f>IF(OR($A164="", ISERROR(_xll.BDP($A164 &amp; " EQUITY", "CRNCY_ADJ_MKT_CAP", "EQY_FUND_CRNCY", CURRENCY)*1)), "", _xll.BDP($A164 &amp; " EQUITY", "CRNCY_ADJ_MKT_CAP", "EQY_FUND_CRNCY", CURRENCY))</f>
        <v/>
      </c>
      <c r="O164" s="146"/>
      <c r="P164" s="279" t="str">
        <f>IF($A164="","",_xll.BDP($A164 &amp;" EQUITY", "CUST_TRR_RETURN_HOLDING_PER", "CUST_TRR_START_DT", DataH!$F$22, "CUST_TRR_END_DT", DataH!$F$21, "CUST_TRR_CRNCY", CURRENCY)/100)</f>
        <v/>
      </c>
      <c r="Q164" s="102" t="str">
        <f>IF($A164="","",_xll.BDP($A164&amp;" EQUITY","CUST_TRR_RETURN_HOLDING_PER","CUST_TRR_START_DT",DataH!$G$22,"CUST_TRR_END_DT",DataH!$F$21,"CUST_TRR_CRNCY",CURRENCY)/100)</f>
        <v/>
      </c>
      <c r="R164" s="216"/>
      <c r="S164" s="280" t="str">
        <f>IF($A164="","",_xll.BDP($A164&amp;" EQUITY",DataH!$C$23, "BEST_FPERIOD_OVERRIDE", MID(DataH!H$22, 3, 2)&amp;"BC", "EQY_CONSOLIDATED", DataH!$D$18)*DataH!$D$23)</f>
        <v/>
      </c>
      <c r="T164" s="127" t="str">
        <f>IF($A164="","",_xll.BDP($A164&amp;" EQUITY",DataH!$C$23, "BEST_FPERIOD_OVERRIDE", MID(DataH!I$22, 3, 2)&amp;"BC", "EQY_CONSOLIDATED", DataH!$D$18)*DataH!$D$23)</f>
        <v/>
      </c>
      <c r="U164" s="127" t="str">
        <f>IF($A164="","",_xll.BDP($A164&amp;" EQUITY",DataH!$C$23,"BEST_FPERIOD_OVERRIDE",MID(DataH!J$22,3,2)&amp;"BC","EQY_CONSOLIDATED",DataH!$D$18)*DataH!$D$23)</f>
        <v/>
      </c>
      <c r="V164" s="127" t="str">
        <f>IF($A164="","",_xll.BDP($A164&amp;" EQUITY",DataH!$C$23, "BEST_FPERIOD_OVERRIDE", MID(DataH!K$22, 3, 2)&amp;"BC", "EQY_CONSOLIDATED", DataH!$D$18)*DataH!$D$23)</f>
        <v/>
      </c>
      <c r="W164" s="494" t="str">
        <f>IF($A164="","",_xll.BDP($A164&amp;" EQUITY",DataH!$C$23, "BEST_FPERIOD_OVERRIDE", MID(DataH!L$22, 3, 2)&amp;"BC", "EQY_CONSOLIDATED", DataH!$D$18)*DataH!$D$23)</f>
        <v/>
      </c>
      <c r="X164" s="256" t="str">
        <f>IF($A164="","",_xll.BDP($A164&amp;" EQUITY",DataH!$C$23, "BEST_FPERIOD_OVERRIDE", MID(DataH!M$22, 3, 2)&amp;"BC", "EQY_CONSOLIDATED", DataH!$D$18)*DataH!$D$23)</f>
        <v/>
      </c>
      <c r="Y164" s="257" t="str">
        <f>IF($A164="","",_xll.BDP($A163&amp;" EQUITY",DataH!$C$23, "BEST_FPERIOD_OVERRIDE", MID(DataH!N$22, 3, 2)&amp;"BC", "EQY_CONSOLIDATED", DataH!$D$18)*DataH!$D$23)</f>
        <v/>
      </c>
      <c r="AC164" s="5" t="e">
        <f>IF(YEAR(_xll.BToday())-YEAR(_xll.BDP($A164 &amp;" EQUITY", "EQY_FISCAL_YR_END"))&gt;=2, YEAR(_xll.BToday())-1, YEAR(_xll.BToday()))</f>
        <v>#N/A</v>
      </c>
    </row>
    <row r="165" spans="1:29" ht="15" customHeight="1">
      <c r="A165" s="164" t="str">
        <f>IF(C165&lt;&gt;"", IF(ISNUMBER(FIND("EQUITY", UPPER(C165), 1)), _xll.BDP(C165, "TICKER_AND_EXCH_CODE"), C165), "")</f>
        <v/>
      </c>
      <c r="C165" s="590"/>
      <c r="D165" s="571"/>
      <c r="E165" s="780" t="str">
        <f>IF(A165="","",IF(Lang="English",_xll.BDP(A165&amp;" EQUITY","NAME"),IF(Lang="中文",_xll.BDP(A165&amp;" EQUITY","NAME_CHINESE_TRADITIONAL"),_xll.BDP(A165&amp;" EQUITY","NAME_KANJI"))))</f>
        <v/>
      </c>
      <c r="F165" s="781"/>
      <c r="G165" s="782"/>
      <c r="H165" s="780" t="str">
        <f>IF(A165="", "", _xll.BDP(A165 &amp; " EQUITY", "GICS_SUB_INDUSTRY_NAME"))</f>
        <v/>
      </c>
      <c r="I165" s="781"/>
      <c r="J165" s="782"/>
      <c r="K165" s="572" t="str">
        <f>IF($A165="", "", _xll.BDP($A165 &amp; " EQUITY", "CRNCY"))</f>
        <v/>
      </c>
      <c r="L165" s="573"/>
      <c r="M165" s="574" t="str">
        <f>IF(OR($A165="", ISERROR(_xll.BDP($A165 &amp; " EQUITY", "CRNCY_ADJ_MKT_CAP")*1)), "", _xll.BDP($A165 &amp; " EQUITY", "CRNCY_ADJ_MKT_CAP"))</f>
        <v/>
      </c>
      <c r="N165" s="575" t="str">
        <f>IF(OR($A165="", ISERROR(_xll.BDP($A165 &amp; " EQUITY", "CRNCY_ADJ_MKT_CAP", "EQY_FUND_CRNCY", CURRENCY)*1)), "", _xll.BDP($A165 &amp; " EQUITY", "CRNCY_ADJ_MKT_CAP", "EQY_FUND_CRNCY", CURRENCY))</f>
        <v/>
      </c>
      <c r="O165" s="146"/>
      <c r="P165" s="576" t="str">
        <f>IF($A165="","",_xll.BDP($A165 &amp;" EQUITY", "CUST_TRR_RETURN_HOLDING_PER", "CUST_TRR_START_DT", DataH!$F$22, "CUST_TRR_END_DT", DataH!$F$21, "CUST_TRR_CRNCY", CURRENCY)/100)</f>
        <v/>
      </c>
      <c r="Q165" s="577" t="str">
        <f>IF($A165="","",_xll.BDP($A165&amp;" EQUITY","CUST_TRR_RETURN_HOLDING_PER","CUST_TRR_START_DT",DataH!$G$22,"CUST_TRR_END_DT",DataH!$F$21,"CUST_TRR_CRNCY",CURRENCY)/100)</f>
        <v/>
      </c>
      <c r="R165" s="578"/>
      <c r="S165" s="579" t="str">
        <f>IF($A165="","",_xll.BDP($A165&amp;" EQUITY",DataH!$C$23, "BEST_FPERIOD_OVERRIDE", MID(DataH!H$22, 3, 2)&amp;"BC", "EQY_CONSOLIDATED", DataH!$D$18)*DataH!$D$23)</f>
        <v/>
      </c>
      <c r="T165" s="580" t="str">
        <f>IF($A165="","",_xll.BDP($A165&amp;" EQUITY",DataH!$C$23, "BEST_FPERIOD_OVERRIDE", MID(DataH!I$22, 3, 2)&amp;"BC", "EQY_CONSOLIDATED", DataH!$D$18)*DataH!$D$23)</f>
        <v/>
      </c>
      <c r="U165" s="580" t="str">
        <f>IF($A165="","",_xll.BDP($A165&amp;" EQUITY",DataH!$C$23,"BEST_FPERIOD_OVERRIDE",MID(DataH!J$22,3,2)&amp;"BC","EQY_CONSOLIDATED",DataH!$D$18)*DataH!$D$23)</f>
        <v/>
      </c>
      <c r="V165" s="580" t="str">
        <f>IF($A165="","",_xll.BDP($A165&amp;" EQUITY",DataH!$C$23, "BEST_FPERIOD_OVERRIDE", MID(DataH!K$22, 3, 2)&amp;"BC", "EQY_CONSOLIDATED", DataH!$D$18)*DataH!$D$23)</f>
        <v/>
      </c>
      <c r="W165" s="581" t="str">
        <f>IF($A165="","",_xll.BDP($A165&amp;" EQUITY",DataH!$C$23, "BEST_FPERIOD_OVERRIDE", MID(DataH!L$22, 3, 2)&amp;"BC", "EQY_CONSOLIDATED", DataH!$D$18)*DataH!$D$23)</f>
        <v/>
      </c>
      <c r="X165" s="582" t="str">
        <f>IF($A165="","",_xll.BDP($A165&amp;" EQUITY",DataH!$C$23, "BEST_FPERIOD_OVERRIDE", MID(DataH!M$22, 3, 2)&amp;"BC", "EQY_CONSOLIDATED", DataH!$D$18)*DataH!$D$23)</f>
        <v/>
      </c>
      <c r="Y165" s="583" t="str">
        <f>IF($A165="","",_xll.BDP($A164&amp;" EQUITY",DataH!$C$23, "BEST_FPERIOD_OVERRIDE", MID(DataH!N$22, 3, 2)&amp;"BC", "EQY_CONSOLIDATED", DataH!$D$18)*DataH!$D$23)</f>
        <v/>
      </c>
      <c r="AC165" s="5" t="e">
        <f>IF(YEAR(_xll.BToday())-YEAR(_xll.BDP($A165 &amp;" EQUITY", "EQY_FISCAL_YR_END"))&gt;=2, YEAR(_xll.BToday())-1, YEAR(_xll.BToday()))</f>
        <v>#N/A</v>
      </c>
    </row>
    <row r="166" spans="1:29" ht="15" customHeight="1">
      <c r="A166" s="164" t="str">
        <f>IF(C166&lt;&gt;"", IF(ISNUMBER(FIND("EQUITY", UPPER(C166), 1)), _xll.BDP(C166, "TICKER_AND_EXCH_CODE"), C166), "")</f>
        <v/>
      </c>
      <c r="C166" s="589"/>
      <c r="D166" s="568"/>
      <c r="E166" s="763" t="str">
        <f>IF(A166="","",IF(Lang="English",_xll.BDP(A166&amp;" EQUITY","NAME"),IF(Lang="中文",_xll.BDP(A166&amp;" EQUITY","NAME_CHINESE_TRADITIONAL"),_xll.BDP(A166&amp;" EQUITY","NAME_KANJI"))))</f>
        <v/>
      </c>
      <c r="F166" s="764"/>
      <c r="G166" s="765"/>
      <c r="H166" s="763" t="str">
        <f>IF(A166="", "", _xll.BDP(A166 &amp; " EQUITY", "GICS_SUB_INDUSTRY_NAME"))</f>
        <v/>
      </c>
      <c r="I166" s="764"/>
      <c r="J166" s="765"/>
      <c r="K166" s="509" t="str">
        <f>IF($A166="", "", _xll.BDP($A166 &amp; " EQUITY", "CRNCY"))</f>
        <v/>
      </c>
      <c r="L166" s="276"/>
      <c r="M166" s="277" t="str">
        <f>IF(OR($A166="", ISERROR(_xll.BDP($A166 &amp; " EQUITY", "CRNCY_ADJ_MKT_CAP")*1)), "", _xll.BDP($A166 &amp; " EQUITY", "CRNCY_ADJ_MKT_CAP"))</f>
        <v/>
      </c>
      <c r="N166" s="278" t="str">
        <f>IF(OR($A166="", ISERROR(_xll.BDP($A166 &amp; " EQUITY", "CRNCY_ADJ_MKT_CAP", "EQY_FUND_CRNCY", CURRENCY)*1)), "", _xll.BDP($A166 &amp; " EQUITY", "CRNCY_ADJ_MKT_CAP", "EQY_FUND_CRNCY", CURRENCY))</f>
        <v/>
      </c>
      <c r="O166" s="146"/>
      <c r="P166" s="279" t="str">
        <f>IF($A166="","",_xll.BDP($A166 &amp;" EQUITY", "CUST_TRR_RETURN_HOLDING_PER", "CUST_TRR_START_DT", DataH!$F$22, "CUST_TRR_END_DT", DataH!$F$21, "CUST_TRR_CRNCY", CURRENCY)/100)</f>
        <v/>
      </c>
      <c r="Q166" s="102" t="str">
        <f>IF($A166="","",_xll.BDP($A166&amp;" EQUITY","CUST_TRR_RETURN_HOLDING_PER","CUST_TRR_START_DT",DataH!$G$22,"CUST_TRR_END_DT",DataH!$F$21,"CUST_TRR_CRNCY",CURRENCY)/100)</f>
        <v/>
      </c>
      <c r="R166" s="216"/>
      <c r="S166" s="280" t="str">
        <f>IF($A166="","",_xll.BDP($A166&amp;" EQUITY",DataH!$C$23, "BEST_FPERIOD_OVERRIDE", MID(DataH!H$22, 3, 2)&amp;"BC", "EQY_CONSOLIDATED", DataH!$D$18)*DataH!$D$23)</f>
        <v/>
      </c>
      <c r="T166" s="127" t="str">
        <f>IF($A166="","",_xll.BDP($A166&amp;" EQUITY",DataH!$C$23, "BEST_FPERIOD_OVERRIDE", MID(DataH!I$22, 3, 2)&amp;"BC", "EQY_CONSOLIDATED", DataH!$D$18)*DataH!$D$23)</f>
        <v/>
      </c>
      <c r="U166" s="127" t="str">
        <f>IF($A166="","",_xll.BDP($A166&amp;" EQUITY",DataH!$C$23,"BEST_FPERIOD_OVERRIDE",MID(DataH!J$22,3,2)&amp;"BC","EQY_CONSOLIDATED",DataH!$D$18)*DataH!$D$23)</f>
        <v/>
      </c>
      <c r="V166" s="127" t="str">
        <f>IF($A166="","",_xll.BDP($A166&amp;" EQUITY",DataH!$C$23, "BEST_FPERIOD_OVERRIDE", MID(DataH!K$22, 3, 2)&amp;"BC", "EQY_CONSOLIDATED", DataH!$D$18)*DataH!$D$23)</f>
        <v/>
      </c>
      <c r="W166" s="494" t="str">
        <f>IF($A166="","",_xll.BDP($A166&amp;" EQUITY",DataH!$C$23, "BEST_FPERIOD_OVERRIDE", MID(DataH!L$22, 3, 2)&amp;"BC", "EQY_CONSOLIDATED", DataH!$D$18)*DataH!$D$23)</f>
        <v/>
      </c>
      <c r="X166" s="256" t="str">
        <f>IF($A166="","",_xll.BDP($A166&amp;" EQUITY",DataH!$C$23, "BEST_FPERIOD_OVERRIDE", MID(DataH!M$22, 3, 2)&amp;"BC", "EQY_CONSOLIDATED", DataH!$D$18)*DataH!$D$23)</f>
        <v/>
      </c>
      <c r="Y166" s="257" t="str">
        <f>IF($A166="","",_xll.BDP($A165&amp;" EQUITY",DataH!$C$23, "BEST_FPERIOD_OVERRIDE", MID(DataH!N$22, 3, 2)&amp;"BC", "EQY_CONSOLIDATED", DataH!$D$18)*DataH!$D$23)</f>
        <v/>
      </c>
      <c r="AC166" s="5" t="e">
        <f>IF(YEAR(_xll.BToday())-YEAR(_xll.BDP($A166 &amp;" EQUITY", "EQY_FISCAL_YR_END"))&gt;=2, YEAR(_xll.BToday())-1, YEAR(_xll.BToday()))</f>
        <v>#N/A</v>
      </c>
    </row>
    <row r="167" spans="1:29" ht="15" customHeight="1">
      <c r="A167" s="164" t="str">
        <f>IF(C167&lt;&gt;"", IF(ISNUMBER(FIND("EQUITY", UPPER(C167), 1)), _xll.BDP(C167, "TICKER_AND_EXCH_CODE"), C167), "")</f>
        <v/>
      </c>
      <c r="C167" s="590"/>
      <c r="D167" s="571"/>
      <c r="E167" s="780" t="str">
        <f>IF(A167="","",IF(Lang="English",_xll.BDP(A167&amp;" EQUITY","NAME"),IF(Lang="中文",_xll.BDP(A167&amp;" EQUITY","NAME_CHINESE_TRADITIONAL"),_xll.BDP(A167&amp;" EQUITY","NAME_KANJI"))))</f>
        <v/>
      </c>
      <c r="F167" s="781"/>
      <c r="G167" s="782"/>
      <c r="H167" s="780" t="str">
        <f>IF(A167="", "", _xll.BDP(A167 &amp; " EQUITY", "GICS_SUB_INDUSTRY_NAME"))</f>
        <v/>
      </c>
      <c r="I167" s="781"/>
      <c r="J167" s="782"/>
      <c r="K167" s="572" t="str">
        <f>IF($A167="", "", _xll.BDP($A167 &amp; " EQUITY", "CRNCY"))</f>
        <v/>
      </c>
      <c r="L167" s="573"/>
      <c r="M167" s="574" t="str">
        <f>IF(OR($A167="", ISERROR(_xll.BDP($A167 &amp; " EQUITY", "CRNCY_ADJ_MKT_CAP")*1)), "", _xll.BDP($A167 &amp; " EQUITY", "CRNCY_ADJ_MKT_CAP"))</f>
        <v/>
      </c>
      <c r="N167" s="575" t="str">
        <f>IF(OR($A167="", ISERROR(_xll.BDP($A167 &amp; " EQUITY", "CRNCY_ADJ_MKT_CAP", "EQY_FUND_CRNCY", CURRENCY)*1)), "", _xll.BDP($A167 &amp; " EQUITY", "CRNCY_ADJ_MKT_CAP", "EQY_FUND_CRNCY", CURRENCY))</f>
        <v/>
      </c>
      <c r="O167" s="146"/>
      <c r="P167" s="576" t="str">
        <f>IF($A167="","",_xll.BDP($A167 &amp;" EQUITY", "CUST_TRR_RETURN_HOLDING_PER", "CUST_TRR_START_DT", DataH!$F$22, "CUST_TRR_END_DT", DataH!$F$21, "CUST_TRR_CRNCY", CURRENCY)/100)</f>
        <v/>
      </c>
      <c r="Q167" s="577" t="str">
        <f>IF($A167="","",_xll.BDP($A167&amp;" EQUITY","CUST_TRR_RETURN_HOLDING_PER","CUST_TRR_START_DT",DataH!$G$22,"CUST_TRR_END_DT",DataH!$F$21,"CUST_TRR_CRNCY",CURRENCY)/100)</f>
        <v/>
      </c>
      <c r="R167" s="578"/>
      <c r="S167" s="579" t="str">
        <f>IF($A167="","",_xll.BDP($A167&amp;" EQUITY",DataH!$C$23, "BEST_FPERIOD_OVERRIDE", MID(DataH!H$22, 3, 2)&amp;"BC", "EQY_CONSOLIDATED", DataH!$D$18)*DataH!$D$23)</f>
        <v/>
      </c>
      <c r="T167" s="580" t="str">
        <f>IF($A167="","",_xll.BDP($A167&amp;" EQUITY",DataH!$C$23, "BEST_FPERIOD_OVERRIDE", MID(DataH!I$22, 3, 2)&amp;"BC", "EQY_CONSOLIDATED", DataH!$D$18)*DataH!$D$23)</f>
        <v/>
      </c>
      <c r="U167" s="580" t="str">
        <f>IF($A167="","",_xll.BDP($A167&amp;" EQUITY",DataH!$C$23,"BEST_FPERIOD_OVERRIDE",MID(DataH!J$22,3,2)&amp;"BC","EQY_CONSOLIDATED",DataH!$D$18)*DataH!$D$23)</f>
        <v/>
      </c>
      <c r="V167" s="580" t="str">
        <f>IF($A167="","",_xll.BDP($A167&amp;" EQUITY",DataH!$C$23, "BEST_FPERIOD_OVERRIDE", MID(DataH!K$22, 3, 2)&amp;"BC", "EQY_CONSOLIDATED", DataH!$D$18)*DataH!$D$23)</f>
        <v/>
      </c>
      <c r="W167" s="581" t="str">
        <f>IF($A167="","",_xll.BDP($A167&amp;" EQUITY",DataH!$C$23, "BEST_FPERIOD_OVERRIDE", MID(DataH!L$22, 3, 2)&amp;"BC", "EQY_CONSOLIDATED", DataH!$D$18)*DataH!$D$23)</f>
        <v/>
      </c>
      <c r="X167" s="582" t="str">
        <f>IF($A167="","",_xll.BDP($A167&amp;" EQUITY",DataH!$C$23, "BEST_FPERIOD_OVERRIDE", MID(DataH!M$22, 3, 2)&amp;"BC", "EQY_CONSOLIDATED", DataH!$D$18)*DataH!$D$23)</f>
        <v/>
      </c>
      <c r="Y167" s="583" t="str">
        <f>IF($A167="","",_xll.BDP($A166&amp;" EQUITY",DataH!$C$23, "BEST_FPERIOD_OVERRIDE", MID(DataH!N$22, 3, 2)&amp;"BC", "EQY_CONSOLIDATED", DataH!$D$18)*DataH!$D$23)</f>
        <v/>
      </c>
      <c r="AC167" s="5" t="e">
        <f>IF(YEAR(_xll.BToday())-YEAR(_xll.BDP($A167 &amp;" EQUITY", "EQY_FISCAL_YR_END"))&gt;=2, YEAR(_xll.BToday())-1, YEAR(_xll.BToday()))</f>
        <v>#N/A</v>
      </c>
    </row>
    <row r="168" spans="1:29" ht="15" customHeight="1">
      <c r="A168" s="164" t="str">
        <f>IF(C168&lt;&gt;"", IF(ISNUMBER(FIND("EQUITY", UPPER(C168), 1)), _xll.BDP(C168, "TICKER_AND_EXCH_CODE"), C168), "")</f>
        <v/>
      </c>
      <c r="C168" s="589"/>
      <c r="D168" s="568"/>
      <c r="E168" s="763" t="str">
        <f>IF(A168="","",IF(Lang="English",_xll.BDP(A168&amp;" EQUITY","NAME"),IF(Lang="中文",_xll.BDP(A168&amp;" EQUITY","NAME_CHINESE_TRADITIONAL"),_xll.BDP(A168&amp;" EQUITY","NAME_KANJI"))))</f>
        <v/>
      </c>
      <c r="F168" s="764"/>
      <c r="G168" s="765"/>
      <c r="H168" s="763" t="str">
        <f>IF(A168="", "", _xll.BDP(A168 &amp; " EQUITY", "GICS_SUB_INDUSTRY_NAME"))</f>
        <v/>
      </c>
      <c r="I168" s="764"/>
      <c r="J168" s="765"/>
      <c r="K168" s="509" t="str">
        <f>IF($A168="", "", _xll.BDP($A168 &amp; " EQUITY", "CRNCY"))</f>
        <v/>
      </c>
      <c r="L168" s="276"/>
      <c r="M168" s="277" t="str">
        <f>IF(OR($A168="", ISERROR(_xll.BDP($A168 &amp; " EQUITY", "CRNCY_ADJ_MKT_CAP")*1)), "", _xll.BDP($A168 &amp; " EQUITY", "CRNCY_ADJ_MKT_CAP"))</f>
        <v/>
      </c>
      <c r="N168" s="278" t="str">
        <f>IF(OR($A168="", ISERROR(_xll.BDP($A168 &amp; " EQUITY", "CRNCY_ADJ_MKT_CAP", "EQY_FUND_CRNCY", CURRENCY)*1)), "", _xll.BDP($A168 &amp; " EQUITY", "CRNCY_ADJ_MKT_CAP", "EQY_FUND_CRNCY", CURRENCY))</f>
        <v/>
      </c>
      <c r="O168" s="146"/>
      <c r="P168" s="279" t="str">
        <f>IF($A168="","",_xll.BDP($A168 &amp;" EQUITY", "CUST_TRR_RETURN_HOLDING_PER", "CUST_TRR_START_DT", DataH!$F$22, "CUST_TRR_END_DT", DataH!$F$21, "CUST_TRR_CRNCY", CURRENCY)/100)</f>
        <v/>
      </c>
      <c r="Q168" s="102" t="str">
        <f>IF($A168="","",_xll.BDP($A168&amp;" EQUITY","CUST_TRR_RETURN_HOLDING_PER","CUST_TRR_START_DT",DataH!$G$22,"CUST_TRR_END_DT",DataH!$F$21,"CUST_TRR_CRNCY",CURRENCY)/100)</f>
        <v/>
      </c>
      <c r="R168" s="216"/>
      <c r="S168" s="280" t="str">
        <f>IF($A168="","",_xll.BDP($A168&amp;" EQUITY",DataH!$C$23, "BEST_FPERIOD_OVERRIDE", MID(DataH!H$22, 3, 2)&amp;"BC", "EQY_CONSOLIDATED", DataH!$D$18)*DataH!$D$23)</f>
        <v/>
      </c>
      <c r="T168" s="127" t="str">
        <f>IF($A168="","",_xll.BDP($A168&amp;" EQUITY",DataH!$C$23, "BEST_FPERIOD_OVERRIDE", MID(DataH!I$22, 3, 2)&amp;"BC", "EQY_CONSOLIDATED", DataH!$D$18)*DataH!$D$23)</f>
        <v/>
      </c>
      <c r="U168" s="127" t="str">
        <f>IF($A168="","",_xll.BDP($A168&amp;" EQUITY",DataH!$C$23,"BEST_FPERIOD_OVERRIDE",MID(DataH!J$22,3,2)&amp;"BC","EQY_CONSOLIDATED",DataH!$D$18)*DataH!$D$23)</f>
        <v/>
      </c>
      <c r="V168" s="127" t="str">
        <f>IF($A168="","",_xll.BDP($A168&amp;" EQUITY",DataH!$C$23, "BEST_FPERIOD_OVERRIDE", MID(DataH!K$22, 3, 2)&amp;"BC", "EQY_CONSOLIDATED", DataH!$D$18)*DataH!$D$23)</f>
        <v/>
      </c>
      <c r="W168" s="494" t="str">
        <f>IF($A168="","",_xll.BDP($A168&amp;" EQUITY",DataH!$C$23, "BEST_FPERIOD_OVERRIDE", MID(DataH!L$22, 3, 2)&amp;"BC", "EQY_CONSOLIDATED", DataH!$D$18)*DataH!$D$23)</f>
        <v/>
      </c>
      <c r="X168" s="256" t="str">
        <f>IF($A168="","",_xll.BDP($A168&amp;" EQUITY",DataH!$C$23, "BEST_FPERIOD_OVERRIDE", MID(DataH!M$22, 3, 2)&amp;"BC", "EQY_CONSOLIDATED", DataH!$D$18)*DataH!$D$23)</f>
        <v/>
      </c>
      <c r="Y168" s="257" t="str">
        <f>IF($A168="","",_xll.BDP($A167&amp;" EQUITY",DataH!$C$23, "BEST_FPERIOD_OVERRIDE", MID(DataH!N$22, 3, 2)&amp;"BC", "EQY_CONSOLIDATED", DataH!$D$18)*DataH!$D$23)</f>
        <v/>
      </c>
      <c r="AC168" s="5" t="e">
        <f>IF(YEAR(_xll.BToday())-YEAR(_xll.BDP($A168 &amp;" EQUITY", "EQY_FISCAL_YR_END"))&gt;=2, YEAR(_xll.BToday())-1, YEAR(_xll.BToday()))</f>
        <v>#N/A</v>
      </c>
    </row>
    <row r="169" spans="1:29" ht="15" customHeight="1">
      <c r="A169" s="164" t="str">
        <f>IF(C169&lt;&gt;"", IF(ISNUMBER(FIND("EQUITY", UPPER(C169), 1)), _xll.BDP(C169, "TICKER_AND_EXCH_CODE"), C169), "")</f>
        <v/>
      </c>
      <c r="C169" s="590"/>
      <c r="D169" s="571"/>
      <c r="E169" s="780" t="str">
        <f>IF(A169="","",IF(Lang="English",_xll.BDP(A169&amp;" EQUITY","NAME"),IF(Lang="中文",_xll.BDP(A169&amp;" EQUITY","NAME_CHINESE_TRADITIONAL"),_xll.BDP(A169&amp;" EQUITY","NAME_KANJI"))))</f>
        <v/>
      </c>
      <c r="F169" s="781"/>
      <c r="G169" s="782"/>
      <c r="H169" s="780" t="str">
        <f>IF(A169="", "", _xll.BDP(A169 &amp; " EQUITY", "GICS_SUB_INDUSTRY_NAME"))</f>
        <v/>
      </c>
      <c r="I169" s="781"/>
      <c r="J169" s="782"/>
      <c r="K169" s="572" t="str">
        <f>IF($A169="", "", _xll.BDP($A169 &amp; " EQUITY", "CRNCY"))</f>
        <v/>
      </c>
      <c r="L169" s="573"/>
      <c r="M169" s="574" t="str">
        <f>IF(OR($A169="", ISERROR(_xll.BDP($A169 &amp; " EQUITY", "CRNCY_ADJ_MKT_CAP")*1)), "", _xll.BDP($A169 &amp; " EQUITY", "CRNCY_ADJ_MKT_CAP"))</f>
        <v/>
      </c>
      <c r="N169" s="575" t="str">
        <f>IF(OR($A169="", ISERROR(_xll.BDP($A169 &amp; " EQUITY", "CRNCY_ADJ_MKT_CAP", "EQY_FUND_CRNCY", CURRENCY)*1)), "", _xll.BDP($A169 &amp; " EQUITY", "CRNCY_ADJ_MKT_CAP", "EQY_FUND_CRNCY", CURRENCY))</f>
        <v/>
      </c>
      <c r="O169" s="146"/>
      <c r="P169" s="576" t="str">
        <f>IF($A169="","",_xll.BDP($A169 &amp;" EQUITY", "CUST_TRR_RETURN_HOLDING_PER", "CUST_TRR_START_DT", DataH!$F$22, "CUST_TRR_END_DT", DataH!$F$21, "CUST_TRR_CRNCY", CURRENCY)/100)</f>
        <v/>
      </c>
      <c r="Q169" s="577" t="str">
        <f>IF($A169="","",_xll.BDP($A169&amp;" EQUITY","CUST_TRR_RETURN_HOLDING_PER","CUST_TRR_START_DT",DataH!$G$22,"CUST_TRR_END_DT",DataH!$F$21,"CUST_TRR_CRNCY",CURRENCY)/100)</f>
        <v/>
      </c>
      <c r="R169" s="578"/>
      <c r="S169" s="579" t="str">
        <f>IF($A169="","",_xll.BDP($A169&amp;" EQUITY",DataH!$C$23, "BEST_FPERIOD_OVERRIDE", MID(DataH!H$22, 3, 2)&amp;"BC", "EQY_CONSOLIDATED", DataH!$D$18)*DataH!$D$23)</f>
        <v/>
      </c>
      <c r="T169" s="580" t="str">
        <f>IF($A169="","",_xll.BDP($A169&amp;" EQUITY",DataH!$C$23, "BEST_FPERIOD_OVERRIDE", MID(DataH!I$22, 3, 2)&amp;"BC", "EQY_CONSOLIDATED", DataH!$D$18)*DataH!$D$23)</f>
        <v/>
      </c>
      <c r="U169" s="580" t="str">
        <f>IF($A169="","",_xll.BDP($A169&amp;" EQUITY",DataH!$C$23,"BEST_FPERIOD_OVERRIDE",MID(DataH!J$22,3,2)&amp;"BC","EQY_CONSOLIDATED",DataH!$D$18)*DataH!$D$23)</f>
        <v/>
      </c>
      <c r="V169" s="580" t="str">
        <f>IF($A169="","",_xll.BDP($A169&amp;" EQUITY",DataH!$C$23, "BEST_FPERIOD_OVERRIDE", MID(DataH!K$22, 3, 2)&amp;"BC", "EQY_CONSOLIDATED", DataH!$D$18)*DataH!$D$23)</f>
        <v/>
      </c>
      <c r="W169" s="581" t="str">
        <f>IF($A169="","",_xll.BDP($A169&amp;" EQUITY",DataH!$C$23, "BEST_FPERIOD_OVERRIDE", MID(DataH!L$22, 3, 2)&amp;"BC", "EQY_CONSOLIDATED", DataH!$D$18)*DataH!$D$23)</f>
        <v/>
      </c>
      <c r="X169" s="582" t="str">
        <f>IF($A169="","",_xll.BDP($A169&amp;" EQUITY",DataH!$C$23, "BEST_FPERIOD_OVERRIDE", MID(DataH!M$22, 3, 2)&amp;"BC", "EQY_CONSOLIDATED", DataH!$D$18)*DataH!$D$23)</f>
        <v/>
      </c>
      <c r="Y169" s="583" t="str">
        <f>IF($A169="","",_xll.BDP($A168&amp;" EQUITY",DataH!$C$23, "BEST_FPERIOD_OVERRIDE", MID(DataH!N$22, 3, 2)&amp;"BC", "EQY_CONSOLIDATED", DataH!$D$18)*DataH!$D$23)</f>
        <v/>
      </c>
      <c r="AC169" s="5" t="e">
        <f>IF(YEAR(_xll.BToday())-YEAR(_xll.BDP($A169 &amp;" EQUITY", "EQY_FISCAL_YR_END"))&gt;=2, YEAR(_xll.BToday())-1, YEAR(_xll.BToday()))</f>
        <v>#N/A</v>
      </c>
    </row>
    <row r="170" spans="1:29" ht="15" customHeight="1">
      <c r="A170" s="164" t="str">
        <f>IF(C170&lt;&gt;"", IF(ISNUMBER(FIND("EQUITY", UPPER(C170), 1)), _xll.BDP(C170, "TICKER_AND_EXCH_CODE"), C170), "")</f>
        <v/>
      </c>
      <c r="C170" s="589"/>
      <c r="D170" s="568"/>
      <c r="E170" s="763" t="str">
        <f>IF(A170="","",IF(Lang="English",_xll.BDP(A170&amp;" EQUITY","NAME"),IF(Lang="中文",_xll.BDP(A170&amp;" EQUITY","NAME_CHINESE_TRADITIONAL"),_xll.BDP(A170&amp;" EQUITY","NAME_KANJI"))))</f>
        <v/>
      </c>
      <c r="F170" s="764"/>
      <c r="G170" s="765"/>
      <c r="H170" s="763" t="str">
        <f>IF(A170="", "", _xll.BDP(A170 &amp; " EQUITY", "GICS_SUB_INDUSTRY_NAME"))</f>
        <v/>
      </c>
      <c r="I170" s="764"/>
      <c r="J170" s="765"/>
      <c r="K170" s="509" t="str">
        <f>IF($A170="", "", _xll.BDP($A170 &amp; " EQUITY", "CRNCY"))</f>
        <v/>
      </c>
      <c r="L170" s="276"/>
      <c r="M170" s="277" t="str">
        <f>IF(OR($A170="", ISERROR(_xll.BDP($A170 &amp; " EQUITY", "CRNCY_ADJ_MKT_CAP")*1)), "", _xll.BDP($A170 &amp; " EQUITY", "CRNCY_ADJ_MKT_CAP"))</f>
        <v/>
      </c>
      <c r="N170" s="278" t="str">
        <f>IF(OR($A170="", ISERROR(_xll.BDP($A170 &amp; " EQUITY", "CRNCY_ADJ_MKT_CAP", "EQY_FUND_CRNCY", CURRENCY)*1)), "", _xll.BDP($A170 &amp; " EQUITY", "CRNCY_ADJ_MKT_CAP", "EQY_FUND_CRNCY", CURRENCY))</f>
        <v/>
      </c>
      <c r="O170" s="146"/>
      <c r="P170" s="279" t="str">
        <f>IF($A170="","",_xll.BDP($A170 &amp;" EQUITY", "CUST_TRR_RETURN_HOLDING_PER", "CUST_TRR_START_DT", DataH!$F$22, "CUST_TRR_END_DT", DataH!$F$21, "CUST_TRR_CRNCY", CURRENCY)/100)</f>
        <v/>
      </c>
      <c r="Q170" s="102" t="str">
        <f>IF($A170="","",_xll.BDP($A170&amp;" EQUITY","CUST_TRR_RETURN_HOLDING_PER","CUST_TRR_START_DT",DataH!$G$22,"CUST_TRR_END_DT",DataH!$F$21,"CUST_TRR_CRNCY",CURRENCY)/100)</f>
        <v/>
      </c>
      <c r="R170" s="216"/>
      <c r="S170" s="280" t="str">
        <f>IF($A170="","",_xll.BDP($A170&amp;" EQUITY",DataH!$C$23, "BEST_FPERIOD_OVERRIDE", MID(DataH!H$22, 3, 2)&amp;"BC", "EQY_CONSOLIDATED", DataH!$D$18)*DataH!$D$23)</f>
        <v/>
      </c>
      <c r="T170" s="127" t="str">
        <f>IF($A170="","",_xll.BDP($A170&amp;" EQUITY",DataH!$C$23, "BEST_FPERIOD_OVERRIDE", MID(DataH!I$22, 3, 2)&amp;"BC", "EQY_CONSOLIDATED", DataH!$D$18)*DataH!$D$23)</f>
        <v/>
      </c>
      <c r="U170" s="127" t="str">
        <f>IF($A170="","",_xll.BDP($A170&amp;" EQUITY",DataH!$C$23,"BEST_FPERIOD_OVERRIDE",MID(DataH!J$22,3,2)&amp;"BC","EQY_CONSOLIDATED",DataH!$D$18)*DataH!$D$23)</f>
        <v/>
      </c>
      <c r="V170" s="127" t="str">
        <f>IF($A170="","",_xll.BDP($A170&amp;" EQUITY",DataH!$C$23, "BEST_FPERIOD_OVERRIDE", MID(DataH!K$22, 3, 2)&amp;"BC", "EQY_CONSOLIDATED", DataH!$D$18)*DataH!$D$23)</f>
        <v/>
      </c>
      <c r="W170" s="494" t="str">
        <f>IF($A170="","",_xll.BDP($A170&amp;" EQUITY",DataH!$C$23, "BEST_FPERIOD_OVERRIDE", MID(DataH!L$22, 3, 2)&amp;"BC", "EQY_CONSOLIDATED", DataH!$D$18)*DataH!$D$23)</f>
        <v/>
      </c>
      <c r="X170" s="256" t="str">
        <f>IF($A170="","",_xll.BDP($A170&amp;" EQUITY",DataH!$C$23, "BEST_FPERIOD_OVERRIDE", MID(DataH!M$22, 3, 2)&amp;"BC", "EQY_CONSOLIDATED", DataH!$D$18)*DataH!$D$23)</f>
        <v/>
      </c>
      <c r="Y170" s="257" t="str">
        <f>IF($A170="","",_xll.BDP($A169&amp;" EQUITY",DataH!$C$23, "BEST_FPERIOD_OVERRIDE", MID(DataH!N$22, 3, 2)&amp;"BC", "EQY_CONSOLIDATED", DataH!$D$18)*DataH!$D$23)</f>
        <v/>
      </c>
      <c r="AC170" s="5" t="e">
        <f>IF(YEAR(_xll.BToday())-YEAR(_xll.BDP($A170 &amp;" EQUITY", "EQY_FISCAL_YR_END"))&gt;=2, YEAR(_xll.BToday())-1, YEAR(_xll.BToday()))</f>
        <v>#N/A</v>
      </c>
    </row>
    <row r="171" spans="1:29" ht="15" customHeight="1">
      <c r="A171" s="164" t="str">
        <f>IF(C171&lt;&gt;"", IF(ISNUMBER(FIND("EQUITY", UPPER(C171), 1)), _xll.BDP(C171, "TICKER_AND_EXCH_CODE"), C171), "")</f>
        <v/>
      </c>
      <c r="C171" s="590"/>
      <c r="D171" s="571"/>
      <c r="E171" s="780" t="str">
        <f>IF(A171="","",IF(Lang="English",_xll.BDP(A171&amp;" EQUITY","NAME"),IF(Lang="中文",_xll.BDP(A171&amp;" EQUITY","NAME_CHINESE_TRADITIONAL"),_xll.BDP(A171&amp;" EQUITY","NAME_KANJI"))))</f>
        <v/>
      </c>
      <c r="F171" s="781"/>
      <c r="G171" s="782"/>
      <c r="H171" s="780" t="str">
        <f>IF(A171="", "", _xll.BDP(A171 &amp; " EQUITY", "GICS_SUB_INDUSTRY_NAME"))</f>
        <v/>
      </c>
      <c r="I171" s="781"/>
      <c r="J171" s="782"/>
      <c r="K171" s="572" t="str">
        <f>IF($A171="", "", _xll.BDP($A171 &amp; " EQUITY", "CRNCY"))</f>
        <v/>
      </c>
      <c r="L171" s="573"/>
      <c r="M171" s="574" t="str">
        <f>IF(OR($A171="", ISERROR(_xll.BDP($A171 &amp; " EQUITY", "CRNCY_ADJ_MKT_CAP")*1)), "", _xll.BDP($A171 &amp; " EQUITY", "CRNCY_ADJ_MKT_CAP"))</f>
        <v/>
      </c>
      <c r="N171" s="575" t="str">
        <f>IF(OR($A171="", ISERROR(_xll.BDP($A171 &amp; " EQUITY", "CRNCY_ADJ_MKT_CAP", "EQY_FUND_CRNCY", CURRENCY)*1)), "", _xll.BDP($A171 &amp; " EQUITY", "CRNCY_ADJ_MKT_CAP", "EQY_FUND_CRNCY", CURRENCY))</f>
        <v/>
      </c>
      <c r="O171" s="146"/>
      <c r="P171" s="576" t="str">
        <f>IF($A171="","",_xll.BDP($A171 &amp;" EQUITY", "CUST_TRR_RETURN_HOLDING_PER", "CUST_TRR_START_DT", DataH!$F$22, "CUST_TRR_END_DT", DataH!$F$21, "CUST_TRR_CRNCY", CURRENCY)/100)</f>
        <v/>
      </c>
      <c r="Q171" s="577" t="str">
        <f>IF($A171="","",_xll.BDP($A171&amp;" EQUITY","CUST_TRR_RETURN_HOLDING_PER","CUST_TRR_START_DT",DataH!$G$22,"CUST_TRR_END_DT",DataH!$F$21,"CUST_TRR_CRNCY",CURRENCY)/100)</f>
        <v/>
      </c>
      <c r="R171" s="578"/>
      <c r="S171" s="579" t="str">
        <f>IF($A171="","",_xll.BDP($A171&amp;" EQUITY",DataH!$C$23, "BEST_FPERIOD_OVERRIDE", MID(DataH!H$22, 3, 2)&amp;"BC", "EQY_CONSOLIDATED", DataH!$D$18)*DataH!$D$23)</f>
        <v/>
      </c>
      <c r="T171" s="580" t="str">
        <f>IF($A171="","",_xll.BDP($A171&amp;" EQUITY",DataH!$C$23, "BEST_FPERIOD_OVERRIDE", MID(DataH!I$22, 3, 2)&amp;"BC", "EQY_CONSOLIDATED", DataH!$D$18)*DataH!$D$23)</f>
        <v/>
      </c>
      <c r="U171" s="580" t="str">
        <f>IF($A171="","",_xll.BDP($A171&amp;" EQUITY",DataH!$C$23,"BEST_FPERIOD_OVERRIDE",MID(DataH!J$22,3,2)&amp;"BC","EQY_CONSOLIDATED",DataH!$D$18)*DataH!$D$23)</f>
        <v/>
      </c>
      <c r="V171" s="580" t="str">
        <f>IF($A171="","",_xll.BDP($A171&amp;" EQUITY",DataH!$C$23, "BEST_FPERIOD_OVERRIDE", MID(DataH!K$22, 3, 2)&amp;"BC", "EQY_CONSOLIDATED", DataH!$D$18)*DataH!$D$23)</f>
        <v/>
      </c>
      <c r="W171" s="581" t="str">
        <f>IF($A171="","",_xll.BDP($A171&amp;" EQUITY",DataH!$C$23, "BEST_FPERIOD_OVERRIDE", MID(DataH!L$22, 3, 2)&amp;"BC", "EQY_CONSOLIDATED", DataH!$D$18)*DataH!$D$23)</f>
        <v/>
      </c>
      <c r="X171" s="582" t="str">
        <f>IF($A171="","",_xll.BDP($A171&amp;" EQUITY",DataH!$C$23, "BEST_FPERIOD_OVERRIDE", MID(DataH!M$22, 3, 2)&amp;"BC", "EQY_CONSOLIDATED", DataH!$D$18)*DataH!$D$23)</f>
        <v/>
      </c>
      <c r="Y171" s="583" t="str">
        <f>IF($A171="","",_xll.BDP($A170&amp;" EQUITY",DataH!$C$23, "BEST_FPERIOD_OVERRIDE", MID(DataH!N$22, 3, 2)&amp;"BC", "EQY_CONSOLIDATED", DataH!$D$18)*DataH!$D$23)</f>
        <v/>
      </c>
      <c r="AC171" s="5" t="e">
        <f>IF(YEAR(_xll.BToday())-YEAR(_xll.BDP($A171 &amp;" EQUITY", "EQY_FISCAL_YR_END"))&gt;=2, YEAR(_xll.BToday())-1, YEAR(_xll.BToday()))</f>
        <v>#N/A</v>
      </c>
    </row>
    <row r="172" spans="1:29" ht="15" customHeight="1">
      <c r="A172" s="164" t="str">
        <f>IF(C172&lt;&gt;"", IF(ISNUMBER(FIND("EQUITY", UPPER(C172), 1)), _xll.BDP(C172, "TICKER_AND_EXCH_CODE"), C172), "")</f>
        <v/>
      </c>
      <c r="C172" s="589"/>
      <c r="D172" s="568"/>
      <c r="E172" s="763" t="str">
        <f>IF(A172="","",IF(Lang="English",_xll.BDP(A172&amp;" EQUITY","NAME"),IF(Lang="中文",_xll.BDP(A172&amp;" EQUITY","NAME_CHINESE_TRADITIONAL"),_xll.BDP(A172&amp;" EQUITY","NAME_KANJI"))))</f>
        <v/>
      </c>
      <c r="F172" s="764"/>
      <c r="G172" s="765"/>
      <c r="H172" s="763" t="str">
        <f>IF(A172="", "", _xll.BDP(A172 &amp; " EQUITY", "GICS_SUB_INDUSTRY_NAME"))</f>
        <v/>
      </c>
      <c r="I172" s="764"/>
      <c r="J172" s="765"/>
      <c r="K172" s="509" t="str">
        <f>IF($A172="", "", _xll.BDP($A172 &amp; " EQUITY", "CRNCY"))</f>
        <v/>
      </c>
      <c r="L172" s="276"/>
      <c r="M172" s="277" t="str">
        <f>IF(OR($A172="", ISERROR(_xll.BDP($A172 &amp; " EQUITY", "CRNCY_ADJ_MKT_CAP")*1)), "", _xll.BDP($A172 &amp; " EQUITY", "CRNCY_ADJ_MKT_CAP"))</f>
        <v/>
      </c>
      <c r="N172" s="278" t="str">
        <f>IF(OR($A172="", ISERROR(_xll.BDP($A172 &amp; " EQUITY", "CRNCY_ADJ_MKT_CAP", "EQY_FUND_CRNCY", CURRENCY)*1)), "", _xll.BDP($A172 &amp; " EQUITY", "CRNCY_ADJ_MKT_CAP", "EQY_FUND_CRNCY", CURRENCY))</f>
        <v/>
      </c>
      <c r="O172" s="146"/>
      <c r="P172" s="279" t="str">
        <f>IF($A172="","",_xll.BDP($A172 &amp;" EQUITY", "CUST_TRR_RETURN_HOLDING_PER", "CUST_TRR_START_DT", DataH!$F$22, "CUST_TRR_END_DT", DataH!$F$21, "CUST_TRR_CRNCY", CURRENCY)/100)</f>
        <v/>
      </c>
      <c r="Q172" s="102" t="str">
        <f>IF($A172="","",_xll.BDP($A172&amp;" EQUITY","CUST_TRR_RETURN_HOLDING_PER","CUST_TRR_START_DT",DataH!$G$22,"CUST_TRR_END_DT",DataH!$F$21,"CUST_TRR_CRNCY",CURRENCY)/100)</f>
        <v/>
      </c>
      <c r="R172" s="216"/>
      <c r="S172" s="280" t="str">
        <f>IF($A172="","",_xll.BDP($A172&amp;" EQUITY",DataH!$C$23, "BEST_FPERIOD_OVERRIDE", MID(DataH!H$22, 3, 2)&amp;"BC", "EQY_CONSOLIDATED", DataH!$D$18)*DataH!$D$23)</f>
        <v/>
      </c>
      <c r="T172" s="127" t="str">
        <f>IF($A172="","",_xll.BDP($A172&amp;" EQUITY",DataH!$C$23, "BEST_FPERIOD_OVERRIDE", MID(DataH!I$22, 3, 2)&amp;"BC", "EQY_CONSOLIDATED", DataH!$D$18)*DataH!$D$23)</f>
        <v/>
      </c>
      <c r="U172" s="127" t="str">
        <f>IF($A172="","",_xll.BDP($A172&amp;" EQUITY",DataH!$C$23,"BEST_FPERIOD_OVERRIDE",MID(DataH!J$22,3,2)&amp;"BC","EQY_CONSOLIDATED",DataH!$D$18)*DataH!$D$23)</f>
        <v/>
      </c>
      <c r="V172" s="127" t="str">
        <f>IF($A172="","",_xll.BDP($A172&amp;" EQUITY",DataH!$C$23, "BEST_FPERIOD_OVERRIDE", MID(DataH!K$22, 3, 2)&amp;"BC", "EQY_CONSOLIDATED", DataH!$D$18)*DataH!$D$23)</f>
        <v/>
      </c>
      <c r="W172" s="494" t="str">
        <f>IF($A172="","",_xll.BDP($A172&amp;" EQUITY",DataH!$C$23, "BEST_FPERIOD_OVERRIDE", MID(DataH!L$22, 3, 2)&amp;"BC", "EQY_CONSOLIDATED", DataH!$D$18)*DataH!$D$23)</f>
        <v/>
      </c>
      <c r="X172" s="256" t="str">
        <f>IF($A172="","",_xll.BDP($A172&amp;" EQUITY",DataH!$C$23, "BEST_FPERIOD_OVERRIDE", MID(DataH!M$22, 3, 2)&amp;"BC", "EQY_CONSOLIDATED", DataH!$D$18)*DataH!$D$23)</f>
        <v/>
      </c>
      <c r="Y172" s="257" t="str">
        <f>IF($A172="","",_xll.BDP($A171&amp;" EQUITY",DataH!$C$23, "BEST_FPERIOD_OVERRIDE", MID(DataH!N$22, 3, 2)&amp;"BC", "EQY_CONSOLIDATED", DataH!$D$18)*DataH!$D$23)</f>
        <v/>
      </c>
      <c r="AC172" s="5" t="e">
        <f>IF(YEAR(_xll.BToday())-YEAR(_xll.BDP($A172 &amp;" EQUITY", "EQY_FISCAL_YR_END"))&gt;=2, YEAR(_xll.BToday())-1, YEAR(_xll.BToday()))</f>
        <v>#N/A</v>
      </c>
    </row>
    <row r="173" spans="1:29" ht="15" customHeight="1">
      <c r="A173" s="164" t="str">
        <f>IF(C173&lt;&gt;"", IF(ISNUMBER(FIND("EQUITY", UPPER(C173), 1)), _xll.BDP(C173, "TICKER_AND_EXCH_CODE"), C173), "")</f>
        <v/>
      </c>
      <c r="C173" s="590"/>
      <c r="D173" s="571"/>
      <c r="E173" s="780" t="str">
        <f>IF(A173="","",IF(Lang="English",_xll.BDP(A173&amp;" EQUITY","NAME"),IF(Lang="中文",_xll.BDP(A173&amp;" EQUITY","NAME_CHINESE_TRADITIONAL"),_xll.BDP(A173&amp;" EQUITY","NAME_KANJI"))))</f>
        <v/>
      </c>
      <c r="F173" s="781"/>
      <c r="G173" s="782"/>
      <c r="H173" s="780" t="str">
        <f>IF(A173="", "", _xll.BDP(A173 &amp; " EQUITY", "GICS_SUB_INDUSTRY_NAME"))</f>
        <v/>
      </c>
      <c r="I173" s="781"/>
      <c r="J173" s="782"/>
      <c r="K173" s="572" t="str">
        <f>IF($A173="", "", _xll.BDP($A173 &amp; " EQUITY", "CRNCY"))</f>
        <v/>
      </c>
      <c r="L173" s="573"/>
      <c r="M173" s="574" t="str">
        <f>IF(OR($A173="", ISERROR(_xll.BDP($A173 &amp; " EQUITY", "CRNCY_ADJ_MKT_CAP")*1)), "", _xll.BDP($A173 &amp; " EQUITY", "CRNCY_ADJ_MKT_CAP"))</f>
        <v/>
      </c>
      <c r="N173" s="575" t="str">
        <f>IF(OR($A173="", ISERROR(_xll.BDP($A173 &amp; " EQUITY", "CRNCY_ADJ_MKT_CAP", "EQY_FUND_CRNCY", CURRENCY)*1)), "", _xll.BDP($A173 &amp; " EQUITY", "CRNCY_ADJ_MKT_CAP", "EQY_FUND_CRNCY", CURRENCY))</f>
        <v/>
      </c>
      <c r="O173" s="146"/>
      <c r="P173" s="576" t="str">
        <f>IF($A173="","",_xll.BDP($A173 &amp;" EQUITY", "CUST_TRR_RETURN_HOLDING_PER", "CUST_TRR_START_DT", DataH!$F$22, "CUST_TRR_END_DT", DataH!$F$21, "CUST_TRR_CRNCY", CURRENCY)/100)</f>
        <v/>
      </c>
      <c r="Q173" s="577" t="str">
        <f>IF($A173="","",_xll.BDP($A173&amp;" EQUITY","CUST_TRR_RETURN_HOLDING_PER","CUST_TRR_START_DT",DataH!$G$22,"CUST_TRR_END_DT",DataH!$F$21,"CUST_TRR_CRNCY",CURRENCY)/100)</f>
        <v/>
      </c>
      <c r="R173" s="578"/>
      <c r="S173" s="579" t="str">
        <f>IF($A173="","",_xll.BDP($A173&amp;" EQUITY",DataH!$C$23, "BEST_FPERIOD_OVERRIDE", MID(DataH!H$22, 3, 2)&amp;"BC", "EQY_CONSOLIDATED", DataH!$D$18)*DataH!$D$23)</f>
        <v/>
      </c>
      <c r="T173" s="580" t="str">
        <f>IF($A173="","",_xll.BDP($A173&amp;" EQUITY",DataH!$C$23, "BEST_FPERIOD_OVERRIDE", MID(DataH!I$22, 3, 2)&amp;"BC", "EQY_CONSOLIDATED", DataH!$D$18)*DataH!$D$23)</f>
        <v/>
      </c>
      <c r="U173" s="580" t="str">
        <f>IF($A173="","",_xll.BDP($A173&amp;" EQUITY",DataH!$C$23,"BEST_FPERIOD_OVERRIDE",MID(DataH!J$22,3,2)&amp;"BC","EQY_CONSOLIDATED",DataH!$D$18)*DataH!$D$23)</f>
        <v/>
      </c>
      <c r="V173" s="580" t="str">
        <f>IF($A173="","",_xll.BDP($A173&amp;" EQUITY",DataH!$C$23, "BEST_FPERIOD_OVERRIDE", MID(DataH!K$22, 3, 2)&amp;"BC", "EQY_CONSOLIDATED", DataH!$D$18)*DataH!$D$23)</f>
        <v/>
      </c>
      <c r="W173" s="581" t="str">
        <f>IF($A173="","",_xll.BDP($A173&amp;" EQUITY",DataH!$C$23, "BEST_FPERIOD_OVERRIDE", MID(DataH!L$22, 3, 2)&amp;"BC", "EQY_CONSOLIDATED", DataH!$D$18)*DataH!$D$23)</f>
        <v/>
      </c>
      <c r="X173" s="582" t="str">
        <f>IF($A173="","",_xll.BDP($A173&amp;" EQUITY",DataH!$C$23, "BEST_FPERIOD_OVERRIDE", MID(DataH!M$22, 3, 2)&amp;"BC", "EQY_CONSOLIDATED", DataH!$D$18)*DataH!$D$23)</f>
        <v/>
      </c>
      <c r="Y173" s="583" t="str">
        <f>IF($A173="","",_xll.BDP($A172&amp;" EQUITY",DataH!$C$23, "BEST_FPERIOD_OVERRIDE", MID(DataH!N$22, 3, 2)&amp;"BC", "EQY_CONSOLIDATED", DataH!$D$18)*DataH!$D$23)</f>
        <v/>
      </c>
      <c r="AC173" s="5" t="e">
        <f>IF(YEAR(_xll.BToday())-YEAR(_xll.BDP($A173 &amp;" EQUITY", "EQY_FISCAL_YR_END"))&gt;=2, YEAR(_xll.BToday())-1, YEAR(_xll.BToday()))</f>
        <v>#N/A</v>
      </c>
    </row>
    <row r="174" spans="1:29" ht="15" customHeight="1">
      <c r="A174" s="164" t="str">
        <f>IF(C174&lt;&gt;"", IF(ISNUMBER(FIND("EQUITY", UPPER(C174), 1)), _xll.BDP(C174, "TICKER_AND_EXCH_CODE"), C174), "")</f>
        <v/>
      </c>
      <c r="C174" s="589"/>
      <c r="D174" s="568"/>
      <c r="E174" s="763" t="str">
        <f>IF(A174="","",IF(Lang="English",_xll.BDP(A174&amp;" EQUITY","NAME"),IF(Lang="中文",_xll.BDP(A174&amp;" EQUITY","NAME_CHINESE_TRADITIONAL"),_xll.BDP(A174&amp;" EQUITY","NAME_KANJI"))))</f>
        <v/>
      </c>
      <c r="F174" s="764"/>
      <c r="G174" s="765"/>
      <c r="H174" s="763" t="str">
        <f>IF(A174="", "", _xll.BDP(A174 &amp; " EQUITY", "GICS_SUB_INDUSTRY_NAME"))</f>
        <v/>
      </c>
      <c r="I174" s="764"/>
      <c r="J174" s="765"/>
      <c r="K174" s="509" t="str">
        <f>IF($A174="", "", _xll.BDP($A174 &amp; " EQUITY", "CRNCY"))</f>
        <v/>
      </c>
      <c r="L174" s="276"/>
      <c r="M174" s="277" t="str">
        <f>IF(OR($A174="", ISERROR(_xll.BDP($A174 &amp; " EQUITY", "CRNCY_ADJ_MKT_CAP")*1)), "", _xll.BDP($A174 &amp; " EQUITY", "CRNCY_ADJ_MKT_CAP"))</f>
        <v/>
      </c>
      <c r="N174" s="278" t="str">
        <f>IF(OR($A174="", ISERROR(_xll.BDP($A174 &amp; " EQUITY", "CRNCY_ADJ_MKT_CAP", "EQY_FUND_CRNCY", CURRENCY)*1)), "", _xll.BDP($A174 &amp; " EQUITY", "CRNCY_ADJ_MKT_CAP", "EQY_FUND_CRNCY", CURRENCY))</f>
        <v/>
      </c>
      <c r="O174" s="146"/>
      <c r="P174" s="279" t="str">
        <f>IF($A174="","",_xll.BDP($A174 &amp;" EQUITY", "CUST_TRR_RETURN_HOLDING_PER", "CUST_TRR_START_DT", DataH!$F$22, "CUST_TRR_END_DT", DataH!$F$21, "CUST_TRR_CRNCY", CURRENCY)/100)</f>
        <v/>
      </c>
      <c r="Q174" s="102" t="str">
        <f>IF($A174="","",_xll.BDP($A174&amp;" EQUITY","CUST_TRR_RETURN_HOLDING_PER","CUST_TRR_START_DT",DataH!$G$22,"CUST_TRR_END_DT",DataH!$F$21,"CUST_TRR_CRNCY",CURRENCY)/100)</f>
        <v/>
      </c>
      <c r="R174" s="216"/>
      <c r="S174" s="280" t="str">
        <f>IF($A174="","",_xll.BDP($A174&amp;" EQUITY",DataH!$C$23, "BEST_FPERIOD_OVERRIDE", MID(DataH!H$22, 3, 2)&amp;"BC", "EQY_CONSOLIDATED", DataH!$D$18)*DataH!$D$23)</f>
        <v/>
      </c>
      <c r="T174" s="127" t="str">
        <f>IF($A174="","",_xll.BDP($A174&amp;" EQUITY",DataH!$C$23, "BEST_FPERIOD_OVERRIDE", MID(DataH!I$22, 3, 2)&amp;"BC", "EQY_CONSOLIDATED", DataH!$D$18)*DataH!$D$23)</f>
        <v/>
      </c>
      <c r="U174" s="127" t="str">
        <f>IF($A174="","",_xll.BDP($A174&amp;" EQUITY",DataH!$C$23,"BEST_FPERIOD_OVERRIDE",MID(DataH!J$22,3,2)&amp;"BC","EQY_CONSOLIDATED",DataH!$D$18)*DataH!$D$23)</f>
        <v/>
      </c>
      <c r="V174" s="127" t="str">
        <f>IF($A174="","",_xll.BDP($A174&amp;" EQUITY",DataH!$C$23, "BEST_FPERIOD_OVERRIDE", MID(DataH!K$22, 3, 2)&amp;"BC", "EQY_CONSOLIDATED", DataH!$D$18)*DataH!$D$23)</f>
        <v/>
      </c>
      <c r="W174" s="494" t="str">
        <f>IF($A174="","",_xll.BDP($A174&amp;" EQUITY",DataH!$C$23, "BEST_FPERIOD_OVERRIDE", MID(DataH!L$22, 3, 2)&amp;"BC", "EQY_CONSOLIDATED", DataH!$D$18)*DataH!$D$23)</f>
        <v/>
      </c>
      <c r="X174" s="256" t="str">
        <f>IF($A174="","",_xll.BDP($A174&amp;" EQUITY",DataH!$C$23, "BEST_FPERIOD_OVERRIDE", MID(DataH!M$22, 3, 2)&amp;"BC", "EQY_CONSOLIDATED", DataH!$D$18)*DataH!$D$23)</f>
        <v/>
      </c>
      <c r="Y174" s="257" t="str">
        <f>IF($A174="","",_xll.BDP($A173&amp;" EQUITY",DataH!$C$23, "BEST_FPERIOD_OVERRIDE", MID(DataH!N$22, 3, 2)&amp;"BC", "EQY_CONSOLIDATED", DataH!$D$18)*DataH!$D$23)</f>
        <v/>
      </c>
      <c r="AC174" s="5" t="e">
        <f>IF(YEAR(_xll.BToday())-YEAR(_xll.BDP($A174 &amp;" EQUITY", "EQY_FISCAL_YR_END"))&gt;=2, YEAR(_xll.BToday())-1, YEAR(_xll.BToday()))</f>
        <v>#N/A</v>
      </c>
    </row>
    <row r="175" spans="1:29" ht="15" customHeight="1">
      <c r="A175" s="164" t="str">
        <f>IF(C175&lt;&gt;"", IF(ISNUMBER(FIND("EQUITY", UPPER(C175), 1)), _xll.BDP(C175, "TICKER_AND_EXCH_CODE"), C175), "")</f>
        <v/>
      </c>
      <c r="C175" s="590"/>
      <c r="D175" s="571"/>
      <c r="E175" s="780" t="str">
        <f>IF(A175="","",IF(Lang="English",_xll.BDP(A175&amp;" EQUITY","NAME"),IF(Lang="中文",_xll.BDP(A175&amp;" EQUITY","NAME_CHINESE_TRADITIONAL"),_xll.BDP(A175&amp;" EQUITY","NAME_KANJI"))))</f>
        <v/>
      </c>
      <c r="F175" s="781"/>
      <c r="G175" s="782"/>
      <c r="H175" s="780" t="str">
        <f>IF(A175="", "", _xll.BDP(A175 &amp; " EQUITY", "GICS_SUB_INDUSTRY_NAME"))</f>
        <v/>
      </c>
      <c r="I175" s="781"/>
      <c r="J175" s="782"/>
      <c r="K175" s="572" t="str">
        <f>IF($A175="", "", _xll.BDP($A175 &amp; " EQUITY", "CRNCY"))</f>
        <v/>
      </c>
      <c r="L175" s="573"/>
      <c r="M175" s="574" t="str">
        <f>IF(OR($A175="", ISERROR(_xll.BDP($A175 &amp; " EQUITY", "CRNCY_ADJ_MKT_CAP")*1)), "", _xll.BDP($A175 &amp; " EQUITY", "CRNCY_ADJ_MKT_CAP"))</f>
        <v/>
      </c>
      <c r="N175" s="575" t="str">
        <f>IF(OR($A175="", ISERROR(_xll.BDP($A175 &amp; " EQUITY", "CRNCY_ADJ_MKT_CAP", "EQY_FUND_CRNCY", CURRENCY)*1)), "", _xll.BDP($A175 &amp; " EQUITY", "CRNCY_ADJ_MKT_CAP", "EQY_FUND_CRNCY", CURRENCY))</f>
        <v/>
      </c>
      <c r="O175" s="146"/>
      <c r="P175" s="576" t="str">
        <f>IF($A175="","",_xll.BDP($A175 &amp;" EQUITY", "CUST_TRR_RETURN_HOLDING_PER", "CUST_TRR_START_DT", DataH!$F$22, "CUST_TRR_END_DT", DataH!$F$21, "CUST_TRR_CRNCY", CURRENCY)/100)</f>
        <v/>
      </c>
      <c r="Q175" s="577" t="str">
        <f>IF($A175="","",_xll.BDP($A175&amp;" EQUITY","CUST_TRR_RETURN_HOLDING_PER","CUST_TRR_START_DT",DataH!$G$22,"CUST_TRR_END_DT",DataH!$F$21,"CUST_TRR_CRNCY",CURRENCY)/100)</f>
        <v/>
      </c>
      <c r="R175" s="578"/>
      <c r="S175" s="579" t="str">
        <f>IF($A175="","",_xll.BDP($A175&amp;" EQUITY",DataH!$C$23, "BEST_FPERIOD_OVERRIDE", MID(DataH!H$22, 3, 2)&amp;"BC", "EQY_CONSOLIDATED", DataH!$D$18)*DataH!$D$23)</f>
        <v/>
      </c>
      <c r="T175" s="580" t="str">
        <f>IF($A175="","",_xll.BDP($A175&amp;" EQUITY",DataH!$C$23, "BEST_FPERIOD_OVERRIDE", MID(DataH!I$22, 3, 2)&amp;"BC", "EQY_CONSOLIDATED", DataH!$D$18)*DataH!$D$23)</f>
        <v/>
      </c>
      <c r="U175" s="580" t="str">
        <f>IF($A175="","",_xll.BDP($A175&amp;" EQUITY",DataH!$C$23,"BEST_FPERIOD_OVERRIDE",MID(DataH!J$22,3,2)&amp;"BC","EQY_CONSOLIDATED",DataH!$D$18)*DataH!$D$23)</f>
        <v/>
      </c>
      <c r="V175" s="580" t="str">
        <f>IF($A175="","",_xll.BDP($A175&amp;" EQUITY",DataH!$C$23, "BEST_FPERIOD_OVERRIDE", MID(DataH!K$22, 3, 2)&amp;"BC", "EQY_CONSOLIDATED", DataH!$D$18)*DataH!$D$23)</f>
        <v/>
      </c>
      <c r="W175" s="581" t="str">
        <f>IF($A175="","",_xll.BDP($A175&amp;" EQUITY",DataH!$C$23, "BEST_FPERIOD_OVERRIDE", MID(DataH!L$22, 3, 2)&amp;"BC", "EQY_CONSOLIDATED", DataH!$D$18)*DataH!$D$23)</f>
        <v/>
      </c>
      <c r="X175" s="582" t="str">
        <f>IF($A175="","",_xll.BDP($A175&amp;" EQUITY",DataH!$C$23, "BEST_FPERIOD_OVERRIDE", MID(DataH!M$22, 3, 2)&amp;"BC", "EQY_CONSOLIDATED", DataH!$D$18)*DataH!$D$23)</f>
        <v/>
      </c>
      <c r="Y175" s="583" t="str">
        <f>IF($A175="","",_xll.BDP($A174&amp;" EQUITY",DataH!$C$23, "BEST_FPERIOD_OVERRIDE", MID(DataH!N$22, 3, 2)&amp;"BC", "EQY_CONSOLIDATED", DataH!$D$18)*DataH!$D$23)</f>
        <v/>
      </c>
      <c r="AC175" s="5" t="e">
        <f>IF(YEAR(_xll.BToday())-YEAR(_xll.BDP($A175 &amp;" EQUITY", "EQY_FISCAL_YR_END"))&gt;=2, YEAR(_xll.BToday())-1, YEAR(_xll.BToday()))</f>
        <v>#N/A</v>
      </c>
    </row>
    <row r="176" spans="1:29" ht="15" customHeight="1">
      <c r="A176" s="164" t="str">
        <f>IF(C176&lt;&gt;"", IF(ISNUMBER(FIND("EQUITY", UPPER(C176), 1)), _xll.BDP(C176, "TICKER_AND_EXCH_CODE"), C176), "")</f>
        <v/>
      </c>
      <c r="C176" s="589"/>
      <c r="D176" s="568"/>
      <c r="E176" s="763" t="str">
        <f>IF(A176="","",IF(Lang="English",_xll.BDP(A176&amp;" EQUITY","NAME"),IF(Lang="中文",_xll.BDP(A176&amp;" EQUITY","NAME_CHINESE_TRADITIONAL"),_xll.BDP(A176&amp;" EQUITY","NAME_KANJI"))))</f>
        <v/>
      </c>
      <c r="F176" s="764"/>
      <c r="G176" s="765"/>
      <c r="H176" s="763" t="str">
        <f>IF(A176="", "", _xll.BDP(A176 &amp; " EQUITY", "GICS_SUB_INDUSTRY_NAME"))</f>
        <v/>
      </c>
      <c r="I176" s="764"/>
      <c r="J176" s="765"/>
      <c r="K176" s="509" t="str">
        <f>IF($A176="", "", _xll.BDP($A176 &amp; " EQUITY", "CRNCY"))</f>
        <v/>
      </c>
      <c r="L176" s="276"/>
      <c r="M176" s="277" t="str">
        <f>IF(OR($A176="", ISERROR(_xll.BDP($A176 &amp; " EQUITY", "CRNCY_ADJ_MKT_CAP")*1)), "", _xll.BDP($A176 &amp; " EQUITY", "CRNCY_ADJ_MKT_CAP"))</f>
        <v/>
      </c>
      <c r="N176" s="278" t="str">
        <f>IF(OR($A176="", ISERROR(_xll.BDP($A176 &amp; " EQUITY", "CRNCY_ADJ_MKT_CAP", "EQY_FUND_CRNCY", CURRENCY)*1)), "", _xll.BDP($A176 &amp; " EQUITY", "CRNCY_ADJ_MKT_CAP", "EQY_FUND_CRNCY", CURRENCY))</f>
        <v/>
      </c>
      <c r="O176" s="146"/>
      <c r="P176" s="279" t="str">
        <f>IF($A176="","",_xll.BDP($A176 &amp;" EQUITY", "CUST_TRR_RETURN_HOLDING_PER", "CUST_TRR_START_DT", DataH!$F$22, "CUST_TRR_END_DT", DataH!$F$21, "CUST_TRR_CRNCY", CURRENCY)/100)</f>
        <v/>
      </c>
      <c r="Q176" s="102" t="str">
        <f>IF($A176="","",_xll.BDP($A176&amp;" EQUITY","CUST_TRR_RETURN_HOLDING_PER","CUST_TRR_START_DT",DataH!$G$22,"CUST_TRR_END_DT",DataH!$F$21,"CUST_TRR_CRNCY",CURRENCY)/100)</f>
        <v/>
      </c>
      <c r="R176" s="216"/>
      <c r="S176" s="280" t="str">
        <f>IF($A176="","",_xll.BDP($A176&amp;" EQUITY",DataH!$C$23, "BEST_FPERIOD_OVERRIDE", MID(DataH!H$22, 3, 2)&amp;"BC", "EQY_CONSOLIDATED", DataH!$D$18)*DataH!$D$23)</f>
        <v/>
      </c>
      <c r="T176" s="127" t="str">
        <f>IF($A176="","",_xll.BDP($A176&amp;" EQUITY",DataH!$C$23, "BEST_FPERIOD_OVERRIDE", MID(DataH!I$22, 3, 2)&amp;"BC", "EQY_CONSOLIDATED", DataH!$D$18)*DataH!$D$23)</f>
        <v/>
      </c>
      <c r="U176" s="127" t="str">
        <f>IF($A176="","",_xll.BDP($A176&amp;" EQUITY",DataH!$C$23,"BEST_FPERIOD_OVERRIDE",MID(DataH!J$22,3,2)&amp;"BC","EQY_CONSOLIDATED",DataH!$D$18)*DataH!$D$23)</f>
        <v/>
      </c>
      <c r="V176" s="127" t="str">
        <f>IF($A176="","",_xll.BDP($A176&amp;" EQUITY",DataH!$C$23, "BEST_FPERIOD_OVERRIDE", MID(DataH!K$22, 3, 2)&amp;"BC", "EQY_CONSOLIDATED", DataH!$D$18)*DataH!$D$23)</f>
        <v/>
      </c>
      <c r="W176" s="494" t="str">
        <f>IF($A176="","",_xll.BDP($A176&amp;" EQUITY",DataH!$C$23, "BEST_FPERIOD_OVERRIDE", MID(DataH!L$22, 3, 2)&amp;"BC", "EQY_CONSOLIDATED", DataH!$D$18)*DataH!$D$23)</f>
        <v/>
      </c>
      <c r="X176" s="256" t="str">
        <f>IF($A176="","",_xll.BDP($A176&amp;" EQUITY",DataH!$C$23, "BEST_FPERIOD_OVERRIDE", MID(DataH!M$22, 3, 2)&amp;"BC", "EQY_CONSOLIDATED", DataH!$D$18)*DataH!$D$23)</f>
        <v/>
      </c>
      <c r="Y176" s="257" t="str">
        <f>IF($A176="","",_xll.BDP($A175&amp;" EQUITY",DataH!$C$23, "BEST_FPERIOD_OVERRIDE", MID(DataH!N$22, 3, 2)&amp;"BC", "EQY_CONSOLIDATED", DataH!$D$18)*DataH!$D$23)</f>
        <v/>
      </c>
      <c r="AC176" s="5" t="e">
        <f>IF(YEAR(_xll.BToday())-YEAR(_xll.BDP($A176 &amp;" EQUITY", "EQY_FISCAL_YR_END"))&gt;=2, YEAR(_xll.BToday())-1, YEAR(_xll.BToday()))</f>
        <v>#N/A</v>
      </c>
    </row>
    <row r="177" spans="1:29" ht="15" customHeight="1">
      <c r="A177" s="164" t="str">
        <f>IF(C177&lt;&gt;"", IF(ISNUMBER(FIND("EQUITY", UPPER(C177), 1)), _xll.BDP(C177, "TICKER_AND_EXCH_CODE"), C177), "")</f>
        <v/>
      </c>
      <c r="C177" s="590"/>
      <c r="D177" s="571"/>
      <c r="E177" s="780" t="str">
        <f>IF(A177="","",IF(Lang="English",_xll.BDP(A177&amp;" EQUITY","NAME"),IF(Lang="中文",_xll.BDP(A177&amp;" EQUITY","NAME_CHINESE_TRADITIONAL"),_xll.BDP(A177&amp;" EQUITY","NAME_KANJI"))))</f>
        <v/>
      </c>
      <c r="F177" s="781"/>
      <c r="G177" s="782"/>
      <c r="H177" s="780" t="str">
        <f>IF(A177="", "", _xll.BDP(A177 &amp; " EQUITY", "GICS_SUB_INDUSTRY_NAME"))</f>
        <v/>
      </c>
      <c r="I177" s="781"/>
      <c r="J177" s="782"/>
      <c r="K177" s="572" t="str">
        <f>IF($A177="", "", _xll.BDP($A177 &amp; " EQUITY", "CRNCY"))</f>
        <v/>
      </c>
      <c r="L177" s="573"/>
      <c r="M177" s="574" t="str">
        <f>IF(OR($A177="", ISERROR(_xll.BDP($A177 &amp; " EQUITY", "CRNCY_ADJ_MKT_CAP")*1)), "", _xll.BDP($A177 &amp; " EQUITY", "CRNCY_ADJ_MKT_CAP"))</f>
        <v/>
      </c>
      <c r="N177" s="575" t="str">
        <f>IF(OR($A177="", ISERROR(_xll.BDP($A177 &amp; " EQUITY", "CRNCY_ADJ_MKT_CAP", "EQY_FUND_CRNCY", CURRENCY)*1)), "", _xll.BDP($A177 &amp; " EQUITY", "CRNCY_ADJ_MKT_CAP", "EQY_FUND_CRNCY", CURRENCY))</f>
        <v/>
      </c>
      <c r="O177" s="146"/>
      <c r="P177" s="576" t="str">
        <f>IF($A177="","",_xll.BDP($A177 &amp;" EQUITY", "CUST_TRR_RETURN_HOLDING_PER", "CUST_TRR_START_DT", DataH!$F$22, "CUST_TRR_END_DT", DataH!$F$21, "CUST_TRR_CRNCY", CURRENCY)/100)</f>
        <v/>
      </c>
      <c r="Q177" s="577" t="str">
        <f>IF($A177="","",_xll.BDP($A177&amp;" EQUITY","CUST_TRR_RETURN_HOLDING_PER","CUST_TRR_START_DT",DataH!$G$22,"CUST_TRR_END_DT",DataH!$F$21,"CUST_TRR_CRNCY",CURRENCY)/100)</f>
        <v/>
      </c>
      <c r="R177" s="578"/>
      <c r="S177" s="579" t="str">
        <f>IF($A177="","",_xll.BDP($A177&amp;" EQUITY",DataH!$C$23, "BEST_FPERIOD_OVERRIDE", MID(DataH!H$22, 3, 2)&amp;"BC", "EQY_CONSOLIDATED", DataH!$D$18)*DataH!$D$23)</f>
        <v/>
      </c>
      <c r="T177" s="580" t="str">
        <f>IF($A177="","",_xll.BDP($A177&amp;" EQUITY",DataH!$C$23, "BEST_FPERIOD_OVERRIDE", MID(DataH!I$22, 3, 2)&amp;"BC", "EQY_CONSOLIDATED", DataH!$D$18)*DataH!$D$23)</f>
        <v/>
      </c>
      <c r="U177" s="580" t="str">
        <f>IF($A177="","",_xll.BDP($A177&amp;" EQUITY",DataH!$C$23,"BEST_FPERIOD_OVERRIDE",MID(DataH!J$22,3,2)&amp;"BC","EQY_CONSOLIDATED",DataH!$D$18)*DataH!$D$23)</f>
        <v/>
      </c>
      <c r="V177" s="580" t="str">
        <f>IF($A177="","",_xll.BDP($A177&amp;" EQUITY",DataH!$C$23, "BEST_FPERIOD_OVERRIDE", MID(DataH!K$22, 3, 2)&amp;"BC", "EQY_CONSOLIDATED", DataH!$D$18)*DataH!$D$23)</f>
        <v/>
      </c>
      <c r="W177" s="581" t="str">
        <f>IF($A177="","",_xll.BDP($A177&amp;" EQUITY",DataH!$C$23, "BEST_FPERIOD_OVERRIDE", MID(DataH!L$22, 3, 2)&amp;"BC", "EQY_CONSOLIDATED", DataH!$D$18)*DataH!$D$23)</f>
        <v/>
      </c>
      <c r="X177" s="582" t="str">
        <f>IF($A177="","",_xll.BDP($A177&amp;" EQUITY",DataH!$C$23, "BEST_FPERIOD_OVERRIDE", MID(DataH!M$22, 3, 2)&amp;"BC", "EQY_CONSOLIDATED", DataH!$D$18)*DataH!$D$23)</f>
        <v/>
      </c>
      <c r="Y177" s="583" t="str">
        <f>IF($A177="","",_xll.BDP($A176&amp;" EQUITY",DataH!$C$23, "BEST_FPERIOD_OVERRIDE", MID(DataH!N$22, 3, 2)&amp;"BC", "EQY_CONSOLIDATED", DataH!$D$18)*DataH!$D$23)</f>
        <v/>
      </c>
      <c r="AC177" s="5" t="e">
        <f>IF(YEAR(_xll.BToday())-YEAR(_xll.BDP($A177 &amp;" EQUITY", "EQY_FISCAL_YR_END"))&gt;=2, YEAR(_xll.BToday())-1, YEAR(_xll.BToday()))</f>
        <v>#N/A</v>
      </c>
    </row>
    <row r="178" spans="1:29" ht="15" customHeight="1">
      <c r="A178" s="164" t="str">
        <f>IF(C178&lt;&gt;"", IF(ISNUMBER(FIND("EQUITY", UPPER(C178), 1)), _xll.BDP(C178, "TICKER_AND_EXCH_CODE"), C178), "")</f>
        <v/>
      </c>
      <c r="C178" s="589"/>
      <c r="D178" s="568"/>
      <c r="E178" s="763" t="str">
        <f>IF(A178="","",IF(Lang="English",_xll.BDP(A178&amp;" EQUITY","NAME"),IF(Lang="中文",_xll.BDP(A178&amp;" EQUITY","NAME_CHINESE_TRADITIONAL"),_xll.BDP(A178&amp;" EQUITY","NAME_KANJI"))))</f>
        <v/>
      </c>
      <c r="F178" s="764"/>
      <c r="G178" s="765"/>
      <c r="H178" s="763" t="str">
        <f>IF(A178="", "", _xll.BDP(A178 &amp; " EQUITY", "GICS_SUB_INDUSTRY_NAME"))</f>
        <v/>
      </c>
      <c r="I178" s="764"/>
      <c r="J178" s="765"/>
      <c r="K178" s="509" t="str">
        <f>IF($A178="", "", _xll.BDP($A178 &amp; " EQUITY", "CRNCY"))</f>
        <v/>
      </c>
      <c r="L178" s="276"/>
      <c r="M178" s="277" t="str">
        <f>IF(OR($A178="", ISERROR(_xll.BDP($A178 &amp; " EQUITY", "CRNCY_ADJ_MKT_CAP")*1)), "", _xll.BDP($A178 &amp; " EQUITY", "CRNCY_ADJ_MKT_CAP"))</f>
        <v/>
      </c>
      <c r="N178" s="278" t="str">
        <f>IF(OR($A178="", ISERROR(_xll.BDP($A178 &amp; " EQUITY", "CRNCY_ADJ_MKT_CAP", "EQY_FUND_CRNCY", CURRENCY)*1)), "", _xll.BDP($A178 &amp; " EQUITY", "CRNCY_ADJ_MKT_CAP", "EQY_FUND_CRNCY", CURRENCY))</f>
        <v/>
      </c>
      <c r="O178" s="146"/>
      <c r="P178" s="279" t="str">
        <f>IF($A178="","",_xll.BDP($A178 &amp;" EQUITY", "CUST_TRR_RETURN_HOLDING_PER", "CUST_TRR_START_DT", DataH!$F$22, "CUST_TRR_END_DT", DataH!$F$21, "CUST_TRR_CRNCY", CURRENCY)/100)</f>
        <v/>
      </c>
      <c r="Q178" s="102" t="str">
        <f>IF($A178="","",_xll.BDP($A178&amp;" EQUITY","CUST_TRR_RETURN_HOLDING_PER","CUST_TRR_START_DT",DataH!$G$22,"CUST_TRR_END_DT",DataH!$F$21,"CUST_TRR_CRNCY",CURRENCY)/100)</f>
        <v/>
      </c>
      <c r="R178" s="216"/>
      <c r="S178" s="280" t="str">
        <f>IF($A178="","",_xll.BDP($A178&amp;" EQUITY",DataH!$C$23, "BEST_FPERIOD_OVERRIDE", MID(DataH!H$22, 3, 2)&amp;"BC", "EQY_CONSOLIDATED", DataH!$D$18)*DataH!$D$23)</f>
        <v/>
      </c>
      <c r="T178" s="127" t="str">
        <f>IF($A178="","",_xll.BDP($A178&amp;" EQUITY",DataH!$C$23, "BEST_FPERIOD_OVERRIDE", MID(DataH!I$22, 3, 2)&amp;"BC", "EQY_CONSOLIDATED", DataH!$D$18)*DataH!$D$23)</f>
        <v/>
      </c>
      <c r="U178" s="127" t="str">
        <f>IF($A178="","",_xll.BDP($A178&amp;" EQUITY",DataH!$C$23,"BEST_FPERIOD_OVERRIDE",MID(DataH!J$22,3,2)&amp;"BC","EQY_CONSOLIDATED",DataH!$D$18)*DataH!$D$23)</f>
        <v/>
      </c>
      <c r="V178" s="127" t="str">
        <f>IF($A178="","",_xll.BDP($A178&amp;" EQUITY",DataH!$C$23, "BEST_FPERIOD_OVERRIDE", MID(DataH!K$22, 3, 2)&amp;"BC", "EQY_CONSOLIDATED", DataH!$D$18)*DataH!$D$23)</f>
        <v/>
      </c>
      <c r="W178" s="494" t="str">
        <f>IF($A178="","",_xll.BDP($A178&amp;" EQUITY",DataH!$C$23, "BEST_FPERIOD_OVERRIDE", MID(DataH!L$22, 3, 2)&amp;"BC", "EQY_CONSOLIDATED", DataH!$D$18)*DataH!$D$23)</f>
        <v/>
      </c>
      <c r="X178" s="256" t="str">
        <f>IF($A178="","",_xll.BDP($A178&amp;" EQUITY",DataH!$C$23, "BEST_FPERIOD_OVERRIDE", MID(DataH!M$22, 3, 2)&amp;"BC", "EQY_CONSOLIDATED", DataH!$D$18)*DataH!$D$23)</f>
        <v/>
      </c>
      <c r="Y178" s="257" t="str">
        <f>IF($A178="","",_xll.BDP($A177&amp;" EQUITY",DataH!$C$23, "BEST_FPERIOD_OVERRIDE", MID(DataH!N$22, 3, 2)&amp;"BC", "EQY_CONSOLIDATED", DataH!$D$18)*DataH!$D$23)</f>
        <v/>
      </c>
      <c r="AC178" s="5" t="e">
        <f>IF(YEAR(_xll.BToday())-YEAR(_xll.BDP($A178 &amp;" EQUITY", "EQY_FISCAL_YR_END"))&gt;=2, YEAR(_xll.BToday())-1, YEAR(_xll.BToday()))</f>
        <v>#N/A</v>
      </c>
    </row>
    <row r="179" spans="1:29" ht="15" customHeight="1">
      <c r="A179" s="164" t="str">
        <f>IF(C179&lt;&gt;"", IF(ISNUMBER(FIND("EQUITY", UPPER(C179), 1)), _xll.BDP(C179, "TICKER_AND_EXCH_CODE"), C179), "")</f>
        <v/>
      </c>
      <c r="C179" s="590"/>
      <c r="D179" s="571"/>
      <c r="E179" s="780" t="str">
        <f>IF(A179="","",IF(Lang="English",_xll.BDP(A179&amp;" EQUITY","NAME"),IF(Lang="中文",_xll.BDP(A179&amp;" EQUITY","NAME_CHINESE_TRADITIONAL"),_xll.BDP(A179&amp;" EQUITY","NAME_KANJI"))))</f>
        <v/>
      </c>
      <c r="F179" s="781"/>
      <c r="G179" s="782"/>
      <c r="H179" s="780" t="str">
        <f>IF(A179="", "", _xll.BDP(A179 &amp; " EQUITY", "GICS_SUB_INDUSTRY_NAME"))</f>
        <v/>
      </c>
      <c r="I179" s="781"/>
      <c r="J179" s="782"/>
      <c r="K179" s="572" t="str">
        <f>IF($A179="", "", _xll.BDP($A179 &amp; " EQUITY", "CRNCY"))</f>
        <v/>
      </c>
      <c r="L179" s="573"/>
      <c r="M179" s="574" t="str">
        <f>IF(OR($A179="", ISERROR(_xll.BDP($A179 &amp; " EQUITY", "CRNCY_ADJ_MKT_CAP")*1)), "", _xll.BDP($A179 &amp; " EQUITY", "CRNCY_ADJ_MKT_CAP"))</f>
        <v/>
      </c>
      <c r="N179" s="575" t="str">
        <f>IF(OR($A179="", ISERROR(_xll.BDP($A179 &amp; " EQUITY", "CRNCY_ADJ_MKT_CAP", "EQY_FUND_CRNCY", CURRENCY)*1)), "", _xll.BDP($A179 &amp; " EQUITY", "CRNCY_ADJ_MKT_CAP", "EQY_FUND_CRNCY", CURRENCY))</f>
        <v/>
      </c>
      <c r="O179" s="146"/>
      <c r="P179" s="576" t="str">
        <f>IF($A179="","",_xll.BDP($A179 &amp;" EQUITY", "CUST_TRR_RETURN_HOLDING_PER", "CUST_TRR_START_DT", DataH!$F$22, "CUST_TRR_END_DT", DataH!$F$21, "CUST_TRR_CRNCY", CURRENCY)/100)</f>
        <v/>
      </c>
      <c r="Q179" s="577" t="str">
        <f>IF($A179="","",_xll.BDP($A179&amp;" EQUITY","CUST_TRR_RETURN_HOLDING_PER","CUST_TRR_START_DT",DataH!$G$22,"CUST_TRR_END_DT",DataH!$F$21,"CUST_TRR_CRNCY",CURRENCY)/100)</f>
        <v/>
      </c>
      <c r="R179" s="578"/>
      <c r="S179" s="579" t="str">
        <f>IF($A179="","",_xll.BDP($A179&amp;" EQUITY",DataH!$C$23, "BEST_FPERIOD_OVERRIDE", MID(DataH!H$22, 3, 2)&amp;"BC", "EQY_CONSOLIDATED", DataH!$D$18)*DataH!$D$23)</f>
        <v/>
      </c>
      <c r="T179" s="580" t="str">
        <f>IF($A179="","",_xll.BDP($A179&amp;" EQUITY",DataH!$C$23, "BEST_FPERIOD_OVERRIDE", MID(DataH!I$22, 3, 2)&amp;"BC", "EQY_CONSOLIDATED", DataH!$D$18)*DataH!$D$23)</f>
        <v/>
      </c>
      <c r="U179" s="580" t="str">
        <f>IF($A179="","",_xll.BDP($A179&amp;" EQUITY",DataH!$C$23,"BEST_FPERIOD_OVERRIDE",MID(DataH!J$22,3,2)&amp;"BC","EQY_CONSOLIDATED",DataH!$D$18)*DataH!$D$23)</f>
        <v/>
      </c>
      <c r="V179" s="580" t="str">
        <f>IF($A179="","",_xll.BDP($A179&amp;" EQUITY",DataH!$C$23, "BEST_FPERIOD_OVERRIDE", MID(DataH!K$22, 3, 2)&amp;"BC", "EQY_CONSOLIDATED", DataH!$D$18)*DataH!$D$23)</f>
        <v/>
      </c>
      <c r="W179" s="581" t="str">
        <f>IF($A179="","",_xll.BDP($A179&amp;" EQUITY",DataH!$C$23, "BEST_FPERIOD_OVERRIDE", MID(DataH!L$22, 3, 2)&amp;"BC", "EQY_CONSOLIDATED", DataH!$D$18)*DataH!$D$23)</f>
        <v/>
      </c>
      <c r="X179" s="582" t="str">
        <f>IF($A179="","",_xll.BDP($A179&amp;" EQUITY",DataH!$C$23, "BEST_FPERIOD_OVERRIDE", MID(DataH!M$22, 3, 2)&amp;"BC", "EQY_CONSOLIDATED", DataH!$D$18)*DataH!$D$23)</f>
        <v/>
      </c>
      <c r="Y179" s="583" t="str">
        <f>IF($A179="","",_xll.BDP($A178&amp;" EQUITY",DataH!$C$23, "BEST_FPERIOD_OVERRIDE", MID(DataH!N$22, 3, 2)&amp;"BC", "EQY_CONSOLIDATED", DataH!$D$18)*DataH!$D$23)</f>
        <v/>
      </c>
      <c r="AC179" s="5" t="e">
        <f>IF(YEAR(_xll.BToday())-YEAR(_xll.BDP($A179 &amp;" EQUITY", "EQY_FISCAL_YR_END"))&gt;=2, YEAR(_xll.BToday())-1, YEAR(_xll.BToday()))</f>
        <v>#N/A</v>
      </c>
    </row>
    <row r="180" spans="1:29" ht="15" customHeight="1">
      <c r="A180" s="164" t="str">
        <f>IF(C180&lt;&gt;"", IF(ISNUMBER(FIND("EQUITY", UPPER(C180), 1)), _xll.BDP(C180, "TICKER_AND_EXCH_CODE"), C180), "")</f>
        <v/>
      </c>
      <c r="C180" s="589"/>
      <c r="D180" s="568"/>
      <c r="E180" s="763" t="str">
        <f>IF(A180="","",IF(Lang="English",_xll.BDP(A180&amp;" EQUITY","NAME"),IF(Lang="中文",_xll.BDP(A180&amp;" EQUITY","NAME_CHINESE_TRADITIONAL"),_xll.BDP(A180&amp;" EQUITY","NAME_KANJI"))))</f>
        <v/>
      </c>
      <c r="F180" s="764"/>
      <c r="G180" s="765"/>
      <c r="H180" s="763" t="str">
        <f>IF(A180="", "", _xll.BDP(A180 &amp; " EQUITY", "GICS_SUB_INDUSTRY_NAME"))</f>
        <v/>
      </c>
      <c r="I180" s="764"/>
      <c r="J180" s="765"/>
      <c r="K180" s="509" t="str">
        <f>IF($A180="", "", _xll.BDP($A180 &amp; " EQUITY", "CRNCY"))</f>
        <v/>
      </c>
      <c r="L180" s="276"/>
      <c r="M180" s="277" t="str">
        <f>IF(OR($A180="", ISERROR(_xll.BDP($A180 &amp; " EQUITY", "CRNCY_ADJ_MKT_CAP")*1)), "", _xll.BDP($A180 &amp; " EQUITY", "CRNCY_ADJ_MKT_CAP"))</f>
        <v/>
      </c>
      <c r="N180" s="278" t="str">
        <f>IF(OR($A180="", ISERROR(_xll.BDP($A180 &amp; " EQUITY", "CRNCY_ADJ_MKT_CAP", "EQY_FUND_CRNCY", CURRENCY)*1)), "", _xll.BDP($A180 &amp; " EQUITY", "CRNCY_ADJ_MKT_CAP", "EQY_FUND_CRNCY", CURRENCY))</f>
        <v/>
      </c>
      <c r="O180" s="146"/>
      <c r="P180" s="279" t="str">
        <f>IF($A180="","",_xll.BDP($A180 &amp;" EQUITY", "CUST_TRR_RETURN_HOLDING_PER", "CUST_TRR_START_DT", DataH!$F$22, "CUST_TRR_END_DT", DataH!$F$21, "CUST_TRR_CRNCY", CURRENCY)/100)</f>
        <v/>
      </c>
      <c r="Q180" s="102" t="str">
        <f>IF($A180="","",_xll.BDP($A180&amp;" EQUITY","CUST_TRR_RETURN_HOLDING_PER","CUST_TRR_START_DT",DataH!$G$22,"CUST_TRR_END_DT",DataH!$F$21,"CUST_TRR_CRNCY",CURRENCY)/100)</f>
        <v/>
      </c>
      <c r="R180" s="216"/>
      <c r="S180" s="280" t="str">
        <f>IF($A180="","",_xll.BDP($A180&amp;" EQUITY",DataH!$C$23, "BEST_FPERIOD_OVERRIDE", MID(DataH!H$22, 3, 2)&amp;"BC", "EQY_CONSOLIDATED", DataH!$D$18)*DataH!$D$23)</f>
        <v/>
      </c>
      <c r="T180" s="127" t="str">
        <f>IF($A180="","",_xll.BDP($A180&amp;" EQUITY",DataH!$C$23, "BEST_FPERIOD_OVERRIDE", MID(DataH!I$22, 3, 2)&amp;"BC", "EQY_CONSOLIDATED", DataH!$D$18)*DataH!$D$23)</f>
        <v/>
      </c>
      <c r="U180" s="127" t="str">
        <f>IF($A180="","",_xll.BDP($A180&amp;" EQUITY",DataH!$C$23,"BEST_FPERIOD_OVERRIDE",MID(DataH!J$22,3,2)&amp;"BC","EQY_CONSOLIDATED",DataH!$D$18)*DataH!$D$23)</f>
        <v/>
      </c>
      <c r="V180" s="127" t="str">
        <f>IF($A180="","",_xll.BDP($A180&amp;" EQUITY",DataH!$C$23, "BEST_FPERIOD_OVERRIDE", MID(DataH!K$22, 3, 2)&amp;"BC", "EQY_CONSOLIDATED", DataH!$D$18)*DataH!$D$23)</f>
        <v/>
      </c>
      <c r="W180" s="494" t="str">
        <f>IF($A180="","",_xll.BDP($A180&amp;" EQUITY",DataH!$C$23, "BEST_FPERIOD_OVERRIDE", MID(DataH!L$22, 3, 2)&amp;"BC", "EQY_CONSOLIDATED", DataH!$D$18)*DataH!$D$23)</f>
        <v/>
      </c>
      <c r="X180" s="256" t="str">
        <f>IF($A180="","",_xll.BDP($A180&amp;" EQUITY",DataH!$C$23, "BEST_FPERIOD_OVERRIDE", MID(DataH!M$22, 3, 2)&amp;"BC", "EQY_CONSOLIDATED", DataH!$D$18)*DataH!$D$23)</f>
        <v/>
      </c>
      <c r="Y180" s="257" t="str">
        <f>IF($A180="","",_xll.BDP($A179&amp;" EQUITY",DataH!$C$23, "BEST_FPERIOD_OVERRIDE", MID(DataH!N$22, 3, 2)&amp;"BC", "EQY_CONSOLIDATED", DataH!$D$18)*DataH!$D$23)</f>
        <v/>
      </c>
      <c r="AC180" s="5" t="e">
        <f>IF(YEAR(_xll.BToday())-YEAR(_xll.BDP($A180 &amp;" EQUITY", "EQY_FISCAL_YR_END"))&gt;=2, YEAR(_xll.BToday())-1, YEAR(_xll.BToday()))</f>
        <v>#N/A</v>
      </c>
    </row>
    <row r="181" spans="1:29" ht="15" customHeight="1">
      <c r="A181" s="164" t="str">
        <f>IF(C181&lt;&gt;"", IF(ISNUMBER(FIND("EQUITY", UPPER(C181), 1)), _xll.BDP(C181, "TICKER_AND_EXCH_CODE"), C181), "")</f>
        <v/>
      </c>
      <c r="C181" s="590"/>
      <c r="D181" s="571"/>
      <c r="E181" s="780" t="str">
        <f>IF(A181="","",IF(Lang="English",_xll.BDP(A181&amp;" EQUITY","NAME"),IF(Lang="中文",_xll.BDP(A181&amp;" EQUITY","NAME_CHINESE_TRADITIONAL"),_xll.BDP(A181&amp;" EQUITY","NAME_KANJI"))))</f>
        <v/>
      </c>
      <c r="F181" s="781"/>
      <c r="G181" s="782"/>
      <c r="H181" s="780" t="str">
        <f>IF(A181="", "", _xll.BDP(A181 &amp; " EQUITY", "GICS_SUB_INDUSTRY_NAME"))</f>
        <v/>
      </c>
      <c r="I181" s="781"/>
      <c r="J181" s="782"/>
      <c r="K181" s="572" t="str">
        <f>IF($A181="", "", _xll.BDP($A181 &amp; " EQUITY", "CRNCY"))</f>
        <v/>
      </c>
      <c r="L181" s="573"/>
      <c r="M181" s="574" t="str">
        <f>IF(OR($A181="", ISERROR(_xll.BDP($A181 &amp; " EQUITY", "CRNCY_ADJ_MKT_CAP")*1)), "", _xll.BDP($A181 &amp; " EQUITY", "CRNCY_ADJ_MKT_CAP"))</f>
        <v/>
      </c>
      <c r="N181" s="575" t="str">
        <f>IF(OR($A181="", ISERROR(_xll.BDP($A181 &amp; " EQUITY", "CRNCY_ADJ_MKT_CAP", "EQY_FUND_CRNCY", CURRENCY)*1)), "", _xll.BDP($A181 &amp; " EQUITY", "CRNCY_ADJ_MKT_CAP", "EQY_FUND_CRNCY", CURRENCY))</f>
        <v/>
      </c>
      <c r="O181" s="146"/>
      <c r="P181" s="576" t="str">
        <f>IF($A181="","",_xll.BDP($A181 &amp;" EQUITY", "CUST_TRR_RETURN_HOLDING_PER", "CUST_TRR_START_DT", DataH!$F$22, "CUST_TRR_END_DT", DataH!$F$21, "CUST_TRR_CRNCY", CURRENCY)/100)</f>
        <v/>
      </c>
      <c r="Q181" s="577" t="str">
        <f>IF($A181="","",_xll.BDP($A181&amp;" EQUITY","CUST_TRR_RETURN_HOLDING_PER","CUST_TRR_START_DT",DataH!$G$22,"CUST_TRR_END_DT",DataH!$F$21,"CUST_TRR_CRNCY",CURRENCY)/100)</f>
        <v/>
      </c>
      <c r="R181" s="578"/>
      <c r="S181" s="579" t="str">
        <f>IF($A181="","",_xll.BDP($A181&amp;" EQUITY",DataH!$C$23, "BEST_FPERIOD_OVERRIDE", MID(DataH!H$22, 3, 2)&amp;"BC", "EQY_CONSOLIDATED", DataH!$D$18)*DataH!$D$23)</f>
        <v/>
      </c>
      <c r="T181" s="580" t="str">
        <f>IF($A181="","",_xll.BDP($A181&amp;" EQUITY",DataH!$C$23, "BEST_FPERIOD_OVERRIDE", MID(DataH!I$22, 3, 2)&amp;"BC", "EQY_CONSOLIDATED", DataH!$D$18)*DataH!$D$23)</f>
        <v/>
      </c>
      <c r="U181" s="580" t="str">
        <f>IF($A181="","",_xll.BDP($A181&amp;" EQUITY",DataH!$C$23,"BEST_FPERIOD_OVERRIDE",MID(DataH!J$22,3,2)&amp;"BC","EQY_CONSOLIDATED",DataH!$D$18)*DataH!$D$23)</f>
        <v/>
      </c>
      <c r="V181" s="580" t="str">
        <f>IF($A181="","",_xll.BDP($A181&amp;" EQUITY",DataH!$C$23, "BEST_FPERIOD_OVERRIDE", MID(DataH!K$22, 3, 2)&amp;"BC", "EQY_CONSOLIDATED", DataH!$D$18)*DataH!$D$23)</f>
        <v/>
      </c>
      <c r="W181" s="581" t="str">
        <f>IF($A181="","",_xll.BDP($A181&amp;" EQUITY",DataH!$C$23, "BEST_FPERIOD_OVERRIDE", MID(DataH!L$22, 3, 2)&amp;"BC", "EQY_CONSOLIDATED", DataH!$D$18)*DataH!$D$23)</f>
        <v/>
      </c>
      <c r="X181" s="582" t="str">
        <f>IF($A181="","",_xll.BDP($A181&amp;" EQUITY",DataH!$C$23, "BEST_FPERIOD_OVERRIDE", MID(DataH!M$22, 3, 2)&amp;"BC", "EQY_CONSOLIDATED", DataH!$D$18)*DataH!$D$23)</f>
        <v/>
      </c>
      <c r="Y181" s="583" t="str">
        <f>IF($A181="","",_xll.BDP($A180&amp;" EQUITY",DataH!$C$23, "BEST_FPERIOD_OVERRIDE", MID(DataH!N$22, 3, 2)&amp;"BC", "EQY_CONSOLIDATED", DataH!$D$18)*DataH!$D$23)</f>
        <v/>
      </c>
      <c r="AC181" s="5" t="e">
        <f>IF(YEAR(_xll.BToday())-YEAR(_xll.BDP($A181 &amp;" EQUITY", "EQY_FISCAL_YR_END"))&gt;=2, YEAR(_xll.BToday())-1, YEAR(_xll.BToday()))</f>
        <v>#N/A</v>
      </c>
    </row>
    <row r="182" spans="1:29" ht="15" customHeight="1">
      <c r="A182" s="164" t="str">
        <f>IF(C182&lt;&gt;"", IF(ISNUMBER(FIND("EQUITY", UPPER(C182), 1)), _xll.BDP(C182, "TICKER_AND_EXCH_CODE"), C182), "")</f>
        <v/>
      </c>
      <c r="C182" s="589"/>
      <c r="D182" s="568"/>
      <c r="E182" s="763" t="str">
        <f>IF(A182="","",IF(Lang="English",_xll.BDP(A182&amp;" EQUITY","NAME"),IF(Lang="中文",_xll.BDP(A182&amp;" EQUITY","NAME_CHINESE_TRADITIONAL"),_xll.BDP(A182&amp;" EQUITY","NAME_KANJI"))))</f>
        <v/>
      </c>
      <c r="F182" s="764"/>
      <c r="G182" s="765"/>
      <c r="H182" s="763" t="str">
        <f>IF(A182="", "", _xll.BDP(A182 &amp; " EQUITY", "GICS_SUB_INDUSTRY_NAME"))</f>
        <v/>
      </c>
      <c r="I182" s="764"/>
      <c r="J182" s="765"/>
      <c r="K182" s="509" t="str">
        <f>IF($A182="", "", _xll.BDP($A182 &amp; " EQUITY", "CRNCY"))</f>
        <v/>
      </c>
      <c r="L182" s="276"/>
      <c r="M182" s="277" t="str">
        <f>IF(OR($A182="", ISERROR(_xll.BDP($A182 &amp; " EQUITY", "CRNCY_ADJ_MKT_CAP")*1)), "", _xll.BDP($A182 &amp; " EQUITY", "CRNCY_ADJ_MKT_CAP"))</f>
        <v/>
      </c>
      <c r="N182" s="278" t="str">
        <f>IF(OR($A182="", ISERROR(_xll.BDP($A182 &amp; " EQUITY", "CRNCY_ADJ_MKT_CAP", "EQY_FUND_CRNCY", CURRENCY)*1)), "", _xll.BDP($A182 &amp; " EQUITY", "CRNCY_ADJ_MKT_CAP", "EQY_FUND_CRNCY", CURRENCY))</f>
        <v/>
      </c>
      <c r="O182" s="146"/>
      <c r="P182" s="279" t="str">
        <f>IF($A182="","",_xll.BDP($A182 &amp;" EQUITY", "CUST_TRR_RETURN_HOLDING_PER", "CUST_TRR_START_DT", DataH!$F$22, "CUST_TRR_END_DT", DataH!$F$21, "CUST_TRR_CRNCY", CURRENCY)/100)</f>
        <v/>
      </c>
      <c r="Q182" s="102" t="str">
        <f>IF($A182="","",_xll.BDP($A182&amp;" EQUITY","CUST_TRR_RETURN_HOLDING_PER","CUST_TRR_START_DT",DataH!$G$22,"CUST_TRR_END_DT",DataH!$F$21,"CUST_TRR_CRNCY",CURRENCY)/100)</f>
        <v/>
      </c>
      <c r="R182" s="216"/>
      <c r="S182" s="280" t="str">
        <f>IF($A182="","",_xll.BDP($A182&amp;" EQUITY",DataH!$C$23, "BEST_FPERIOD_OVERRIDE", MID(DataH!H$22, 3, 2)&amp;"BC", "EQY_CONSOLIDATED", DataH!$D$18)*DataH!$D$23)</f>
        <v/>
      </c>
      <c r="T182" s="127" t="str">
        <f>IF($A182="","",_xll.BDP($A182&amp;" EQUITY",DataH!$C$23, "BEST_FPERIOD_OVERRIDE", MID(DataH!I$22, 3, 2)&amp;"BC", "EQY_CONSOLIDATED", DataH!$D$18)*DataH!$D$23)</f>
        <v/>
      </c>
      <c r="U182" s="127" t="str">
        <f>IF($A182="","",_xll.BDP($A182&amp;" EQUITY",DataH!$C$23,"BEST_FPERIOD_OVERRIDE",MID(DataH!J$22,3,2)&amp;"BC","EQY_CONSOLIDATED",DataH!$D$18)*DataH!$D$23)</f>
        <v/>
      </c>
      <c r="V182" s="127" t="str">
        <f>IF($A182="","",_xll.BDP($A182&amp;" EQUITY",DataH!$C$23, "BEST_FPERIOD_OVERRIDE", MID(DataH!K$22, 3, 2)&amp;"BC", "EQY_CONSOLIDATED", DataH!$D$18)*DataH!$D$23)</f>
        <v/>
      </c>
      <c r="W182" s="494" t="str">
        <f>IF($A182="","",_xll.BDP($A182&amp;" EQUITY",DataH!$C$23, "BEST_FPERIOD_OVERRIDE", MID(DataH!L$22, 3, 2)&amp;"BC", "EQY_CONSOLIDATED", DataH!$D$18)*DataH!$D$23)</f>
        <v/>
      </c>
      <c r="X182" s="256" t="str">
        <f>IF($A182="","",_xll.BDP($A182&amp;" EQUITY",DataH!$C$23, "BEST_FPERIOD_OVERRIDE", MID(DataH!M$22, 3, 2)&amp;"BC", "EQY_CONSOLIDATED", DataH!$D$18)*DataH!$D$23)</f>
        <v/>
      </c>
      <c r="Y182" s="257" t="str">
        <f>IF($A182="","",_xll.BDP($A181&amp;" EQUITY",DataH!$C$23, "BEST_FPERIOD_OVERRIDE", MID(DataH!N$22, 3, 2)&amp;"BC", "EQY_CONSOLIDATED", DataH!$D$18)*DataH!$D$23)</f>
        <v/>
      </c>
      <c r="AC182" s="5" t="e">
        <f>IF(YEAR(_xll.BToday())-YEAR(_xll.BDP($A182 &amp;" EQUITY", "EQY_FISCAL_YR_END"))&gt;=2, YEAR(_xll.BToday())-1, YEAR(_xll.BToday()))</f>
        <v>#N/A</v>
      </c>
    </row>
    <row r="183" spans="1:29" ht="15" customHeight="1">
      <c r="A183" s="164" t="str">
        <f>IF(C183&lt;&gt;"", IF(ISNUMBER(FIND("EQUITY", UPPER(C183), 1)), _xll.BDP(C183, "TICKER_AND_EXCH_CODE"), C183), "")</f>
        <v/>
      </c>
      <c r="C183" s="590"/>
      <c r="D183" s="571"/>
      <c r="E183" s="780" t="str">
        <f>IF(A183="","",IF(Lang="English",_xll.BDP(A183&amp;" EQUITY","NAME"),IF(Lang="中文",_xll.BDP(A183&amp;" EQUITY","NAME_CHINESE_TRADITIONAL"),_xll.BDP(A183&amp;" EQUITY","NAME_KANJI"))))</f>
        <v/>
      </c>
      <c r="F183" s="781"/>
      <c r="G183" s="782"/>
      <c r="H183" s="780" t="str">
        <f>IF(A183="", "", _xll.BDP(A183 &amp; " EQUITY", "GICS_SUB_INDUSTRY_NAME"))</f>
        <v/>
      </c>
      <c r="I183" s="781"/>
      <c r="J183" s="782"/>
      <c r="K183" s="572" t="str">
        <f>IF($A183="", "", _xll.BDP($A183 &amp; " EQUITY", "CRNCY"))</f>
        <v/>
      </c>
      <c r="L183" s="573"/>
      <c r="M183" s="574" t="str">
        <f>IF(OR($A183="", ISERROR(_xll.BDP($A183 &amp; " EQUITY", "CRNCY_ADJ_MKT_CAP")*1)), "", _xll.BDP($A183 &amp; " EQUITY", "CRNCY_ADJ_MKT_CAP"))</f>
        <v/>
      </c>
      <c r="N183" s="575" t="str">
        <f>IF(OR($A183="", ISERROR(_xll.BDP($A183 &amp; " EQUITY", "CRNCY_ADJ_MKT_CAP", "EQY_FUND_CRNCY", CURRENCY)*1)), "", _xll.BDP($A183 &amp; " EQUITY", "CRNCY_ADJ_MKT_CAP", "EQY_FUND_CRNCY", CURRENCY))</f>
        <v/>
      </c>
      <c r="O183" s="146"/>
      <c r="P183" s="576" t="str">
        <f>IF($A183="","",_xll.BDP($A183 &amp;" EQUITY", "CUST_TRR_RETURN_HOLDING_PER", "CUST_TRR_START_DT", DataH!$F$22, "CUST_TRR_END_DT", DataH!$F$21, "CUST_TRR_CRNCY", CURRENCY)/100)</f>
        <v/>
      </c>
      <c r="Q183" s="577" t="str">
        <f>IF($A183="","",_xll.BDP($A183&amp;" EQUITY","CUST_TRR_RETURN_HOLDING_PER","CUST_TRR_START_DT",DataH!$G$22,"CUST_TRR_END_DT",DataH!$F$21,"CUST_TRR_CRNCY",CURRENCY)/100)</f>
        <v/>
      </c>
      <c r="R183" s="578"/>
      <c r="S183" s="579" t="str">
        <f>IF($A183="","",_xll.BDP($A183&amp;" EQUITY",DataH!$C$23, "BEST_FPERIOD_OVERRIDE", MID(DataH!H$22, 3, 2)&amp;"BC", "EQY_CONSOLIDATED", DataH!$D$18)*DataH!$D$23)</f>
        <v/>
      </c>
      <c r="T183" s="580" t="str">
        <f>IF($A183="","",_xll.BDP($A183&amp;" EQUITY",DataH!$C$23, "BEST_FPERIOD_OVERRIDE", MID(DataH!I$22, 3, 2)&amp;"BC", "EQY_CONSOLIDATED", DataH!$D$18)*DataH!$D$23)</f>
        <v/>
      </c>
      <c r="U183" s="580" t="str">
        <f>IF($A183="","",_xll.BDP($A183&amp;" EQUITY",DataH!$C$23,"BEST_FPERIOD_OVERRIDE",MID(DataH!J$22,3,2)&amp;"BC","EQY_CONSOLIDATED",DataH!$D$18)*DataH!$D$23)</f>
        <v/>
      </c>
      <c r="V183" s="580" t="str">
        <f>IF($A183="","",_xll.BDP($A183&amp;" EQUITY",DataH!$C$23, "BEST_FPERIOD_OVERRIDE", MID(DataH!K$22, 3, 2)&amp;"BC", "EQY_CONSOLIDATED", DataH!$D$18)*DataH!$D$23)</f>
        <v/>
      </c>
      <c r="W183" s="581" t="str">
        <f>IF($A183="","",_xll.BDP($A183&amp;" EQUITY",DataH!$C$23, "BEST_FPERIOD_OVERRIDE", MID(DataH!L$22, 3, 2)&amp;"BC", "EQY_CONSOLIDATED", DataH!$D$18)*DataH!$D$23)</f>
        <v/>
      </c>
      <c r="X183" s="582" t="str">
        <f>IF($A183="","",_xll.BDP($A183&amp;" EQUITY",DataH!$C$23, "BEST_FPERIOD_OVERRIDE", MID(DataH!M$22, 3, 2)&amp;"BC", "EQY_CONSOLIDATED", DataH!$D$18)*DataH!$D$23)</f>
        <v/>
      </c>
      <c r="Y183" s="583" t="str">
        <f>IF($A183="","",_xll.BDP($A182&amp;" EQUITY",DataH!$C$23, "BEST_FPERIOD_OVERRIDE", MID(DataH!N$22, 3, 2)&amp;"BC", "EQY_CONSOLIDATED", DataH!$D$18)*DataH!$D$23)</f>
        <v/>
      </c>
      <c r="AC183" s="5" t="e">
        <f>IF(YEAR(_xll.BToday())-YEAR(_xll.BDP($A183 &amp;" EQUITY", "EQY_FISCAL_YR_END"))&gt;=2, YEAR(_xll.BToday())-1, YEAR(_xll.BToday()))</f>
        <v>#N/A</v>
      </c>
    </row>
    <row r="184" spans="1:29" ht="15" customHeight="1">
      <c r="A184" s="164" t="str">
        <f>IF(C184&lt;&gt;"", IF(ISNUMBER(FIND("EQUITY", UPPER(C184), 1)), _xll.BDP(C184, "TICKER_AND_EXCH_CODE"), C184), "")</f>
        <v/>
      </c>
      <c r="C184" s="589"/>
      <c r="D184" s="568"/>
      <c r="E184" s="763" t="str">
        <f>IF(A184="","",IF(Lang="English",_xll.BDP(A184&amp;" EQUITY","NAME"),IF(Lang="中文",_xll.BDP(A184&amp;" EQUITY","NAME_CHINESE_TRADITIONAL"),_xll.BDP(A184&amp;" EQUITY","NAME_KANJI"))))</f>
        <v/>
      </c>
      <c r="F184" s="764"/>
      <c r="G184" s="765"/>
      <c r="H184" s="763" t="str">
        <f>IF(A184="", "", _xll.BDP(A184 &amp; " EQUITY", "GICS_SUB_INDUSTRY_NAME"))</f>
        <v/>
      </c>
      <c r="I184" s="764"/>
      <c r="J184" s="765"/>
      <c r="K184" s="509" t="str">
        <f>IF($A184="", "", _xll.BDP($A184 &amp; " EQUITY", "CRNCY"))</f>
        <v/>
      </c>
      <c r="L184" s="276"/>
      <c r="M184" s="277" t="str">
        <f>IF(OR($A184="", ISERROR(_xll.BDP($A184 &amp; " EQUITY", "CRNCY_ADJ_MKT_CAP")*1)), "", _xll.BDP($A184 &amp; " EQUITY", "CRNCY_ADJ_MKT_CAP"))</f>
        <v/>
      </c>
      <c r="N184" s="278" t="str">
        <f>IF(OR($A184="", ISERROR(_xll.BDP($A184 &amp; " EQUITY", "CRNCY_ADJ_MKT_CAP", "EQY_FUND_CRNCY", CURRENCY)*1)), "", _xll.BDP($A184 &amp; " EQUITY", "CRNCY_ADJ_MKT_CAP", "EQY_FUND_CRNCY", CURRENCY))</f>
        <v/>
      </c>
      <c r="O184" s="146"/>
      <c r="P184" s="279" t="str">
        <f>IF($A184="","",_xll.BDP($A184 &amp;" EQUITY", "CUST_TRR_RETURN_HOLDING_PER", "CUST_TRR_START_DT", DataH!$F$22, "CUST_TRR_END_DT", DataH!$F$21, "CUST_TRR_CRNCY", CURRENCY)/100)</f>
        <v/>
      </c>
      <c r="Q184" s="102" t="str">
        <f>IF($A184="","",_xll.BDP($A184&amp;" EQUITY","CUST_TRR_RETURN_HOLDING_PER","CUST_TRR_START_DT",DataH!$G$22,"CUST_TRR_END_DT",DataH!$F$21,"CUST_TRR_CRNCY",CURRENCY)/100)</f>
        <v/>
      </c>
      <c r="R184" s="216"/>
      <c r="S184" s="280" t="str">
        <f>IF($A184="","",_xll.BDP($A184&amp;" EQUITY",DataH!$C$23, "BEST_FPERIOD_OVERRIDE", MID(DataH!H$22, 3, 2)&amp;"BC", "EQY_CONSOLIDATED", DataH!$D$18)*DataH!$D$23)</f>
        <v/>
      </c>
      <c r="T184" s="127" t="str">
        <f>IF($A184="","",_xll.BDP($A184&amp;" EQUITY",DataH!$C$23, "BEST_FPERIOD_OVERRIDE", MID(DataH!I$22, 3, 2)&amp;"BC", "EQY_CONSOLIDATED", DataH!$D$18)*DataH!$D$23)</f>
        <v/>
      </c>
      <c r="U184" s="127" t="str">
        <f>IF($A184="","",_xll.BDP($A184&amp;" EQUITY",DataH!$C$23,"BEST_FPERIOD_OVERRIDE",MID(DataH!J$22,3,2)&amp;"BC","EQY_CONSOLIDATED",DataH!$D$18)*DataH!$D$23)</f>
        <v/>
      </c>
      <c r="V184" s="127" t="str">
        <f>IF($A184="","",_xll.BDP($A184&amp;" EQUITY",DataH!$C$23, "BEST_FPERIOD_OVERRIDE", MID(DataH!K$22, 3, 2)&amp;"BC", "EQY_CONSOLIDATED", DataH!$D$18)*DataH!$D$23)</f>
        <v/>
      </c>
      <c r="W184" s="494" t="str">
        <f>IF($A184="","",_xll.BDP($A184&amp;" EQUITY",DataH!$C$23, "BEST_FPERIOD_OVERRIDE", MID(DataH!L$22, 3, 2)&amp;"BC", "EQY_CONSOLIDATED", DataH!$D$18)*DataH!$D$23)</f>
        <v/>
      </c>
      <c r="X184" s="256" t="str">
        <f>IF($A184="","",_xll.BDP($A184&amp;" EQUITY",DataH!$C$23, "BEST_FPERIOD_OVERRIDE", MID(DataH!M$22, 3, 2)&amp;"BC", "EQY_CONSOLIDATED", DataH!$D$18)*DataH!$D$23)</f>
        <v/>
      </c>
      <c r="Y184" s="257" t="str">
        <f>IF($A184="","",_xll.BDP($A183&amp;" EQUITY",DataH!$C$23, "BEST_FPERIOD_OVERRIDE", MID(DataH!N$22, 3, 2)&amp;"BC", "EQY_CONSOLIDATED", DataH!$D$18)*DataH!$D$23)</f>
        <v/>
      </c>
      <c r="AC184" s="5" t="e">
        <f>IF(YEAR(_xll.BToday())-YEAR(_xll.BDP($A184 &amp;" EQUITY", "EQY_FISCAL_YR_END"))&gt;=2, YEAR(_xll.BToday())-1, YEAR(_xll.BToday()))</f>
        <v>#N/A</v>
      </c>
    </row>
    <row r="185" spans="1:29" ht="15" customHeight="1">
      <c r="A185" s="164" t="str">
        <f>IF(C185&lt;&gt;"", IF(ISNUMBER(FIND("EQUITY", UPPER(C185), 1)), _xll.BDP(C185, "TICKER_AND_EXCH_CODE"), C185), "")</f>
        <v/>
      </c>
      <c r="C185" s="590"/>
      <c r="D185" s="571"/>
      <c r="E185" s="780" t="str">
        <f>IF(A185="","",IF(Lang="English",_xll.BDP(A185&amp;" EQUITY","NAME"),IF(Lang="中文",_xll.BDP(A185&amp;" EQUITY","NAME_CHINESE_TRADITIONAL"),_xll.BDP(A185&amp;" EQUITY","NAME_KANJI"))))</f>
        <v/>
      </c>
      <c r="F185" s="781"/>
      <c r="G185" s="782"/>
      <c r="H185" s="780" t="str">
        <f>IF(A185="", "", _xll.BDP(A185 &amp; " EQUITY", "GICS_SUB_INDUSTRY_NAME"))</f>
        <v/>
      </c>
      <c r="I185" s="781"/>
      <c r="J185" s="782"/>
      <c r="K185" s="572" t="str">
        <f>IF($A185="", "", _xll.BDP($A185 &amp; " EQUITY", "CRNCY"))</f>
        <v/>
      </c>
      <c r="L185" s="573"/>
      <c r="M185" s="574" t="str">
        <f>IF(OR($A185="", ISERROR(_xll.BDP($A185 &amp; " EQUITY", "CRNCY_ADJ_MKT_CAP")*1)), "", _xll.BDP($A185 &amp; " EQUITY", "CRNCY_ADJ_MKT_CAP"))</f>
        <v/>
      </c>
      <c r="N185" s="575" t="str">
        <f>IF(OR($A185="", ISERROR(_xll.BDP($A185 &amp; " EQUITY", "CRNCY_ADJ_MKT_CAP", "EQY_FUND_CRNCY", CURRENCY)*1)), "", _xll.BDP($A185 &amp; " EQUITY", "CRNCY_ADJ_MKT_CAP", "EQY_FUND_CRNCY", CURRENCY))</f>
        <v/>
      </c>
      <c r="O185" s="146"/>
      <c r="P185" s="576" t="str">
        <f>IF($A185="","",_xll.BDP($A185 &amp;" EQUITY", "CUST_TRR_RETURN_HOLDING_PER", "CUST_TRR_START_DT", DataH!$F$22, "CUST_TRR_END_DT", DataH!$F$21, "CUST_TRR_CRNCY", CURRENCY)/100)</f>
        <v/>
      </c>
      <c r="Q185" s="577" t="str">
        <f>IF($A185="","",_xll.BDP($A185&amp;" EQUITY","CUST_TRR_RETURN_HOLDING_PER","CUST_TRR_START_DT",DataH!$G$22,"CUST_TRR_END_DT",DataH!$F$21,"CUST_TRR_CRNCY",CURRENCY)/100)</f>
        <v/>
      </c>
      <c r="R185" s="578"/>
      <c r="S185" s="579" t="str">
        <f>IF($A185="","",_xll.BDP($A185&amp;" EQUITY",DataH!$C$23, "BEST_FPERIOD_OVERRIDE", MID(DataH!H$22, 3, 2)&amp;"BC", "EQY_CONSOLIDATED", DataH!$D$18)*DataH!$D$23)</f>
        <v/>
      </c>
      <c r="T185" s="580" t="str">
        <f>IF($A185="","",_xll.BDP($A185&amp;" EQUITY",DataH!$C$23, "BEST_FPERIOD_OVERRIDE", MID(DataH!I$22, 3, 2)&amp;"BC", "EQY_CONSOLIDATED", DataH!$D$18)*DataH!$D$23)</f>
        <v/>
      </c>
      <c r="U185" s="580" t="str">
        <f>IF($A185="","",_xll.BDP($A185&amp;" EQUITY",DataH!$C$23,"BEST_FPERIOD_OVERRIDE",MID(DataH!J$22,3,2)&amp;"BC","EQY_CONSOLIDATED",DataH!$D$18)*DataH!$D$23)</f>
        <v/>
      </c>
      <c r="V185" s="580" t="str">
        <f>IF($A185="","",_xll.BDP($A185&amp;" EQUITY",DataH!$C$23, "BEST_FPERIOD_OVERRIDE", MID(DataH!K$22, 3, 2)&amp;"BC", "EQY_CONSOLIDATED", DataH!$D$18)*DataH!$D$23)</f>
        <v/>
      </c>
      <c r="W185" s="581" t="str">
        <f>IF($A185="","",_xll.BDP($A185&amp;" EQUITY",DataH!$C$23, "BEST_FPERIOD_OVERRIDE", MID(DataH!L$22, 3, 2)&amp;"BC", "EQY_CONSOLIDATED", DataH!$D$18)*DataH!$D$23)</f>
        <v/>
      </c>
      <c r="X185" s="582" t="str">
        <f>IF($A185="","",_xll.BDP($A185&amp;" EQUITY",DataH!$C$23, "BEST_FPERIOD_OVERRIDE", MID(DataH!M$22, 3, 2)&amp;"BC", "EQY_CONSOLIDATED", DataH!$D$18)*DataH!$D$23)</f>
        <v/>
      </c>
      <c r="Y185" s="583" t="str">
        <f>IF($A185="","",_xll.BDP($A184&amp;" EQUITY",DataH!$C$23, "BEST_FPERIOD_OVERRIDE", MID(DataH!N$22, 3, 2)&amp;"BC", "EQY_CONSOLIDATED", DataH!$D$18)*DataH!$D$23)</f>
        <v/>
      </c>
      <c r="AC185" s="5" t="e">
        <f>IF(YEAR(_xll.BToday())-YEAR(_xll.BDP($A185 &amp;" EQUITY", "EQY_FISCAL_YR_END"))&gt;=2, YEAR(_xll.BToday())-1, YEAR(_xll.BToday()))</f>
        <v>#N/A</v>
      </c>
    </row>
    <row r="186" spans="1:29" ht="15" customHeight="1">
      <c r="A186" s="164" t="str">
        <f>IF(C186&lt;&gt;"", IF(ISNUMBER(FIND("EQUITY", UPPER(C186), 1)), _xll.BDP(C186, "TICKER_AND_EXCH_CODE"), C186), "")</f>
        <v/>
      </c>
      <c r="C186" s="589"/>
      <c r="D186" s="568"/>
      <c r="E186" s="763" t="str">
        <f>IF(A186="","",IF(Lang="English",_xll.BDP(A186&amp;" EQUITY","NAME"),IF(Lang="中文",_xll.BDP(A186&amp;" EQUITY","NAME_CHINESE_TRADITIONAL"),_xll.BDP(A186&amp;" EQUITY","NAME_KANJI"))))</f>
        <v/>
      </c>
      <c r="F186" s="764"/>
      <c r="G186" s="765"/>
      <c r="H186" s="763" t="str">
        <f>IF(A186="", "", _xll.BDP(A186 &amp; " EQUITY", "GICS_SUB_INDUSTRY_NAME"))</f>
        <v/>
      </c>
      <c r="I186" s="764"/>
      <c r="J186" s="765"/>
      <c r="K186" s="509" t="str">
        <f>IF($A186="", "", _xll.BDP($A186 &amp; " EQUITY", "CRNCY"))</f>
        <v/>
      </c>
      <c r="L186" s="276"/>
      <c r="M186" s="277" t="str">
        <f>IF(OR($A186="", ISERROR(_xll.BDP($A186 &amp; " EQUITY", "CRNCY_ADJ_MKT_CAP")*1)), "", _xll.BDP($A186 &amp; " EQUITY", "CRNCY_ADJ_MKT_CAP"))</f>
        <v/>
      </c>
      <c r="N186" s="278" t="str">
        <f>IF(OR($A186="", ISERROR(_xll.BDP($A186 &amp; " EQUITY", "CRNCY_ADJ_MKT_CAP", "EQY_FUND_CRNCY", CURRENCY)*1)), "", _xll.BDP($A186 &amp; " EQUITY", "CRNCY_ADJ_MKT_CAP", "EQY_FUND_CRNCY", CURRENCY))</f>
        <v/>
      </c>
      <c r="O186" s="146"/>
      <c r="P186" s="279" t="str">
        <f>IF($A186="","",_xll.BDP($A186 &amp;" EQUITY", "CUST_TRR_RETURN_HOLDING_PER", "CUST_TRR_START_DT", DataH!$F$22, "CUST_TRR_END_DT", DataH!$F$21, "CUST_TRR_CRNCY", CURRENCY)/100)</f>
        <v/>
      </c>
      <c r="Q186" s="102" t="str">
        <f>IF($A186="","",_xll.BDP($A186&amp;" EQUITY","CUST_TRR_RETURN_HOLDING_PER","CUST_TRR_START_DT",DataH!$G$22,"CUST_TRR_END_DT",DataH!$F$21,"CUST_TRR_CRNCY",CURRENCY)/100)</f>
        <v/>
      </c>
      <c r="R186" s="216"/>
      <c r="S186" s="280" t="str">
        <f>IF($A186="","",_xll.BDP($A186&amp;" EQUITY",DataH!$C$23, "BEST_FPERIOD_OVERRIDE", MID(DataH!H$22, 3, 2)&amp;"BC", "EQY_CONSOLIDATED", DataH!$D$18)*DataH!$D$23)</f>
        <v/>
      </c>
      <c r="T186" s="127" t="str">
        <f>IF($A186="","",_xll.BDP($A186&amp;" EQUITY",DataH!$C$23, "BEST_FPERIOD_OVERRIDE", MID(DataH!I$22, 3, 2)&amp;"BC", "EQY_CONSOLIDATED", DataH!$D$18)*DataH!$D$23)</f>
        <v/>
      </c>
      <c r="U186" s="127" t="str">
        <f>IF($A186="","",_xll.BDP($A186&amp;" EQUITY",DataH!$C$23,"BEST_FPERIOD_OVERRIDE",MID(DataH!J$22,3,2)&amp;"BC","EQY_CONSOLIDATED",DataH!$D$18)*DataH!$D$23)</f>
        <v/>
      </c>
      <c r="V186" s="127" t="str">
        <f>IF($A186="","",_xll.BDP($A186&amp;" EQUITY",DataH!$C$23, "BEST_FPERIOD_OVERRIDE", MID(DataH!K$22, 3, 2)&amp;"BC", "EQY_CONSOLIDATED", DataH!$D$18)*DataH!$D$23)</f>
        <v/>
      </c>
      <c r="W186" s="494" t="str">
        <f>IF($A186="","",_xll.BDP($A186&amp;" EQUITY",DataH!$C$23, "BEST_FPERIOD_OVERRIDE", MID(DataH!L$22, 3, 2)&amp;"BC", "EQY_CONSOLIDATED", DataH!$D$18)*DataH!$D$23)</f>
        <v/>
      </c>
      <c r="X186" s="256" t="str">
        <f>IF($A186="","",_xll.BDP($A186&amp;" EQUITY",DataH!$C$23, "BEST_FPERIOD_OVERRIDE", MID(DataH!M$22, 3, 2)&amp;"BC", "EQY_CONSOLIDATED", DataH!$D$18)*DataH!$D$23)</f>
        <v/>
      </c>
      <c r="Y186" s="257" t="str">
        <f>IF($A186="","",_xll.BDP($A185&amp;" EQUITY",DataH!$C$23, "BEST_FPERIOD_OVERRIDE", MID(DataH!N$22, 3, 2)&amp;"BC", "EQY_CONSOLIDATED", DataH!$D$18)*DataH!$D$23)</f>
        <v/>
      </c>
      <c r="AC186" s="5" t="e">
        <f>IF(YEAR(_xll.BToday())-YEAR(_xll.BDP($A186 &amp;" EQUITY", "EQY_FISCAL_YR_END"))&gt;=2, YEAR(_xll.BToday())-1, YEAR(_xll.BToday()))</f>
        <v>#N/A</v>
      </c>
    </row>
    <row r="187" spans="1:29" ht="15" customHeight="1">
      <c r="A187" s="164" t="str">
        <f>IF(C187&lt;&gt;"", IF(ISNUMBER(FIND("EQUITY", UPPER(C187), 1)), _xll.BDP(C187, "TICKER_AND_EXCH_CODE"), C187), "")</f>
        <v/>
      </c>
      <c r="C187" s="590"/>
      <c r="D187" s="571"/>
      <c r="E187" s="780" t="str">
        <f>IF(A187="","",IF(Lang="English",_xll.BDP(A187&amp;" EQUITY","NAME"),IF(Lang="中文",_xll.BDP(A187&amp;" EQUITY","NAME_CHINESE_TRADITIONAL"),_xll.BDP(A187&amp;" EQUITY","NAME_KANJI"))))</f>
        <v/>
      </c>
      <c r="F187" s="781"/>
      <c r="G187" s="782"/>
      <c r="H187" s="780" t="str">
        <f>IF(A187="", "", _xll.BDP(A187 &amp; " EQUITY", "GICS_SUB_INDUSTRY_NAME"))</f>
        <v/>
      </c>
      <c r="I187" s="781"/>
      <c r="J187" s="782"/>
      <c r="K187" s="572" t="str">
        <f>IF($A187="", "", _xll.BDP($A187 &amp; " EQUITY", "CRNCY"))</f>
        <v/>
      </c>
      <c r="L187" s="573"/>
      <c r="M187" s="574" t="str">
        <f>IF(OR($A187="", ISERROR(_xll.BDP($A187 &amp; " EQUITY", "CRNCY_ADJ_MKT_CAP")*1)), "", _xll.BDP($A187 &amp; " EQUITY", "CRNCY_ADJ_MKT_CAP"))</f>
        <v/>
      </c>
      <c r="N187" s="575" t="str">
        <f>IF(OR($A187="", ISERROR(_xll.BDP($A187 &amp; " EQUITY", "CRNCY_ADJ_MKT_CAP", "EQY_FUND_CRNCY", CURRENCY)*1)), "", _xll.BDP($A187 &amp; " EQUITY", "CRNCY_ADJ_MKT_CAP", "EQY_FUND_CRNCY", CURRENCY))</f>
        <v/>
      </c>
      <c r="O187" s="146"/>
      <c r="P187" s="576" t="str">
        <f>IF($A187="","",_xll.BDP($A187 &amp;" EQUITY", "CUST_TRR_RETURN_HOLDING_PER", "CUST_TRR_START_DT", DataH!$F$22, "CUST_TRR_END_DT", DataH!$F$21, "CUST_TRR_CRNCY", CURRENCY)/100)</f>
        <v/>
      </c>
      <c r="Q187" s="577" t="str">
        <f>IF($A187="","",_xll.BDP($A187&amp;" EQUITY","CUST_TRR_RETURN_HOLDING_PER","CUST_TRR_START_DT",DataH!$G$22,"CUST_TRR_END_DT",DataH!$F$21,"CUST_TRR_CRNCY",CURRENCY)/100)</f>
        <v/>
      </c>
      <c r="R187" s="578"/>
      <c r="S187" s="579" t="str">
        <f>IF($A187="","",_xll.BDP($A187&amp;" EQUITY",DataH!$C$23, "BEST_FPERIOD_OVERRIDE", MID(DataH!H$22, 3, 2)&amp;"BC", "EQY_CONSOLIDATED", DataH!$D$18)*DataH!$D$23)</f>
        <v/>
      </c>
      <c r="T187" s="580" t="str">
        <f>IF($A187="","",_xll.BDP($A187&amp;" EQUITY",DataH!$C$23, "BEST_FPERIOD_OVERRIDE", MID(DataH!I$22, 3, 2)&amp;"BC", "EQY_CONSOLIDATED", DataH!$D$18)*DataH!$D$23)</f>
        <v/>
      </c>
      <c r="U187" s="580" t="str">
        <f>IF($A187="","",_xll.BDP($A187&amp;" EQUITY",DataH!$C$23,"BEST_FPERIOD_OVERRIDE",MID(DataH!J$22,3,2)&amp;"BC","EQY_CONSOLIDATED",DataH!$D$18)*DataH!$D$23)</f>
        <v/>
      </c>
      <c r="V187" s="580" t="str">
        <f>IF($A187="","",_xll.BDP($A187&amp;" EQUITY",DataH!$C$23, "BEST_FPERIOD_OVERRIDE", MID(DataH!K$22, 3, 2)&amp;"BC", "EQY_CONSOLIDATED", DataH!$D$18)*DataH!$D$23)</f>
        <v/>
      </c>
      <c r="W187" s="581" t="str">
        <f>IF($A187="","",_xll.BDP($A187&amp;" EQUITY",DataH!$C$23, "BEST_FPERIOD_OVERRIDE", MID(DataH!L$22, 3, 2)&amp;"BC", "EQY_CONSOLIDATED", DataH!$D$18)*DataH!$D$23)</f>
        <v/>
      </c>
      <c r="X187" s="582" t="str">
        <f>IF($A187="","",_xll.BDP($A187&amp;" EQUITY",DataH!$C$23, "BEST_FPERIOD_OVERRIDE", MID(DataH!M$22, 3, 2)&amp;"BC", "EQY_CONSOLIDATED", DataH!$D$18)*DataH!$D$23)</f>
        <v/>
      </c>
      <c r="Y187" s="583" t="str">
        <f>IF($A187="","",_xll.BDP($A186&amp;" EQUITY",DataH!$C$23, "BEST_FPERIOD_OVERRIDE", MID(DataH!N$22, 3, 2)&amp;"BC", "EQY_CONSOLIDATED", DataH!$D$18)*DataH!$D$23)</f>
        <v/>
      </c>
      <c r="AC187" s="5" t="e">
        <f>IF(YEAR(_xll.BToday())-YEAR(_xll.BDP($A187 &amp;" EQUITY", "EQY_FISCAL_YR_END"))&gt;=2, YEAR(_xll.BToday())-1, YEAR(_xll.BToday()))</f>
        <v>#N/A</v>
      </c>
    </row>
    <row r="188" spans="1:29" ht="15" customHeight="1">
      <c r="A188" s="164" t="str">
        <f>IF(C188&lt;&gt;"", IF(ISNUMBER(FIND("EQUITY", UPPER(C188), 1)), _xll.BDP(C188, "TICKER_AND_EXCH_CODE"), C188), "")</f>
        <v/>
      </c>
      <c r="C188" s="589"/>
      <c r="D188" s="568"/>
      <c r="E188" s="763" t="str">
        <f>IF(A188="","",IF(Lang="English",_xll.BDP(A188&amp;" EQUITY","NAME"),IF(Lang="中文",_xll.BDP(A188&amp;" EQUITY","NAME_CHINESE_TRADITIONAL"),_xll.BDP(A188&amp;" EQUITY","NAME_KANJI"))))</f>
        <v/>
      </c>
      <c r="F188" s="764"/>
      <c r="G188" s="765"/>
      <c r="H188" s="763" t="str">
        <f>IF(A188="", "", _xll.BDP(A188 &amp; " EQUITY", "GICS_SUB_INDUSTRY_NAME"))</f>
        <v/>
      </c>
      <c r="I188" s="764"/>
      <c r="J188" s="765"/>
      <c r="K188" s="509" t="str">
        <f>IF($A188="", "", _xll.BDP($A188 &amp; " EQUITY", "CRNCY"))</f>
        <v/>
      </c>
      <c r="L188" s="276"/>
      <c r="M188" s="277" t="str">
        <f>IF(OR($A188="", ISERROR(_xll.BDP($A188 &amp; " EQUITY", "CRNCY_ADJ_MKT_CAP")*1)), "", _xll.BDP($A188 &amp; " EQUITY", "CRNCY_ADJ_MKT_CAP"))</f>
        <v/>
      </c>
      <c r="N188" s="278" t="str">
        <f>IF(OR($A188="", ISERROR(_xll.BDP($A188 &amp; " EQUITY", "CRNCY_ADJ_MKT_CAP", "EQY_FUND_CRNCY", CURRENCY)*1)), "", _xll.BDP($A188 &amp; " EQUITY", "CRNCY_ADJ_MKT_CAP", "EQY_FUND_CRNCY", CURRENCY))</f>
        <v/>
      </c>
      <c r="O188" s="146"/>
      <c r="P188" s="279" t="str">
        <f>IF($A188="","",_xll.BDP($A188 &amp;" EQUITY", "CUST_TRR_RETURN_HOLDING_PER", "CUST_TRR_START_DT", DataH!$F$22, "CUST_TRR_END_DT", DataH!$F$21, "CUST_TRR_CRNCY", CURRENCY)/100)</f>
        <v/>
      </c>
      <c r="Q188" s="102" t="str">
        <f>IF($A188="","",_xll.BDP($A188&amp;" EQUITY","CUST_TRR_RETURN_HOLDING_PER","CUST_TRR_START_DT",DataH!$G$22,"CUST_TRR_END_DT",DataH!$F$21,"CUST_TRR_CRNCY",CURRENCY)/100)</f>
        <v/>
      </c>
      <c r="R188" s="216"/>
      <c r="S188" s="280" t="str">
        <f>IF($A188="","",_xll.BDP($A188&amp;" EQUITY",DataH!$C$23, "BEST_FPERIOD_OVERRIDE", MID(DataH!H$22, 3, 2)&amp;"BC", "EQY_CONSOLIDATED", DataH!$D$18)*DataH!$D$23)</f>
        <v/>
      </c>
      <c r="T188" s="127" t="str">
        <f>IF($A188="","",_xll.BDP($A188&amp;" EQUITY",DataH!$C$23, "BEST_FPERIOD_OVERRIDE", MID(DataH!I$22, 3, 2)&amp;"BC", "EQY_CONSOLIDATED", DataH!$D$18)*DataH!$D$23)</f>
        <v/>
      </c>
      <c r="U188" s="127" t="str">
        <f>IF($A188="","",_xll.BDP($A188&amp;" EQUITY",DataH!$C$23,"BEST_FPERIOD_OVERRIDE",MID(DataH!J$22,3,2)&amp;"BC","EQY_CONSOLIDATED",DataH!$D$18)*DataH!$D$23)</f>
        <v/>
      </c>
      <c r="V188" s="127" t="str">
        <f>IF($A188="","",_xll.BDP($A188&amp;" EQUITY",DataH!$C$23, "BEST_FPERIOD_OVERRIDE", MID(DataH!K$22, 3, 2)&amp;"BC", "EQY_CONSOLIDATED", DataH!$D$18)*DataH!$D$23)</f>
        <v/>
      </c>
      <c r="W188" s="494" t="str">
        <f>IF($A188="","",_xll.BDP($A188&amp;" EQUITY",DataH!$C$23, "BEST_FPERIOD_OVERRIDE", MID(DataH!L$22, 3, 2)&amp;"BC", "EQY_CONSOLIDATED", DataH!$D$18)*DataH!$D$23)</f>
        <v/>
      </c>
      <c r="X188" s="256" t="str">
        <f>IF($A188="","",_xll.BDP($A188&amp;" EQUITY",DataH!$C$23, "BEST_FPERIOD_OVERRIDE", MID(DataH!M$22, 3, 2)&amp;"BC", "EQY_CONSOLIDATED", DataH!$D$18)*DataH!$D$23)</f>
        <v/>
      </c>
      <c r="Y188" s="257" t="str">
        <f>IF($A188="","",_xll.BDP($A187&amp;" EQUITY",DataH!$C$23, "BEST_FPERIOD_OVERRIDE", MID(DataH!N$22, 3, 2)&amp;"BC", "EQY_CONSOLIDATED", DataH!$D$18)*DataH!$D$23)</f>
        <v/>
      </c>
      <c r="AC188" s="5" t="e">
        <f>IF(YEAR(_xll.BToday())-YEAR(_xll.BDP($A188 &amp;" EQUITY", "EQY_FISCAL_YR_END"))&gt;=2, YEAR(_xll.BToday())-1, YEAR(_xll.BToday()))</f>
        <v>#N/A</v>
      </c>
    </row>
    <row r="189" spans="1:29" ht="15" customHeight="1">
      <c r="A189" s="164" t="str">
        <f>IF(C189&lt;&gt;"", IF(ISNUMBER(FIND("EQUITY", UPPER(C189), 1)), _xll.BDP(C189, "TICKER_AND_EXCH_CODE"), C189), "")</f>
        <v/>
      </c>
      <c r="C189" s="590"/>
      <c r="D189" s="571"/>
      <c r="E189" s="780" t="str">
        <f>IF(A189="","",IF(Lang="English",_xll.BDP(A189&amp;" EQUITY","NAME"),IF(Lang="中文",_xll.BDP(A189&amp;" EQUITY","NAME_CHINESE_TRADITIONAL"),_xll.BDP(A189&amp;" EQUITY","NAME_KANJI"))))</f>
        <v/>
      </c>
      <c r="F189" s="781"/>
      <c r="G189" s="782"/>
      <c r="H189" s="780" t="str">
        <f>IF(A189="", "", _xll.BDP(A189 &amp; " EQUITY", "GICS_SUB_INDUSTRY_NAME"))</f>
        <v/>
      </c>
      <c r="I189" s="781"/>
      <c r="J189" s="782"/>
      <c r="K189" s="572" t="str">
        <f>IF($A189="", "", _xll.BDP($A189 &amp; " EQUITY", "CRNCY"))</f>
        <v/>
      </c>
      <c r="L189" s="573"/>
      <c r="M189" s="574" t="str">
        <f>IF(OR($A189="", ISERROR(_xll.BDP($A189 &amp; " EQUITY", "CRNCY_ADJ_MKT_CAP")*1)), "", _xll.BDP($A189 &amp; " EQUITY", "CRNCY_ADJ_MKT_CAP"))</f>
        <v/>
      </c>
      <c r="N189" s="575" t="str">
        <f>IF(OR($A189="", ISERROR(_xll.BDP($A189 &amp; " EQUITY", "CRNCY_ADJ_MKT_CAP", "EQY_FUND_CRNCY", CURRENCY)*1)), "", _xll.BDP($A189 &amp; " EQUITY", "CRNCY_ADJ_MKT_CAP", "EQY_FUND_CRNCY", CURRENCY))</f>
        <v/>
      </c>
      <c r="O189" s="146"/>
      <c r="P189" s="576" t="str">
        <f>IF($A189="","",_xll.BDP($A189 &amp;" EQUITY", "CUST_TRR_RETURN_HOLDING_PER", "CUST_TRR_START_DT", DataH!$F$22, "CUST_TRR_END_DT", DataH!$F$21, "CUST_TRR_CRNCY", CURRENCY)/100)</f>
        <v/>
      </c>
      <c r="Q189" s="577" t="str">
        <f>IF($A189="","",_xll.BDP($A189&amp;" EQUITY","CUST_TRR_RETURN_HOLDING_PER","CUST_TRR_START_DT",DataH!$G$22,"CUST_TRR_END_DT",DataH!$F$21,"CUST_TRR_CRNCY",CURRENCY)/100)</f>
        <v/>
      </c>
      <c r="R189" s="578"/>
      <c r="S189" s="579" t="str">
        <f>IF($A189="","",_xll.BDP($A189&amp;" EQUITY",DataH!$C$23, "BEST_FPERIOD_OVERRIDE", MID(DataH!H$22, 3, 2)&amp;"BC", "EQY_CONSOLIDATED", DataH!$D$18)*DataH!$D$23)</f>
        <v/>
      </c>
      <c r="T189" s="580" t="str">
        <f>IF($A189="","",_xll.BDP($A189&amp;" EQUITY",DataH!$C$23, "BEST_FPERIOD_OVERRIDE", MID(DataH!I$22, 3, 2)&amp;"BC", "EQY_CONSOLIDATED", DataH!$D$18)*DataH!$D$23)</f>
        <v/>
      </c>
      <c r="U189" s="580" t="str">
        <f>IF($A189="","",_xll.BDP($A189&amp;" EQUITY",DataH!$C$23,"BEST_FPERIOD_OVERRIDE",MID(DataH!J$22,3,2)&amp;"BC","EQY_CONSOLIDATED",DataH!$D$18)*DataH!$D$23)</f>
        <v/>
      </c>
      <c r="V189" s="580" t="str">
        <f>IF($A189="","",_xll.BDP($A189&amp;" EQUITY",DataH!$C$23, "BEST_FPERIOD_OVERRIDE", MID(DataH!K$22, 3, 2)&amp;"BC", "EQY_CONSOLIDATED", DataH!$D$18)*DataH!$D$23)</f>
        <v/>
      </c>
      <c r="W189" s="581" t="str">
        <f>IF($A189="","",_xll.BDP($A189&amp;" EQUITY",DataH!$C$23, "BEST_FPERIOD_OVERRIDE", MID(DataH!L$22, 3, 2)&amp;"BC", "EQY_CONSOLIDATED", DataH!$D$18)*DataH!$D$23)</f>
        <v/>
      </c>
      <c r="X189" s="582" t="str">
        <f>IF($A189="","",_xll.BDP($A189&amp;" EQUITY",DataH!$C$23, "BEST_FPERIOD_OVERRIDE", MID(DataH!M$22, 3, 2)&amp;"BC", "EQY_CONSOLIDATED", DataH!$D$18)*DataH!$D$23)</f>
        <v/>
      </c>
      <c r="Y189" s="583" t="str">
        <f>IF($A189="","",_xll.BDP($A188&amp;" EQUITY",DataH!$C$23, "BEST_FPERIOD_OVERRIDE", MID(DataH!N$22, 3, 2)&amp;"BC", "EQY_CONSOLIDATED", DataH!$D$18)*DataH!$D$23)</f>
        <v/>
      </c>
      <c r="AC189" s="5" t="e">
        <f>IF(YEAR(_xll.BToday())-YEAR(_xll.BDP($A189 &amp;" EQUITY", "EQY_FISCAL_YR_END"))&gt;=2, YEAR(_xll.BToday())-1, YEAR(_xll.BToday()))</f>
        <v>#N/A</v>
      </c>
    </row>
    <row r="190" spans="1:29" ht="15" customHeight="1">
      <c r="A190" s="164" t="str">
        <f>IF(C190&lt;&gt;"", IF(ISNUMBER(FIND("EQUITY", UPPER(C190), 1)), _xll.BDP(C190, "TICKER_AND_EXCH_CODE"), C190), "")</f>
        <v/>
      </c>
      <c r="C190" s="589"/>
      <c r="D190" s="568"/>
      <c r="E190" s="763" t="str">
        <f>IF(A190="","",IF(Lang="English",_xll.BDP(A190&amp;" EQUITY","NAME"),IF(Lang="中文",_xll.BDP(A190&amp;" EQUITY","NAME_CHINESE_TRADITIONAL"),_xll.BDP(A190&amp;" EQUITY","NAME_KANJI"))))</f>
        <v/>
      </c>
      <c r="F190" s="764"/>
      <c r="G190" s="765"/>
      <c r="H190" s="763" t="str">
        <f>IF(A190="", "", _xll.BDP(A190 &amp; " EQUITY", "GICS_SUB_INDUSTRY_NAME"))</f>
        <v/>
      </c>
      <c r="I190" s="764"/>
      <c r="J190" s="765"/>
      <c r="K190" s="509" t="str">
        <f>IF($A190="", "", _xll.BDP($A190 &amp; " EQUITY", "CRNCY"))</f>
        <v/>
      </c>
      <c r="L190" s="276"/>
      <c r="M190" s="277" t="str">
        <f>IF(OR($A190="", ISERROR(_xll.BDP($A190 &amp; " EQUITY", "CRNCY_ADJ_MKT_CAP")*1)), "", _xll.BDP($A190 &amp; " EQUITY", "CRNCY_ADJ_MKT_CAP"))</f>
        <v/>
      </c>
      <c r="N190" s="278" t="str">
        <f>IF(OR($A190="", ISERROR(_xll.BDP($A190 &amp; " EQUITY", "CRNCY_ADJ_MKT_CAP", "EQY_FUND_CRNCY", CURRENCY)*1)), "", _xll.BDP($A190 &amp; " EQUITY", "CRNCY_ADJ_MKT_CAP", "EQY_FUND_CRNCY", CURRENCY))</f>
        <v/>
      </c>
      <c r="O190" s="146"/>
      <c r="P190" s="279" t="str">
        <f>IF($A190="","",_xll.BDP($A190 &amp;" EQUITY", "CUST_TRR_RETURN_HOLDING_PER", "CUST_TRR_START_DT", DataH!$F$22, "CUST_TRR_END_DT", DataH!$F$21, "CUST_TRR_CRNCY", CURRENCY)/100)</f>
        <v/>
      </c>
      <c r="Q190" s="102" t="str">
        <f>IF($A190="","",_xll.BDP($A190&amp;" EQUITY","CUST_TRR_RETURN_HOLDING_PER","CUST_TRR_START_DT",DataH!$G$22,"CUST_TRR_END_DT",DataH!$F$21,"CUST_TRR_CRNCY",CURRENCY)/100)</f>
        <v/>
      </c>
      <c r="R190" s="216"/>
      <c r="S190" s="280" t="str">
        <f>IF($A190="","",_xll.BDP($A190&amp;" EQUITY",DataH!$C$23, "BEST_FPERIOD_OVERRIDE", MID(DataH!H$22, 3, 2)&amp;"BC", "EQY_CONSOLIDATED", DataH!$D$18)*DataH!$D$23)</f>
        <v/>
      </c>
      <c r="T190" s="127" t="str">
        <f>IF($A190="","",_xll.BDP($A190&amp;" EQUITY",DataH!$C$23, "BEST_FPERIOD_OVERRIDE", MID(DataH!I$22, 3, 2)&amp;"BC", "EQY_CONSOLIDATED", DataH!$D$18)*DataH!$D$23)</f>
        <v/>
      </c>
      <c r="U190" s="127" t="str">
        <f>IF($A190="","",_xll.BDP($A190&amp;" EQUITY",DataH!$C$23,"BEST_FPERIOD_OVERRIDE",MID(DataH!J$22,3,2)&amp;"BC","EQY_CONSOLIDATED",DataH!$D$18)*DataH!$D$23)</f>
        <v/>
      </c>
      <c r="V190" s="127" t="str">
        <f>IF($A190="","",_xll.BDP($A190&amp;" EQUITY",DataH!$C$23, "BEST_FPERIOD_OVERRIDE", MID(DataH!K$22, 3, 2)&amp;"BC", "EQY_CONSOLIDATED", DataH!$D$18)*DataH!$D$23)</f>
        <v/>
      </c>
      <c r="W190" s="494" t="str">
        <f>IF($A190="","",_xll.BDP($A190&amp;" EQUITY",DataH!$C$23, "BEST_FPERIOD_OVERRIDE", MID(DataH!L$22, 3, 2)&amp;"BC", "EQY_CONSOLIDATED", DataH!$D$18)*DataH!$D$23)</f>
        <v/>
      </c>
      <c r="X190" s="256" t="str">
        <f>IF($A190="","",_xll.BDP($A190&amp;" EQUITY",DataH!$C$23, "BEST_FPERIOD_OVERRIDE", MID(DataH!M$22, 3, 2)&amp;"BC", "EQY_CONSOLIDATED", DataH!$D$18)*DataH!$D$23)</f>
        <v/>
      </c>
      <c r="Y190" s="257" t="str">
        <f>IF($A190="","",_xll.BDP($A189&amp;" EQUITY",DataH!$C$23, "BEST_FPERIOD_OVERRIDE", MID(DataH!N$22, 3, 2)&amp;"BC", "EQY_CONSOLIDATED", DataH!$D$18)*DataH!$D$23)</f>
        <v/>
      </c>
      <c r="AC190" s="5" t="e">
        <f>IF(YEAR(_xll.BToday())-YEAR(_xll.BDP($A190 &amp;" EQUITY", "EQY_FISCAL_YR_END"))&gt;=2, YEAR(_xll.BToday())-1, YEAR(_xll.BToday()))</f>
        <v>#N/A</v>
      </c>
    </row>
    <row r="191" spans="1:29" ht="15" customHeight="1">
      <c r="A191" s="164" t="str">
        <f>IF(C191&lt;&gt;"", IF(ISNUMBER(FIND("EQUITY", UPPER(C191), 1)), _xll.BDP(C191, "TICKER_AND_EXCH_CODE"), C191), "")</f>
        <v/>
      </c>
      <c r="C191" s="590"/>
      <c r="D191" s="571"/>
      <c r="E191" s="780" t="str">
        <f>IF(A191="","",IF(Lang="English",_xll.BDP(A191&amp;" EQUITY","NAME"),IF(Lang="中文",_xll.BDP(A191&amp;" EQUITY","NAME_CHINESE_TRADITIONAL"),_xll.BDP(A191&amp;" EQUITY","NAME_KANJI"))))</f>
        <v/>
      </c>
      <c r="F191" s="781"/>
      <c r="G191" s="782"/>
      <c r="H191" s="780" t="str">
        <f>IF(A191="", "", _xll.BDP(A191 &amp; " EQUITY", "GICS_SUB_INDUSTRY_NAME"))</f>
        <v/>
      </c>
      <c r="I191" s="781"/>
      <c r="J191" s="782"/>
      <c r="K191" s="572" t="str">
        <f>IF($A191="", "", _xll.BDP($A191 &amp; " EQUITY", "CRNCY"))</f>
        <v/>
      </c>
      <c r="L191" s="573"/>
      <c r="M191" s="574" t="str">
        <f>IF(OR($A191="", ISERROR(_xll.BDP($A191 &amp; " EQUITY", "CRNCY_ADJ_MKT_CAP")*1)), "", _xll.BDP($A191 &amp; " EQUITY", "CRNCY_ADJ_MKT_CAP"))</f>
        <v/>
      </c>
      <c r="N191" s="575" t="str">
        <f>IF(OR($A191="", ISERROR(_xll.BDP($A191 &amp; " EQUITY", "CRNCY_ADJ_MKT_CAP", "EQY_FUND_CRNCY", CURRENCY)*1)), "", _xll.BDP($A191 &amp; " EQUITY", "CRNCY_ADJ_MKT_CAP", "EQY_FUND_CRNCY", CURRENCY))</f>
        <v/>
      </c>
      <c r="O191" s="146"/>
      <c r="P191" s="576" t="str">
        <f>IF($A191="","",_xll.BDP($A191 &amp;" EQUITY", "CUST_TRR_RETURN_HOLDING_PER", "CUST_TRR_START_DT", DataH!$F$22, "CUST_TRR_END_DT", DataH!$F$21, "CUST_TRR_CRNCY", CURRENCY)/100)</f>
        <v/>
      </c>
      <c r="Q191" s="577" t="str">
        <f>IF($A191="","",_xll.BDP($A191&amp;" EQUITY","CUST_TRR_RETURN_HOLDING_PER","CUST_TRR_START_DT",DataH!$G$22,"CUST_TRR_END_DT",DataH!$F$21,"CUST_TRR_CRNCY",CURRENCY)/100)</f>
        <v/>
      </c>
      <c r="R191" s="578"/>
      <c r="S191" s="579" t="str">
        <f>IF($A191="","",_xll.BDP($A191&amp;" EQUITY",DataH!$C$23, "BEST_FPERIOD_OVERRIDE", MID(DataH!H$22, 3, 2)&amp;"BC", "EQY_CONSOLIDATED", DataH!$D$18)*DataH!$D$23)</f>
        <v/>
      </c>
      <c r="T191" s="580" t="str">
        <f>IF($A191="","",_xll.BDP($A191&amp;" EQUITY",DataH!$C$23, "BEST_FPERIOD_OVERRIDE", MID(DataH!I$22, 3, 2)&amp;"BC", "EQY_CONSOLIDATED", DataH!$D$18)*DataH!$D$23)</f>
        <v/>
      </c>
      <c r="U191" s="580" t="str">
        <f>IF($A191="","",_xll.BDP($A191&amp;" EQUITY",DataH!$C$23,"BEST_FPERIOD_OVERRIDE",MID(DataH!J$22,3,2)&amp;"BC","EQY_CONSOLIDATED",DataH!$D$18)*DataH!$D$23)</f>
        <v/>
      </c>
      <c r="V191" s="580" t="str">
        <f>IF($A191="","",_xll.BDP($A191&amp;" EQUITY",DataH!$C$23, "BEST_FPERIOD_OVERRIDE", MID(DataH!K$22, 3, 2)&amp;"BC", "EQY_CONSOLIDATED", DataH!$D$18)*DataH!$D$23)</f>
        <v/>
      </c>
      <c r="W191" s="581" t="str">
        <f>IF($A191="","",_xll.BDP($A191&amp;" EQUITY",DataH!$C$23, "BEST_FPERIOD_OVERRIDE", MID(DataH!L$22, 3, 2)&amp;"BC", "EQY_CONSOLIDATED", DataH!$D$18)*DataH!$D$23)</f>
        <v/>
      </c>
      <c r="X191" s="582" t="str">
        <f>IF($A191="","",_xll.BDP($A191&amp;" EQUITY",DataH!$C$23, "BEST_FPERIOD_OVERRIDE", MID(DataH!M$22, 3, 2)&amp;"BC", "EQY_CONSOLIDATED", DataH!$D$18)*DataH!$D$23)</f>
        <v/>
      </c>
      <c r="Y191" s="583" t="str">
        <f>IF($A191="","",_xll.BDP($A190&amp;" EQUITY",DataH!$C$23, "BEST_FPERIOD_OVERRIDE", MID(DataH!N$22, 3, 2)&amp;"BC", "EQY_CONSOLIDATED", DataH!$D$18)*DataH!$D$23)</f>
        <v/>
      </c>
      <c r="AC191" s="5" t="e">
        <f>IF(YEAR(_xll.BToday())-YEAR(_xll.BDP($A191 &amp;" EQUITY", "EQY_FISCAL_YR_END"))&gt;=2, YEAR(_xll.BToday())-1, YEAR(_xll.BToday()))</f>
        <v>#N/A</v>
      </c>
    </row>
    <row r="192" spans="1:29" ht="15" customHeight="1">
      <c r="A192" s="164" t="str">
        <f>IF(C192&lt;&gt;"", IF(ISNUMBER(FIND("EQUITY", UPPER(C192), 1)), _xll.BDP(C192, "TICKER_AND_EXCH_CODE"), C192), "")</f>
        <v/>
      </c>
      <c r="C192" s="589"/>
      <c r="D192" s="568"/>
      <c r="E192" s="763" t="str">
        <f>IF(A192="","",IF(Lang="English",_xll.BDP(A192&amp;" EQUITY","NAME"),IF(Lang="中文",_xll.BDP(A192&amp;" EQUITY","NAME_CHINESE_TRADITIONAL"),_xll.BDP(A192&amp;" EQUITY","NAME_KANJI"))))</f>
        <v/>
      </c>
      <c r="F192" s="764"/>
      <c r="G192" s="765"/>
      <c r="H192" s="763" t="str">
        <f>IF(A192="", "", _xll.BDP(A192 &amp; " EQUITY", "GICS_SUB_INDUSTRY_NAME"))</f>
        <v/>
      </c>
      <c r="I192" s="764"/>
      <c r="J192" s="765"/>
      <c r="K192" s="509" t="str">
        <f>IF($A192="", "", _xll.BDP($A192 &amp; " EQUITY", "CRNCY"))</f>
        <v/>
      </c>
      <c r="L192" s="276"/>
      <c r="M192" s="277" t="str">
        <f>IF(OR($A192="", ISERROR(_xll.BDP($A192 &amp; " EQUITY", "CRNCY_ADJ_MKT_CAP")*1)), "", _xll.BDP($A192 &amp; " EQUITY", "CRNCY_ADJ_MKT_CAP"))</f>
        <v/>
      </c>
      <c r="N192" s="278" t="str">
        <f>IF(OR($A192="", ISERROR(_xll.BDP($A192 &amp; " EQUITY", "CRNCY_ADJ_MKT_CAP", "EQY_FUND_CRNCY", CURRENCY)*1)), "", _xll.BDP($A192 &amp; " EQUITY", "CRNCY_ADJ_MKT_CAP", "EQY_FUND_CRNCY", CURRENCY))</f>
        <v/>
      </c>
      <c r="O192" s="146"/>
      <c r="P192" s="279" t="str">
        <f>IF($A192="","",_xll.BDP($A192 &amp;" EQUITY", "CUST_TRR_RETURN_HOLDING_PER", "CUST_TRR_START_DT", DataH!$F$22, "CUST_TRR_END_DT", DataH!$F$21, "CUST_TRR_CRNCY", CURRENCY)/100)</f>
        <v/>
      </c>
      <c r="Q192" s="102" t="str">
        <f>IF($A192="","",_xll.BDP($A192&amp;" EQUITY","CUST_TRR_RETURN_HOLDING_PER","CUST_TRR_START_DT",DataH!$G$22,"CUST_TRR_END_DT",DataH!$F$21,"CUST_TRR_CRNCY",CURRENCY)/100)</f>
        <v/>
      </c>
      <c r="R192" s="216"/>
      <c r="S192" s="280" t="str">
        <f>IF($A192="","",_xll.BDP($A192&amp;" EQUITY",DataH!$C$23, "BEST_FPERIOD_OVERRIDE", MID(DataH!H$22, 3, 2)&amp;"BC", "EQY_CONSOLIDATED", DataH!$D$18)*DataH!$D$23)</f>
        <v/>
      </c>
      <c r="T192" s="127" t="str">
        <f>IF($A192="","",_xll.BDP($A192&amp;" EQUITY",DataH!$C$23, "BEST_FPERIOD_OVERRIDE", MID(DataH!I$22, 3, 2)&amp;"BC", "EQY_CONSOLIDATED", DataH!$D$18)*DataH!$D$23)</f>
        <v/>
      </c>
      <c r="U192" s="127" t="str">
        <f>IF($A192="","",_xll.BDP($A192&amp;" EQUITY",DataH!$C$23,"BEST_FPERIOD_OVERRIDE",MID(DataH!J$22,3,2)&amp;"BC","EQY_CONSOLIDATED",DataH!$D$18)*DataH!$D$23)</f>
        <v/>
      </c>
      <c r="V192" s="127" t="str">
        <f>IF($A192="","",_xll.BDP($A192&amp;" EQUITY",DataH!$C$23, "BEST_FPERIOD_OVERRIDE", MID(DataH!K$22, 3, 2)&amp;"BC", "EQY_CONSOLIDATED", DataH!$D$18)*DataH!$D$23)</f>
        <v/>
      </c>
      <c r="W192" s="494" t="str">
        <f>IF($A192="","",_xll.BDP($A192&amp;" EQUITY",DataH!$C$23, "BEST_FPERIOD_OVERRIDE", MID(DataH!L$22, 3, 2)&amp;"BC", "EQY_CONSOLIDATED", DataH!$D$18)*DataH!$D$23)</f>
        <v/>
      </c>
      <c r="X192" s="256" t="str">
        <f>IF($A192="","",_xll.BDP($A192&amp;" EQUITY",DataH!$C$23, "BEST_FPERIOD_OVERRIDE", MID(DataH!M$22, 3, 2)&amp;"BC", "EQY_CONSOLIDATED", DataH!$D$18)*DataH!$D$23)</f>
        <v/>
      </c>
      <c r="Y192" s="257" t="str">
        <f>IF($A192="","",_xll.BDP($A191&amp;" EQUITY",DataH!$C$23, "BEST_FPERIOD_OVERRIDE", MID(DataH!N$22, 3, 2)&amp;"BC", "EQY_CONSOLIDATED", DataH!$D$18)*DataH!$D$23)</f>
        <v/>
      </c>
      <c r="AC192" s="5" t="e">
        <f>IF(YEAR(_xll.BToday())-YEAR(_xll.BDP($A192 &amp;" EQUITY", "EQY_FISCAL_YR_END"))&gt;=2, YEAR(_xll.BToday())-1, YEAR(_xll.BToday()))</f>
        <v>#N/A</v>
      </c>
    </row>
    <row r="193" spans="1:29" ht="15" customHeight="1">
      <c r="A193" s="164" t="str">
        <f>IF(C193&lt;&gt;"", IF(ISNUMBER(FIND("EQUITY", UPPER(C193), 1)), _xll.BDP(C193, "TICKER_AND_EXCH_CODE"), C193), "")</f>
        <v/>
      </c>
      <c r="C193" s="590"/>
      <c r="D193" s="571"/>
      <c r="E193" s="780" t="str">
        <f>IF(A193="","",IF(Lang="English",_xll.BDP(A193&amp;" EQUITY","NAME"),IF(Lang="中文",_xll.BDP(A193&amp;" EQUITY","NAME_CHINESE_TRADITIONAL"),_xll.BDP(A193&amp;" EQUITY","NAME_KANJI"))))</f>
        <v/>
      </c>
      <c r="F193" s="781"/>
      <c r="G193" s="782"/>
      <c r="H193" s="780" t="str">
        <f>IF(A193="", "", _xll.BDP(A193 &amp; " EQUITY", "GICS_SUB_INDUSTRY_NAME"))</f>
        <v/>
      </c>
      <c r="I193" s="781"/>
      <c r="J193" s="782"/>
      <c r="K193" s="572" t="str">
        <f>IF($A193="", "", _xll.BDP($A193 &amp; " EQUITY", "CRNCY"))</f>
        <v/>
      </c>
      <c r="L193" s="573"/>
      <c r="M193" s="574" t="str">
        <f>IF(OR($A193="", ISERROR(_xll.BDP($A193 &amp; " EQUITY", "CRNCY_ADJ_MKT_CAP")*1)), "", _xll.BDP($A193 &amp; " EQUITY", "CRNCY_ADJ_MKT_CAP"))</f>
        <v/>
      </c>
      <c r="N193" s="575" t="str">
        <f>IF(OR($A193="", ISERROR(_xll.BDP($A193 &amp; " EQUITY", "CRNCY_ADJ_MKT_CAP", "EQY_FUND_CRNCY", CURRENCY)*1)), "", _xll.BDP($A193 &amp; " EQUITY", "CRNCY_ADJ_MKT_CAP", "EQY_FUND_CRNCY", CURRENCY))</f>
        <v/>
      </c>
      <c r="O193" s="146"/>
      <c r="P193" s="576" t="str">
        <f>IF($A193="","",_xll.BDP($A193 &amp;" EQUITY", "CUST_TRR_RETURN_HOLDING_PER", "CUST_TRR_START_DT", DataH!$F$22, "CUST_TRR_END_DT", DataH!$F$21, "CUST_TRR_CRNCY", CURRENCY)/100)</f>
        <v/>
      </c>
      <c r="Q193" s="577" t="str">
        <f>IF($A193="","",_xll.BDP($A193&amp;" EQUITY","CUST_TRR_RETURN_HOLDING_PER","CUST_TRR_START_DT",DataH!$G$22,"CUST_TRR_END_DT",DataH!$F$21,"CUST_TRR_CRNCY",CURRENCY)/100)</f>
        <v/>
      </c>
      <c r="R193" s="578"/>
      <c r="S193" s="579" t="str">
        <f>IF($A193="","",_xll.BDP($A193&amp;" EQUITY",DataH!$C$23, "BEST_FPERIOD_OVERRIDE", MID(DataH!H$22, 3, 2)&amp;"BC", "EQY_CONSOLIDATED", DataH!$D$18)*DataH!$D$23)</f>
        <v/>
      </c>
      <c r="T193" s="580" t="str">
        <f>IF($A193="","",_xll.BDP($A193&amp;" EQUITY",DataH!$C$23, "BEST_FPERIOD_OVERRIDE", MID(DataH!I$22, 3, 2)&amp;"BC", "EQY_CONSOLIDATED", DataH!$D$18)*DataH!$D$23)</f>
        <v/>
      </c>
      <c r="U193" s="580" t="str">
        <f>IF($A193="","",_xll.BDP($A193&amp;" EQUITY",DataH!$C$23,"BEST_FPERIOD_OVERRIDE",MID(DataH!J$22,3,2)&amp;"BC","EQY_CONSOLIDATED",DataH!$D$18)*DataH!$D$23)</f>
        <v/>
      </c>
      <c r="V193" s="580" t="str">
        <f>IF($A193="","",_xll.BDP($A193&amp;" EQUITY",DataH!$C$23, "BEST_FPERIOD_OVERRIDE", MID(DataH!K$22, 3, 2)&amp;"BC", "EQY_CONSOLIDATED", DataH!$D$18)*DataH!$D$23)</f>
        <v/>
      </c>
      <c r="W193" s="581" t="str">
        <f>IF($A193="","",_xll.BDP($A193&amp;" EQUITY",DataH!$C$23, "BEST_FPERIOD_OVERRIDE", MID(DataH!L$22, 3, 2)&amp;"BC", "EQY_CONSOLIDATED", DataH!$D$18)*DataH!$D$23)</f>
        <v/>
      </c>
      <c r="X193" s="582" t="str">
        <f>IF($A193="","",_xll.BDP($A193&amp;" EQUITY",DataH!$C$23, "BEST_FPERIOD_OVERRIDE", MID(DataH!M$22, 3, 2)&amp;"BC", "EQY_CONSOLIDATED", DataH!$D$18)*DataH!$D$23)</f>
        <v/>
      </c>
      <c r="Y193" s="583" t="str">
        <f>IF($A193="","",_xll.BDP($A192&amp;" EQUITY",DataH!$C$23, "BEST_FPERIOD_OVERRIDE", MID(DataH!N$22, 3, 2)&amp;"BC", "EQY_CONSOLIDATED", DataH!$D$18)*DataH!$D$23)</f>
        <v/>
      </c>
      <c r="AC193" s="5" t="e">
        <f>IF(YEAR(_xll.BToday())-YEAR(_xll.BDP($A193 &amp;" EQUITY", "EQY_FISCAL_YR_END"))&gt;=2, YEAR(_xll.BToday())-1, YEAR(_xll.BToday()))</f>
        <v>#N/A</v>
      </c>
    </row>
    <row r="194" spans="1:29" ht="15" customHeight="1">
      <c r="A194" s="164" t="str">
        <f>IF(C194&lt;&gt;"", IF(ISNUMBER(FIND("EQUITY", UPPER(C194), 1)), _xll.BDP(C194, "TICKER_AND_EXCH_CODE"), C194), "")</f>
        <v/>
      </c>
      <c r="C194" s="589"/>
      <c r="D194" s="568"/>
      <c r="E194" s="763" t="str">
        <f>IF(A194="","",IF(Lang="English",_xll.BDP(A194&amp;" EQUITY","NAME"),IF(Lang="中文",_xll.BDP(A194&amp;" EQUITY","NAME_CHINESE_TRADITIONAL"),_xll.BDP(A194&amp;" EQUITY","NAME_KANJI"))))</f>
        <v/>
      </c>
      <c r="F194" s="764"/>
      <c r="G194" s="765"/>
      <c r="H194" s="763" t="str">
        <f>IF(A194="", "", _xll.BDP(A194 &amp; " EQUITY", "GICS_SUB_INDUSTRY_NAME"))</f>
        <v/>
      </c>
      <c r="I194" s="764"/>
      <c r="J194" s="765"/>
      <c r="K194" s="509" t="str">
        <f>IF($A194="", "", _xll.BDP($A194 &amp; " EQUITY", "CRNCY"))</f>
        <v/>
      </c>
      <c r="L194" s="276"/>
      <c r="M194" s="277" t="str">
        <f>IF(OR($A194="", ISERROR(_xll.BDP($A194 &amp; " EQUITY", "CRNCY_ADJ_MKT_CAP")*1)), "", _xll.BDP($A194 &amp; " EQUITY", "CRNCY_ADJ_MKT_CAP"))</f>
        <v/>
      </c>
      <c r="N194" s="278" t="str">
        <f>IF(OR($A194="", ISERROR(_xll.BDP($A194 &amp; " EQUITY", "CRNCY_ADJ_MKT_CAP", "EQY_FUND_CRNCY", CURRENCY)*1)), "", _xll.BDP($A194 &amp; " EQUITY", "CRNCY_ADJ_MKT_CAP", "EQY_FUND_CRNCY", CURRENCY))</f>
        <v/>
      </c>
      <c r="O194" s="146"/>
      <c r="P194" s="279" t="str">
        <f>IF($A194="","",_xll.BDP($A194 &amp;" EQUITY", "CUST_TRR_RETURN_HOLDING_PER", "CUST_TRR_START_DT", DataH!$F$22, "CUST_TRR_END_DT", DataH!$F$21, "CUST_TRR_CRNCY", CURRENCY)/100)</f>
        <v/>
      </c>
      <c r="Q194" s="102" t="str">
        <f>IF($A194="","",_xll.BDP($A194&amp;" EQUITY","CUST_TRR_RETURN_HOLDING_PER","CUST_TRR_START_DT",DataH!$G$22,"CUST_TRR_END_DT",DataH!$F$21,"CUST_TRR_CRNCY",CURRENCY)/100)</f>
        <v/>
      </c>
      <c r="R194" s="216"/>
      <c r="S194" s="280" t="str">
        <f>IF($A194="","",_xll.BDP($A194&amp;" EQUITY",DataH!$C$23, "BEST_FPERIOD_OVERRIDE", MID(DataH!H$22, 3, 2)&amp;"BC", "EQY_CONSOLIDATED", DataH!$D$18)*DataH!$D$23)</f>
        <v/>
      </c>
      <c r="T194" s="127" t="str">
        <f>IF($A194="","",_xll.BDP($A194&amp;" EQUITY",DataH!$C$23, "BEST_FPERIOD_OVERRIDE", MID(DataH!I$22, 3, 2)&amp;"BC", "EQY_CONSOLIDATED", DataH!$D$18)*DataH!$D$23)</f>
        <v/>
      </c>
      <c r="U194" s="127" t="str">
        <f>IF($A194="","",_xll.BDP($A194&amp;" EQUITY",DataH!$C$23,"BEST_FPERIOD_OVERRIDE",MID(DataH!J$22,3,2)&amp;"BC","EQY_CONSOLIDATED",DataH!$D$18)*DataH!$D$23)</f>
        <v/>
      </c>
      <c r="V194" s="127" t="str">
        <f>IF($A194="","",_xll.BDP($A194&amp;" EQUITY",DataH!$C$23, "BEST_FPERIOD_OVERRIDE", MID(DataH!K$22, 3, 2)&amp;"BC", "EQY_CONSOLIDATED", DataH!$D$18)*DataH!$D$23)</f>
        <v/>
      </c>
      <c r="W194" s="494" t="str">
        <f>IF($A194="","",_xll.BDP($A194&amp;" EQUITY",DataH!$C$23, "BEST_FPERIOD_OVERRIDE", MID(DataH!L$22, 3, 2)&amp;"BC", "EQY_CONSOLIDATED", DataH!$D$18)*DataH!$D$23)</f>
        <v/>
      </c>
      <c r="X194" s="256" t="str">
        <f>IF($A194="","",_xll.BDP($A194&amp;" EQUITY",DataH!$C$23, "BEST_FPERIOD_OVERRIDE", MID(DataH!M$22, 3, 2)&amp;"BC", "EQY_CONSOLIDATED", DataH!$D$18)*DataH!$D$23)</f>
        <v/>
      </c>
      <c r="Y194" s="257" t="str">
        <f>IF($A194="","",_xll.BDP($A193&amp;" EQUITY",DataH!$C$23, "BEST_FPERIOD_OVERRIDE", MID(DataH!N$22, 3, 2)&amp;"BC", "EQY_CONSOLIDATED", DataH!$D$18)*DataH!$D$23)</f>
        <v/>
      </c>
      <c r="AC194" s="5" t="e">
        <f>IF(YEAR(_xll.BToday())-YEAR(_xll.BDP($A194 &amp;" EQUITY", "EQY_FISCAL_YR_END"))&gt;=2, YEAR(_xll.BToday())-1, YEAR(_xll.BToday()))</f>
        <v>#N/A</v>
      </c>
    </row>
    <row r="195" spans="1:29" ht="15" customHeight="1">
      <c r="A195" s="164" t="str">
        <f>IF(C195&lt;&gt;"", IF(ISNUMBER(FIND("EQUITY", UPPER(C195), 1)), _xll.BDP(C195, "TICKER_AND_EXCH_CODE"), C195), "")</f>
        <v/>
      </c>
      <c r="C195" s="590"/>
      <c r="D195" s="571"/>
      <c r="E195" s="780" t="str">
        <f>IF(A195="","",IF(Lang="English",_xll.BDP(A195&amp;" EQUITY","NAME"),IF(Lang="中文",_xll.BDP(A195&amp;" EQUITY","NAME_CHINESE_TRADITIONAL"),_xll.BDP(A195&amp;" EQUITY","NAME_KANJI"))))</f>
        <v/>
      </c>
      <c r="F195" s="781"/>
      <c r="G195" s="782"/>
      <c r="H195" s="780" t="str">
        <f>IF(A195="", "", _xll.BDP(A195 &amp; " EQUITY", "GICS_SUB_INDUSTRY_NAME"))</f>
        <v/>
      </c>
      <c r="I195" s="781"/>
      <c r="J195" s="782"/>
      <c r="K195" s="572" t="str">
        <f>IF($A195="", "", _xll.BDP($A195 &amp; " EQUITY", "CRNCY"))</f>
        <v/>
      </c>
      <c r="L195" s="573"/>
      <c r="M195" s="574" t="str">
        <f>IF(OR($A195="", ISERROR(_xll.BDP($A195 &amp; " EQUITY", "CRNCY_ADJ_MKT_CAP")*1)), "", _xll.BDP($A195 &amp; " EQUITY", "CRNCY_ADJ_MKT_CAP"))</f>
        <v/>
      </c>
      <c r="N195" s="575" t="str">
        <f>IF(OR($A195="", ISERROR(_xll.BDP($A195 &amp; " EQUITY", "CRNCY_ADJ_MKT_CAP", "EQY_FUND_CRNCY", CURRENCY)*1)), "", _xll.BDP($A195 &amp; " EQUITY", "CRNCY_ADJ_MKT_CAP", "EQY_FUND_CRNCY", CURRENCY))</f>
        <v/>
      </c>
      <c r="O195" s="146"/>
      <c r="P195" s="576" t="str">
        <f>IF($A195="","",_xll.BDP($A195 &amp;" EQUITY", "CUST_TRR_RETURN_HOLDING_PER", "CUST_TRR_START_DT", DataH!$F$22, "CUST_TRR_END_DT", DataH!$F$21, "CUST_TRR_CRNCY", CURRENCY)/100)</f>
        <v/>
      </c>
      <c r="Q195" s="577" t="str">
        <f>IF($A195="","",_xll.BDP($A195&amp;" EQUITY","CUST_TRR_RETURN_HOLDING_PER","CUST_TRR_START_DT",DataH!$G$22,"CUST_TRR_END_DT",DataH!$F$21,"CUST_TRR_CRNCY",CURRENCY)/100)</f>
        <v/>
      </c>
      <c r="R195" s="578"/>
      <c r="S195" s="579" t="str">
        <f>IF($A195="","",_xll.BDP($A195&amp;" EQUITY",DataH!$C$23, "BEST_FPERIOD_OVERRIDE", MID(DataH!H$22, 3, 2)&amp;"BC", "EQY_CONSOLIDATED", DataH!$D$18)*DataH!$D$23)</f>
        <v/>
      </c>
      <c r="T195" s="580" t="str">
        <f>IF($A195="","",_xll.BDP($A195&amp;" EQUITY",DataH!$C$23, "BEST_FPERIOD_OVERRIDE", MID(DataH!I$22, 3, 2)&amp;"BC", "EQY_CONSOLIDATED", DataH!$D$18)*DataH!$D$23)</f>
        <v/>
      </c>
      <c r="U195" s="580" t="str">
        <f>IF($A195="","",_xll.BDP($A195&amp;" EQUITY",DataH!$C$23,"BEST_FPERIOD_OVERRIDE",MID(DataH!J$22,3,2)&amp;"BC","EQY_CONSOLIDATED",DataH!$D$18)*DataH!$D$23)</f>
        <v/>
      </c>
      <c r="V195" s="580" t="str">
        <f>IF($A195="","",_xll.BDP($A195&amp;" EQUITY",DataH!$C$23, "BEST_FPERIOD_OVERRIDE", MID(DataH!K$22, 3, 2)&amp;"BC", "EQY_CONSOLIDATED", DataH!$D$18)*DataH!$D$23)</f>
        <v/>
      </c>
      <c r="W195" s="581" t="str">
        <f>IF($A195="","",_xll.BDP($A195&amp;" EQUITY",DataH!$C$23, "BEST_FPERIOD_OVERRIDE", MID(DataH!L$22, 3, 2)&amp;"BC", "EQY_CONSOLIDATED", DataH!$D$18)*DataH!$D$23)</f>
        <v/>
      </c>
      <c r="X195" s="582" t="str">
        <f>IF($A195="","",_xll.BDP($A195&amp;" EQUITY",DataH!$C$23, "BEST_FPERIOD_OVERRIDE", MID(DataH!M$22, 3, 2)&amp;"BC", "EQY_CONSOLIDATED", DataH!$D$18)*DataH!$D$23)</f>
        <v/>
      </c>
      <c r="Y195" s="583" t="str">
        <f>IF($A195="","",_xll.BDP($A194&amp;" EQUITY",DataH!$C$23, "BEST_FPERIOD_OVERRIDE", MID(DataH!N$22, 3, 2)&amp;"BC", "EQY_CONSOLIDATED", DataH!$D$18)*DataH!$D$23)</f>
        <v/>
      </c>
      <c r="AC195" s="5" t="e">
        <f>IF(YEAR(_xll.BToday())-YEAR(_xll.BDP($A195 &amp;" EQUITY", "EQY_FISCAL_YR_END"))&gt;=2, YEAR(_xll.BToday())-1, YEAR(_xll.BToday()))</f>
        <v>#N/A</v>
      </c>
    </row>
    <row r="196" spans="1:29" ht="15" customHeight="1">
      <c r="A196" s="164" t="str">
        <f>IF(C196&lt;&gt;"", IF(ISNUMBER(FIND("EQUITY", UPPER(C196), 1)), _xll.BDP(C196, "TICKER_AND_EXCH_CODE"), C196), "")</f>
        <v/>
      </c>
      <c r="C196" s="589"/>
      <c r="D196" s="568"/>
      <c r="E196" s="763" t="str">
        <f>IF(A196="","",IF(Lang="English",_xll.BDP(A196&amp;" EQUITY","NAME"),IF(Lang="中文",_xll.BDP(A196&amp;" EQUITY","NAME_CHINESE_TRADITIONAL"),_xll.BDP(A196&amp;" EQUITY","NAME_KANJI"))))</f>
        <v/>
      </c>
      <c r="F196" s="764"/>
      <c r="G196" s="765"/>
      <c r="H196" s="763" t="str">
        <f>IF(A196="", "", _xll.BDP(A196 &amp; " EQUITY", "GICS_SUB_INDUSTRY_NAME"))</f>
        <v/>
      </c>
      <c r="I196" s="764"/>
      <c r="J196" s="765"/>
      <c r="K196" s="509" t="str">
        <f>IF($A196="", "", _xll.BDP($A196 &amp; " EQUITY", "CRNCY"))</f>
        <v/>
      </c>
      <c r="L196" s="276"/>
      <c r="M196" s="277" t="str">
        <f>IF(OR($A196="", ISERROR(_xll.BDP($A196 &amp; " EQUITY", "CRNCY_ADJ_MKT_CAP")*1)), "", _xll.BDP($A196 &amp; " EQUITY", "CRNCY_ADJ_MKT_CAP"))</f>
        <v/>
      </c>
      <c r="N196" s="278" t="str">
        <f>IF(OR($A196="", ISERROR(_xll.BDP($A196 &amp; " EQUITY", "CRNCY_ADJ_MKT_CAP", "EQY_FUND_CRNCY", CURRENCY)*1)), "", _xll.BDP($A196 &amp; " EQUITY", "CRNCY_ADJ_MKT_CAP", "EQY_FUND_CRNCY", CURRENCY))</f>
        <v/>
      </c>
      <c r="O196" s="146"/>
      <c r="P196" s="279" t="str">
        <f>IF($A196="","",_xll.BDP($A196 &amp;" EQUITY", "CUST_TRR_RETURN_HOLDING_PER", "CUST_TRR_START_DT", DataH!$F$22, "CUST_TRR_END_DT", DataH!$F$21, "CUST_TRR_CRNCY", CURRENCY)/100)</f>
        <v/>
      </c>
      <c r="Q196" s="102" t="str">
        <f>IF($A196="","",_xll.BDP($A196&amp;" EQUITY","CUST_TRR_RETURN_HOLDING_PER","CUST_TRR_START_DT",DataH!$G$22,"CUST_TRR_END_DT",DataH!$F$21,"CUST_TRR_CRNCY",CURRENCY)/100)</f>
        <v/>
      </c>
      <c r="R196" s="216"/>
      <c r="S196" s="280" t="str">
        <f>IF($A196="","",_xll.BDP($A196&amp;" EQUITY",DataH!$C$23, "BEST_FPERIOD_OVERRIDE", MID(DataH!H$22, 3, 2)&amp;"BC", "EQY_CONSOLIDATED", DataH!$D$18)*DataH!$D$23)</f>
        <v/>
      </c>
      <c r="T196" s="127" t="str">
        <f>IF($A196="","",_xll.BDP($A196&amp;" EQUITY",DataH!$C$23, "BEST_FPERIOD_OVERRIDE", MID(DataH!I$22, 3, 2)&amp;"BC", "EQY_CONSOLIDATED", DataH!$D$18)*DataH!$D$23)</f>
        <v/>
      </c>
      <c r="U196" s="127" t="str">
        <f>IF($A196="","",_xll.BDP($A196&amp;" EQUITY",DataH!$C$23,"BEST_FPERIOD_OVERRIDE",MID(DataH!J$22,3,2)&amp;"BC","EQY_CONSOLIDATED",DataH!$D$18)*DataH!$D$23)</f>
        <v/>
      </c>
      <c r="V196" s="127" t="str">
        <f>IF($A196="","",_xll.BDP($A196&amp;" EQUITY",DataH!$C$23, "BEST_FPERIOD_OVERRIDE", MID(DataH!K$22, 3, 2)&amp;"BC", "EQY_CONSOLIDATED", DataH!$D$18)*DataH!$D$23)</f>
        <v/>
      </c>
      <c r="W196" s="494" t="str">
        <f>IF($A196="","",_xll.BDP($A196&amp;" EQUITY",DataH!$C$23, "BEST_FPERIOD_OVERRIDE", MID(DataH!L$22, 3, 2)&amp;"BC", "EQY_CONSOLIDATED", DataH!$D$18)*DataH!$D$23)</f>
        <v/>
      </c>
      <c r="X196" s="256" t="str">
        <f>IF($A196="","",_xll.BDP($A196&amp;" EQUITY",DataH!$C$23, "BEST_FPERIOD_OVERRIDE", MID(DataH!M$22, 3, 2)&amp;"BC", "EQY_CONSOLIDATED", DataH!$D$18)*DataH!$D$23)</f>
        <v/>
      </c>
      <c r="Y196" s="257" t="str">
        <f>IF($A196="","",_xll.BDP($A195&amp;" EQUITY",DataH!$C$23, "BEST_FPERIOD_OVERRIDE", MID(DataH!N$22, 3, 2)&amp;"BC", "EQY_CONSOLIDATED", DataH!$D$18)*DataH!$D$23)</f>
        <v/>
      </c>
      <c r="AC196" s="5" t="e">
        <f>IF(YEAR(_xll.BToday())-YEAR(_xll.BDP($A196 &amp;" EQUITY", "EQY_FISCAL_YR_END"))&gt;=2, YEAR(_xll.BToday())-1, YEAR(_xll.BToday()))</f>
        <v>#N/A</v>
      </c>
    </row>
    <row r="197" spans="1:29" ht="15" customHeight="1">
      <c r="A197" s="164" t="str">
        <f>IF(C197&lt;&gt;"", IF(ISNUMBER(FIND("EQUITY", UPPER(C197), 1)), _xll.BDP(C197, "TICKER_AND_EXCH_CODE"), C197), "")</f>
        <v/>
      </c>
      <c r="C197" s="590"/>
      <c r="D197" s="571"/>
      <c r="E197" s="780" t="str">
        <f>IF(A197="","",IF(Lang="English",_xll.BDP(A197&amp;" EQUITY","NAME"),IF(Lang="中文",_xll.BDP(A197&amp;" EQUITY","NAME_CHINESE_TRADITIONAL"),_xll.BDP(A197&amp;" EQUITY","NAME_KANJI"))))</f>
        <v/>
      </c>
      <c r="F197" s="781"/>
      <c r="G197" s="782"/>
      <c r="H197" s="780" t="str">
        <f>IF(A197="", "", _xll.BDP(A197 &amp; " EQUITY", "GICS_SUB_INDUSTRY_NAME"))</f>
        <v/>
      </c>
      <c r="I197" s="781"/>
      <c r="J197" s="782"/>
      <c r="K197" s="572" t="str">
        <f>IF($A197="", "", _xll.BDP($A197 &amp; " EQUITY", "CRNCY"))</f>
        <v/>
      </c>
      <c r="L197" s="573"/>
      <c r="M197" s="574" t="str">
        <f>IF(OR($A197="", ISERROR(_xll.BDP($A197 &amp; " EQUITY", "CRNCY_ADJ_MKT_CAP")*1)), "", _xll.BDP($A197 &amp; " EQUITY", "CRNCY_ADJ_MKT_CAP"))</f>
        <v/>
      </c>
      <c r="N197" s="575" t="str">
        <f>IF(OR($A197="", ISERROR(_xll.BDP($A197 &amp; " EQUITY", "CRNCY_ADJ_MKT_CAP", "EQY_FUND_CRNCY", CURRENCY)*1)), "", _xll.BDP($A197 &amp; " EQUITY", "CRNCY_ADJ_MKT_CAP", "EQY_FUND_CRNCY", CURRENCY))</f>
        <v/>
      </c>
      <c r="O197" s="146"/>
      <c r="P197" s="576" t="str">
        <f>IF($A197="","",_xll.BDP($A197 &amp;" EQUITY", "CUST_TRR_RETURN_HOLDING_PER", "CUST_TRR_START_DT", DataH!$F$22, "CUST_TRR_END_DT", DataH!$F$21, "CUST_TRR_CRNCY", CURRENCY)/100)</f>
        <v/>
      </c>
      <c r="Q197" s="577" t="str">
        <f>IF($A197="","",_xll.BDP($A197&amp;" EQUITY","CUST_TRR_RETURN_HOLDING_PER","CUST_TRR_START_DT",DataH!$G$22,"CUST_TRR_END_DT",DataH!$F$21,"CUST_TRR_CRNCY",CURRENCY)/100)</f>
        <v/>
      </c>
      <c r="R197" s="578"/>
      <c r="S197" s="579" t="str">
        <f>IF($A197="","",_xll.BDP($A197&amp;" EQUITY",DataH!$C$23, "BEST_FPERIOD_OVERRIDE", MID(DataH!H$22, 3, 2)&amp;"BC", "EQY_CONSOLIDATED", DataH!$D$18)*DataH!$D$23)</f>
        <v/>
      </c>
      <c r="T197" s="580" t="str">
        <f>IF($A197="","",_xll.BDP($A197&amp;" EQUITY",DataH!$C$23, "BEST_FPERIOD_OVERRIDE", MID(DataH!I$22, 3, 2)&amp;"BC", "EQY_CONSOLIDATED", DataH!$D$18)*DataH!$D$23)</f>
        <v/>
      </c>
      <c r="U197" s="580" t="str">
        <f>IF($A197="","",_xll.BDP($A197&amp;" EQUITY",DataH!$C$23,"BEST_FPERIOD_OVERRIDE",MID(DataH!J$22,3,2)&amp;"BC","EQY_CONSOLIDATED",DataH!$D$18)*DataH!$D$23)</f>
        <v/>
      </c>
      <c r="V197" s="580" t="str">
        <f>IF($A197="","",_xll.BDP($A197&amp;" EQUITY",DataH!$C$23, "BEST_FPERIOD_OVERRIDE", MID(DataH!K$22, 3, 2)&amp;"BC", "EQY_CONSOLIDATED", DataH!$D$18)*DataH!$D$23)</f>
        <v/>
      </c>
      <c r="W197" s="581" t="str">
        <f>IF($A197="","",_xll.BDP($A197&amp;" EQUITY",DataH!$C$23, "BEST_FPERIOD_OVERRIDE", MID(DataH!L$22, 3, 2)&amp;"BC", "EQY_CONSOLIDATED", DataH!$D$18)*DataH!$D$23)</f>
        <v/>
      </c>
      <c r="X197" s="582" t="str">
        <f>IF($A197="","",_xll.BDP($A197&amp;" EQUITY",DataH!$C$23, "BEST_FPERIOD_OVERRIDE", MID(DataH!M$22, 3, 2)&amp;"BC", "EQY_CONSOLIDATED", DataH!$D$18)*DataH!$D$23)</f>
        <v/>
      </c>
      <c r="Y197" s="583" t="str">
        <f>IF($A197="","",_xll.BDP($A196&amp;" EQUITY",DataH!$C$23, "BEST_FPERIOD_OVERRIDE", MID(DataH!N$22, 3, 2)&amp;"BC", "EQY_CONSOLIDATED", DataH!$D$18)*DataH!$D$23)</f>
        <v/>
      </c>
      <c r="AC197" s="5" t="e">
        <f>IF(YEAR(_xll.BToday())-YEAR(_xll.BDP($A197 &amp;" EQUITY", "EQY_FISCAL_YR_END"))&gt;=2, YEAR(_xll.BToday())-1, YEAR(_xll.BToday()))</f>
        <v>#N/A</v>
      </c>
    </row>
    <row r="198" spans="1:29" ht="15" customHeight="1">
      <c r="A198" s="164" t="str">
        <f>IF(C198&lt;&gt;"", IF(ISNUMBER(FIND("EQUITY", UPPER(C198), 1)), _xll.BDP(C198, "TICKER_AND_EXCH_CODE"), C198), "")</f>
        <v/>
      </c>
      <c r="C198" s="592"/>
      <c r="D198" s="568"/>
      <c r="E198" s="763" t="str">
        <f>IF(A198="","",IF(Lang="English",_xll.BDP(A198&amp;" EQUITY","NAME"),IF(Lang="中文",_xll.BDP(A198&amp;" EQUITY","NAME_CHINESE_TRADITIONAL"),_xll.BDP(A198&amp;" EQUITY","NAME_KANJI"))))</f>
        <v/>
      </c>
      <c r="F198" s="764"/>
      <c r="G198" s="765"/>
      <c r="H198" s="763" t="str">
        <f>IF(A198="", "", _xll.BDP(A198 &amp; " EQUITY", "GICS_SUB_INDUSTRY_NAME"))</f>
        <v/>
      </c>
      <c r="I198" s="764"/>
      <c r="J198" s="765"/>
      <c r="K198" s="509" t="str">
        <f>IF($A198="", "", _xll.BDP($A198 &amp; " EQUITY", "CRNCY"))</f>
        <v/>
      </c>
      <c r="L198" s="276"/>
      <c r="M198" s="277" t="str">
        <f>IF(OR($A198="", ISERROR(_xll.BDP($A198 &amp; " EQUITY", "CRNCY_ADJ_MKT_CAP")*1)), "", _xll.BDP($A198 &amp; " EQUITY", "CRNCY_ADJ_MKT_CAP"))</f>
        <v/>
      </c>
      <c r="N198" s="278" t="str">
        <f>IF(OR($A198="", ISERROR(_xll.BDP($A198 &amp; " EQUITY", "CRNCY_ADJ_MKT_CAP", "EQY_FUND_CRNCY", CURRENCY)*1)), "", _xll.BDP($A198 &amp; " EQUITY", "CRNCY_ADJ_MKT_CAP", "EQY_FUND_CRNCY", CURRENCY))</f>
        <v/>
      </c>
      <c r="O198" s="146"/>
      <c r="P198" s="279" t="str">
        <f>IF($A198="","",_xll.BDP($A198 &amp;" EQUITY", "CUST_TRR_RETURN_HOLDING_PER", "CUST_TRR_START_DT", DataH!$F$22, "CUST_TRR_END_DT", DataH!$F$21, "CUST_TRR_CRNCY", CURRENCY)/100)</f>
        <v/>
      </c>
      <c r="Q198" s="102" t="str">
        <f>IF($A198="","",_xll.BDP($A198&amp;" EQUITY","CUST_TRR_RETURN_HOLDING_PER","CUST_TRR_START_DT",DataH!$G$22,"CUST_TRR_END_DT",DataH!$F$21,"CUST_TRR_CRNCY",CURRENCY)/100)</f>
        <v/>
      </c>
      <c r="R198" s="216"/>
      <c r="S198" s="280" t="str">
        <f>IF($A198="","",_xll.BDP($A198&amp;" EQUITY",DataH!$C$23, "BEST_FPERIOD_OVERRIDE", MID(DataH!H$22, 3, 2)&amp;"BC", "EQY_CONSOLIDATED", DataH!$D$18)*DataH!$D$23)</f>
        <v/>
      </c>
      <c r="T198" s="127" t="str">
        <f>IF($A198="","",_xll.BDP($A198&amp;" EQUITY",DataH!$C$23, "BEST_FPERIOD_OVERRIDE", MID(DataH!I$22, 3, 2)&amp;"BC", "EQY_CONSOLIDATED", DataH!$D$18)*DataH!$D$23)</f>
        <v/>
      </c>
      <c r="U198" s="127" t="str">
        <f>IF($A198="","",_xll.BDP($A198&amp;" EQUITY",DataH!$C$23,"BEST_FPERIOD_OVERRIDE",MID(DataH!J$22,3,2)&amp;"BC","EQY_CONSOLIDATED",DataH!$D$18)*DataH!$D$23)</f>
        <v/>
      </c>
      <c r="V198" s="127" t="str">
        <f>IF($A198="","",_xll.BDP($A198&amp;" EQUITY",DataH!$C$23, "BEST_FPERIOD_OVERRIDE", MID(DataH!K$22, 3, 2)&amp;"BC", "EQY_CONSOLIDATED", DataH!$D$18)*DataH!$D$23)</f>
        <v/>
      </c>
      <c r="W198" s="494" t="str">
        <f>IF($A198="","",_xll.BDP($A198&amp;" EQUITY",DataH!$C$23, "BEST_FPERIOD_OVERRIDE", MID(DataH!L$22, 3, 2)&amp;"BC", "EQY_CONSOLIDATED", DataH!$D$18)*DataH!$D$23)</f>
        <v/>
      </c>
      <c r="X198" s="256" t="str">
        <f>IF($A198="","",_xll.BDP($A198&amp;" EQUITY",DataH!$C$23, "BEST_FPERIOD_OVERRIDE", MID(DataH!M$22, 3, 2)&amp;"BC", "EQY_CONSOLIDATED", DataH!$D$18)*DataH!$D$23)</f>
        <v/>
      </c>
      <c r="Y198" s="257" t="str">
        <f>IF($A198="","",_xll.BDP($A197&amp;" EQUITY",DataH!$C$23, "BEST_FPERIOD_OVERRIDE", MID(DataH!N$22, 3, 2)&amp;"BC", "EQY_CONSOLIDATED", DataH!$D$18)*DataH!$D$23)</f>
        <v/>
      </c>
      <c r="AC198" s="5" t="e">
        <f>IF(YEAR(_xll.BToday())-YEAR(_xll.BDP($A198 &amp;" EQUITY", "EQY_FISCAL_YR_END"))&gt;=2, YEAR(_xll.BToday())-1, YEAR(_xll.BToday()))</f>
        <v>#N/A</v>
      </c>
    </row>
    <row r="199" spans="1:29" ht="15" customHeight="1">
      <c r="A199" s="164" t="str">
        <f>IF(C199&lt;&gt;"", IF(ISNUMBER(FIND("EQUITY", UPPER(C199), 1)), _xll.BDP(C199, "TICKER_AND_EXCH_CODE"), C199), "")</f>
        <v/>
      </c>
      <c r="C199" s="591"/>
      <c r="D199" s="569"/>
      <c r="E199" s="786" t="str">
        <f>IF(A199="","",IF(Lang="English",_xll.BDP(A199&amp;" EQUITY","NAME"),IF(Lang="中文",_xll.BDP(A199&amp;" EQUITY","NAME_CHINESE_TRADITIONAL"),_xll.BDP(A199&amp;" EQUITY","NAME_KANJI"))))</f>
        <v/>
      </c>
      <c r="F199" s="787"/>
      <c r="G199" s="788"/>
      <c r="H199" s="786" t="str">
        <f>IF(A199="", "", _xll.BDP(A199 &amp; " EQUITY", "GICS_SUB_INDUSTRY_NAME"))</f>
        <v/>
      </c>
      <c r="I199" s="787"/>
      <c r="J199" s="788"/>
      <c r="K199" s="511" t="str">
        <f>IF($A199="", "", _xll.BDP($A199 &amp; " EQUITY", "CRNCY"))</f>
        <v/>
      </c>
      <c r="L199" s="573"/>
      <c r="M199" s="290" t="str">
        <f>IF(OR($A199="", ISERROR(_xll.BDP($A199 &amp; " EQUITY", "CRNCY_ADJ_MKT_CAP")*1)), "", _xll.BDP($A199 &amp; " EQUITY", "CRNCY_ADJ_MKT_CAP"))</f>
        <v/>
      </c>
      <c r="N199" s="291" t="str">
        <f>IF(OR($A199="", ISERROR(_xll.BDP($A199 &amp; " EQUITY", "CRNCY_ADJ_MKT_CAP", "EQY_FUND_CRNCY", CURRENCY)*1)), "", _xll.BDP($A199 &amp; " EQUITY", "CRNCY_ADJ_MKT_CAP", "EQY_FUND_CRNCY", CURRENCY))</f>
        <v/>
      </c>
      <c r="O199" s="146"/>
      <c r="P199" s="292" t="str">
        <f>IF($A199="","",_xll.BDP($A199 &amp;" EQUITY", "CUST_TRR_RETURN_HOLDING_PER", "CUST_TRR_START_DT", DataH!$F$22, "CUST_TRR_END_DT", DataH!$F$21, "CUST_TRR_CRNCY", CURRENCY)/100)</f>
        <v/>
      </c>
      <c r="Q199" s="293" t="str">
        <f>IF($A199="","",_xll.BDP($A199&amp;" EQUITY","CUST_TRR_RETURN_HOLDING_PER","CUST_TRR_START_DT",DataH!$G$22,"CUST_TRR_END_DT",DataH!$F$21,"CUST_TRR_CRNCY",CURRENCY)/100)</f>
        <v/>
      </c>
      <c r="R199" s="578"/>
      <c r="S199" s="294" t="str">
        <f>IF($A199="","",_xll.BDP($A199&amp;" EQUITY",DataH!$C$23, "BEST_FPERIOD_OVERRIDE", MID(DataH!H$22, 3, 2)&amp;"BC", "EQY_CONSOLIDATED", DataH!$D$18)*DataH!$D$23)</f>
        <v/>
      </c>
      <c r="T199" s="295" t="str">
        <f>IF($A199="","",_xll.BDP($A199&amp;" EQUITY",DataH!$C$23, "BEST_FPERIOD_OVERRIDE", MID(DataH!I$22, 3, 2)&amp;"BC", "EQY_CONSOLIDATED", DataH!$D$18)*DataH!$D$23)</f>
        <v/>
      </c>
      <c r="U199" s="295" t="str">
        <f>IF($A199="","",_xll.BDP($A199&amp;" EQUITY",DataH!$C$23,"BEST_FPERIOD_OVERRIDE",MID(DataH!J$22,3,2)&amp;"BC","EQY_CONSOLIDATED",DataH!$D$18)*DataH!$D$23)</f>
        <v/>
      </c>
      <c r="V199" s="295" t="str">
        <f>IF($A199="","",_xll.BDP($A199&amp;" EQUITY",DataH!$C$23, "BEST_FPERIOD_OVERRIDE", MID(DataH!K$22, 3, 2)&amp;"BC", "EQY_CONSOLIDATED", DataH!$D$18)*DataH!$D$23)</f>
        <v/>
      </c>
      <c r="W199" s="495" t="str">
        <f>IF($A199="","",_xll.BDP($A199&amp;" EQUITY",DataH!$C$23, "BEST_FPERIOD_OVERRIDE", MID(DataH!L$22, 3, 2)&amp;"BC", "EQY_CONSOLIDATED", DataH!$D$18)*DataH!$D$23)</f>
        <v/>
      </c>
      <c r="X199" s="265" t="str">
        <f>IF($A199="","",_xll.BDP($A199&amp;" EQUITY",DataH!$C$23, "BEST_FPERIOD_OVERRIDE", MID(DataH!M$22, 3, 2)&amp;"BC", "EQY_CONSOLIDATED", DataH!$D$18)*DataH!$D$23)</f>
        <v/>
      </c>
      <c r="Y199" s="266" t="str">
        <f>IF($A199="","",_xll.BDP($A198&amp;" EQUITY",DataH!$C$23, "BEST_FPERIOD_OVERRIDE", MID(DataH!N$22, 3, 2)&amp;"BC", "EQY_CONSOLIDATED", DataH!$D$18)*DataH!$D$23)</f>
        <v/>
      </c>
      <c r="AC199" s="5" t="e">
        <f>IF(YEAR(_xll.BToday())-YEAR(_xll.BDP($A199 &amp;" EQUITY", "EQY_FISCAL_YR_END"))&gt;=2, YEAR(_xll.BToday())-1, YEAR(_xll.BToday()))</f>
        <v>#N/A</v>
      </c>
    </row>
  </sheetData>
  <mergeCells count="376">
    <mergeCell ref="E198:G198"/>
    <mergeCell ref="H198:J198"/>
    <mergeCell ref="E199:G199"/>
    <mergeCell ref="H199:J199"/>
    <mergeCell ref="E193:G193"/>
    <mergeCell ref="H193:J193"/>
    <mergeCell ref="E194:G194"/>
    <mergeCell ref="H194:J194"/>
    <mergeCell ref="E195:G195"/>
    <mergeCell ref="H195:J195"/>
    <mergeCell ref="E196:G196"/>
    <mergeCell ref="H196:J196"/>
    <mergeCell ref="E197:G197"/>
    <mergeCell ref="H197:J197"/>
    <mergeCell ref="E188:G188"/>
    <mergeCell ref="H188:J188"/>
    <mergeCell ref="E189:G189"/>
    <mergeCell ref="H189:J189"/>
    <mergeCell ref="E190:G190"/>
    <mergeCell ref="H190:J190"/>
    <mergeCell ref="E191:G191"/>
    <mergeCell ref="H191:J191"/>
    <mergeCell ref="E192:G192"/>
    <mergeCell ref="H192:J192"/>
    <mergeCell ref="E183:G183"/>
    <mergeCell ref="H183:J183"/>
    <mergeCell ref="E184:G184"/>
    <mergeCell ref="H184:J184"/>
    <mergeCell ref="E185:G185"/>
    <mergeCell ref="H185:J185"/>
    <mergeCell ref="E186:G186"/>
    <mergeCell ref="H186:J186"/>
    <mergeCell ref="E187:G187"/>
    <mergeCell ref="H187:J187"/>
    <mergeCell ref="E178:G178"/>
    <mergeCell ref="H178:J178"/>
    <mergeCell ref="E179:G179"/>
    <mergeCell ref="H179:J179"/>
    <mergeCell ref="E180:G180"/>
    <mergeCell ref="H180:J180"/>
    <mergeCell ref="E181:G181"/>
    <mergeCell ref="H181:J181"/>
    <mergeCell ref="E182:G182"/>
    <mergeCell ref="H182:J182"/>
    <mergeCell ref="E173:G173"/>
    <mergeCell ref="H173:J173"/>
    <mergeCell ref="E174:G174"/>
    <mergeCell ref="H174:J174"/>
    <mergeCell ref="E175:G175"/>
    <mergeCell ref="H175:J175"/>
    <mergeCell ref="E176:G176"/>
    <mergeCell ref="H176:J176"/>
    <mergeCell ref="E177:G177"/>
    <mergeCell ref="H177:J177"/>
    <mergeCell ref="E168:G168"/>
    <mergeCell ref="H168:J168"/>
    <mergeCell ref="E169:G169"/>
    <mergeCell ref="H169:J169"/>
    <mergeCell ref="E170:G170"/>
    <mergeCell ref="H170:J170"/>
    <mergeCell ref="E171:G171"/>
    <mergeCell ref="H171:J171"/>
    <mergeCell ref="E172:G172"/>
    <mergeCell ref="H172:J172"/>
    <mergeCell ref="E163:G163"/>
    <mergeCell ref="H163:J163"/>
    <mergeCell ref="E164:G164"/>
    <mergeCell ref="H164:J164"/>
    <mergeCell ref="E165:G165"/>
    <mergeCell ref="H165:J165"/>
    <mergeCell ref="E166:G166"/>
    <mergeCell ref="H166:J166"/>
    <mergeCell ref="E167:G167"/>
    <mergeCell ref="H167:J167"/>
    <mergeCell ref="E158:G158"/>
    <mergeCell ref="H158:J158"/>
    <mergeCell ref="E159:G159"/>
    <mergeCell ref="H159:J159"/>
    <mergeCell ref="E160:G160"/>
    <mergeCell ref="H160:J160"/>
    <mergeCell ref="E161:G161"/>
    <mergeCell ref="H161:J161"/>
    <mergeCell ref="E162:G162"/>
    <mergeCell ref="H162:J162"/>
    <mergeCell ref="E153:G153"/>
    <mergeCell ref="H153:J153"/>
    <mergeCell ref="E154:G154"/>
    <mergeCell ref="H154:J154"/>
    <mergeCell ref="E155:G155"/>
    <mergeCell ref="H155:J155"/>
    <mergeCell ref="E156:G156"/>
    <mergeCell ref="H156:J156"/>
    <mergeCell ref="E157:G157"/>
    <mergeCell ref="H157:J157"/>
    <mergeCell ref="E148:G148"/>
    <mergeCell ref="H148:J148"/>
    <mergeCell ref="E149:G149"/>
    <mergeCell ref="H149:J149"/>
    <mergeCell ref="E150:G150"/>
    <mergeCell ref="H150:J150"/>
    <mergeCell ref="E151:G151"/>
    <mergeCell ref="H151:J151"/>
    <mergeCell ref="E152:G152"/>
    <mergeCell ref="H152:J152"/>
    <mergeCell ref="E143:G143"/>
    <mergeCell ref="H143:J143"/>
    <mergeCell ref="E144:G144"/>
    <mergeCell ref="H144:J144"/>
    <mergeCell ref="E145:G145"/>
    <mergeCell ref="H145:J145"/>
    <mergeCell ref="E146:G146"/>
    <mergeCell ref="H146:J146"/>
    <mergeCell ref="E147:G147"/>
    <mergeCell ref="H147:J147"/>
    <mergeCell ref="E138:G138"/>
    <mergeCell ref="H138:J138"/>
    <mergeCell ref="E139:G139"/>
    <mergeCell ref="H139:J139"/>
    <mergeCell ref="E140:G140"/>
    <mergeCell ref="H140:J140"/>
    <mergeCell ref="E141:G141"/>
    <mergeCell ref="H141:J141"/>
    <mergeCell ref="E142:G142"/>
    <mergeCell ref="H142:J142"/>
    <mergeCell ref="E133:G133"/>
    <mergeCell ref="H133:J133"/>
    <mergeCell ref="E134:G134"/>
    <mergeCell ref="H134:J134"/>
    <mergeCell ref="E135:G135"/>
    <mergeCell ref="H135:J135"/>
    <mergeCell ref="E136:G136"/>
    <mergeCell ref="H136:J136"/>
    <mergeCell ref="E137:G137"/>
    <mergeCell ref="H137:J137"/>
    <mergeCell ref="E128:G128"/>
    <mergeCell ref="H128:J128"/>
    <mergeCell ref="E129:G129"/>
    <mergeCell ref="H129:J129"/>
    <mergeCell ref="E130:G130"/>
    <mergeCell ref="H130:J130"/>
    <mergeCell ref="E131:G131"/>
    <mergeCell ref="H131:J131"/>
    <mergeCell ref="E132:G132"/>
    <mergeCell ref="H132:J132"/>
    <mergeCell ref="E123:G123"/>
    <mergeCell ref="H123:J123"/>
    <mergeCell ref="E124:G124"/>
    <mergeCell ref="H124:J124"/>
    <mergeCell ref="E125:G125"/>
    <mergeCell ref="H125:J125"/>
    <mergeCell ref="E126:G126"/>
    <mergeCell ref="H126:J126"/>
    <mergeCell ref="E127:G127"/>
    <mergeCell ref="H127:J127"/>
    <mergeCell ref="E118:G118"/>
    <mergeCell ref="H118:J118"/>
    <mergeCell ref="E119:G119"/>
    <mergeCell ref="H119:J119"/>
    <mergeCell ref="E120:G120"/>
    <mergeCell ref="H120:J120"/>
    <mergeCell ref="E121:G121"/>
    <mergeCell ref="H121:J121"/>
    <mergeCell ref="E122:G122"/>
    <mergeCell ref="H122:J122"/>
    <mergeCell ref="E113:G113"/>
    <mergeCell ref="H113:J113"/>
    <mergeCell ref="E114:G114"/>
    <mergeCell ref="H114:J114"/>
    <mergeCell ref="E115:G115"/>
    <mergeCell ref="H115:J115"/>
    <mergeCell ref="E116:G116"/>
    <mergeCell ref="H116:J116"/>
    <mergeCell ref="E117:G117"/>
    <mergeCell ref="H117:J117"/>
    <mergeCell ref="E108:G108"/>
    <mergeCell ref="H108:J108"/>
    <mergeCell ref="E109:G109"/>
    <mergeCell ref="H109:J109"/>
    <mergeCell ref="E110:G110"/>
    <mergeCell ref="H110:J110"/>
    <mergeCell ref="E111:G111"/>
    <mergeCell ref="H111:J111"/>
    <mergeCell ref="E112:G112"/>
    <mergeCell ref="H112:J112"/>
    <mergeCell ref="E103:G103"/>
    <mergeCell ref="H103:J103"/>
    <mergeCell ref="E104:G104"/>
    <mergeCell ref="H104:J104"/>
    <mergeCell ref="E105:G105"/>
    <mergeCell ref="H105:J105"/>
    <mergeCell ref="E106:G106"/>
    <mergeCell ref="H106:J106"/>
    <mergeCell ref="E107:G107"/>
    <mergeCell ref="H107:J107"/>
    <mergeCell ref="E98:G98"/>
    <mergeCell ref="H98:J98"/>
    <mergeCell ref="E99:G99"/>
    <mergeCell ref="H99:J99"/>
    <mergeCell ref="E100:G100"/>
    <mergeCell ref="H100:J100"/>
    <mergeCell ref="E101:G101"/>
    <mergeCell ref="H101:J101"/>
    <mergeCell ref="E102:G102"/>
    <mergeCell ref="H102:J102"/>
    <mergeCell ref="E93:G93"/>
    <mergeCell ref="H93:J93"/>
    <mergeCell ref="E94:G94"/>
    <mergeCell ref="H94:J94"/>
    <mergeCell ref="E95:G95"/>
    <mergeCell ref="H95:J95"/>
    <mergeCell ref="E96:G96"/>
    <mergeCell ref="H96:J96"/>
    <mergeCell ref="E97:G97"/>
    <mergeCell ref="H97:J97"/>
    <mergeCell ref="E88:G88"/>
    <mergeCell ref="H88:J88"/>
    <mergeCell ref="E89:G89"/>
    <mergeCell ref="H89:J89"/>
    <mergeCell ref="E90:G90"/>
    <mergeCell ref="H90:J90"/>
    <mergeCell ref="E91:G91"/>
    <mergeCell ref="H91:J91"/>
    <mergeCell ref="E92:G92"/>
    <mergeCell ref="H92:J92"/>
    <mergeCell ref="E83:G83"/>
    <mergeCell ref="H83:J83"/>
    <mergeCell ref="E84:G84"/>
    <mergeCell ref="H84:J84"/>
    <mergeCell ref="E85:G85"/>
    <mergeCell ref="H85:J85"/>
    <mergeCell ref="E86:G86"/>
    <mergeCell ref="H86:J86"/>
    <mergeCell ref="E87:G87"/>
    <mergeCell ref="H87:J87"/>
    <mergeCell ref="E78:G78"/>
    <mergeCell ref="H78:J78"/>
    <mergeCell ref="E79:G79"/>
    <mergeCell ref="H79:J79"/>
    <mergeCell ref="E80:G80"/>
    <mergeCell ref="H80:J80"/>
    <mergeCell ref="E81:G81"/>
    <mergeCell ref="H81:J81"/>
    <mergeCell ref="E82:G82"/>
    <mergeCell ref="H82:J82"/>
    <mergeCell ref="E73:G73"/>
    <mergeCell ref="H73:J73"/>
    <mergeCell ref="E74:G74"/>
    <mergeCell ref="H74:J74"/>
    <mergeCell ref="E75:G75"/>
    <mergeCell ref="H75:J75"/>
    <mergeCell ref="E76:G76"/>
    <mergeCell ref="H76:J76"/>
    <mergeCell ref="E77:G77"/>
    <mergeCell ref="H77:J77"/>
    <mergeCell ref="E68:G68"/>
    <mergeCell ref="H68:J68"/>
    <mergeCell ref="E69:G69"/>
    <mergeCell ref="H69:J69"/>
    <mergeCell ref="E70:G70"/>
    <mergeCell ref="H70:J70"/>
    <mergeCell ref="E71:G71"/>
    <mergeCell ref="H71:J71"/>
    <mergeCell ref="E72:G72"/>
    <mergeCell ref="H72:J72"/>
    <mergeCell ref="E63:G63"/>
    <mergeCell ref="H63:J63"/>
    <mergeCell ref="E64:G64"/>
    <mergeCell ref="H64:J64"/>
    <mergeCell ref="E65:G65"/>
    <mergeCell ref="H65:J65"/>
    <mergeCell ref="E66:G66"/>
    <mergeCell ref="H66:J66"/>
    <mergeCell ref="E67:G67"/>
    <mergeCell ref="H67:J67"/>
    <mergeCell ref="E58:G58"/>
    <mergeCell ref="H58:J58"/>
    <mergeCell ref="E59:G59"/>
    <mergeCell ref="H59:J59"/>
    <mergeCell ref="E60:G60"/>
    <mergeCell ref="H60:J60"/>
    <mergeCell ref="E61:G61"/>
    <mergeCell ref="H61:J61"/>
    <mergeCell ref="E62:G62"/>
    <mergeCell ref="H62:J62"/>
    <mergeCell ref="E53:G53"/>
    <mergeCell ref="H53:J53"/>
    <mergeCell ref="E54:G54"/>
    <mergeCell ref="H54:J54"/>
    <mergeCell ref="E55:G55"/>
    <mergeCell ref="H55:J55"/>
    <mergeCell ref="E56:G56"/>
    <mergeCell ref="H56:J56"/>
    <mergeCell ref="E57:G57"/>
    <mergeCell ref="H57:J57"/>
    <mergeCell ref="E48:G48"/>
    <mergeCell ref="H48:J48"/>
    <mergeCell ref="E49:G49"/>
    <mergeCell ref="H49:J49"/>
    <mergeCell ref="E50:G50"/>
    <mergeCell ref="H50:J50"/>
    <mergeCell ref="E51:G51"/>
    <mergeCell ref="H51:J51"/>
    <mergeCell ref="E52:G52"/>
    <mergeCell ref="H52:J52"/>
    <mergeCell ref="M7:Q7"/>
    <mergeCell ref="H41:J41"/>
    <mergeCell ref="H42:J42"/>
    <mergeCell ref="H43:J43"/>
    <mergeCell ref="H44:J44"/>
    <mergeCell ref="H45:J45"/>
    <mergeCell ref="H46:J46"/>
    <mergeCell ref="H35:J35"/>
    <mergeCell ref="H36:J36"/>
    <mergeCell ref="E10:K11"/>
    <mergeCell ref="H24:J24"/>
    <mergeCell ref="H25:J25"/>
    <mergeCell ref="H26:J26"/>
    <mergeCell ref="E44:G44"/>
    <mergeCell ref="E45:G45"/>
    <mergeCell ref="E46:G46"/>
    <mergeCell ref="E35:G35"/>
    <mergeCell ref="E36:G36"/>
    <mergeCell ref="E37:G37"/>
    <mergeCell ref="E28:G28"/>
    <mergeCell ref="E29:G29"/>
    <mergeCell ref="E30:G30"/>
    <mergeCell ref="E31:G31"/>
    <mergeCell ref="E33:G33"/>
    <mergeCell ref="E47:G47"/>
    <mergeCell ref="H17:J17"/>
    <mergeCell ref="H18:J18"/>
    <mergeCell ref="H19:J19"/>
    <mergeCell ref="H20:J20"/>
    <mergeCell ref="H21:J21"/>
    <mergeCell ref="H40:J40"/>
    <mergeCell ref="H29:J29"/>
    <mergeCell ref="H30:J30"/>
    <mergeCell ref="H31:J31"/>
    <mergeCell ref="H32:J32"/>
    <mergeCell ref="H33:J33"/>
    <mergeCell ref="H34:J34"/>
    <mergeCell ref="H27:J27"/>
    <mergeCell ref="H28:J28"/>
    <mergeCell ref="H23:J23"/>
    <mergeCell ref="H37:J37"/>
    <mergeCell ref="H38:J38"/>
    <mergeCell ref="H39:J39"/>
    <mergeCell ref="H47:J47"/>
    <mergeCell ref="H22:J22"/>
    <mergeCell ref="E21:G21"/>
    <mergeCell ref="E22:G22"/>
    <mergeCell ref="E32:G32"/>
    <mergeCell ref="H13:J15"/>
    <mergeCell ref="U9:V9"/>
    <mergeCell ref="S10:Y10"/>
    <mergeCell ref="P9:Q9"/>
    <mergeCell ref="M9:N9"/>
    <mergeCell ref="K13:K15"/>
    <mergeCell ref="E42:G42"/>
    <mergeCell ref="E43:G43"/>
    <mergeCell ref="E38:G38"/>
    <mergeCell ref="E39:G39"/>
    <mergeCell ref="E40:G40"/>
    <mergeCell ref="E41:G41"/>
    <mergeCell ref="C13:D15"/>
    <mergeCell ref="E13:G15"/>
    <mergeCell ref="E17:G17"/>
    <mergeCell ref="E18:G18"/>
    <mergeCell ref="E19:G19"/>
    <mergeCell ref="E34:G34"/>
    <mergeCell ref="E23:G23"/>
    <mergeCell ref="E24:G24"/>
    <mergeCell ref="E25:G25"/>
    <mergeCell ref="E26:G26"/>
    <mergeCell ref="E27:G27"/>
    <mergeCell ref="E20:G20"/>
  </mergeCells>
  <phoneticPr fontId="16" type="noConversion"/>
  <conditionalFormatting sqref="S35:Y35 S17:V34 S36:V47">
    <cfRule type="expression" dxfId="8" priority="6" stopIfTrue="1">
      <formula>S$11&gt;=$AC17</formula>
    </cfRule>
  </conditionalFormatting>
  <conditionalFormatting sqref="W68:Y199">
    <cfRule type="expression" dxfId="7" priority="5" stopIfTrue="1">
      <formula>W$11&gt;=$AC68</formula>
    </cfRule>
  </conditionalFormatting>
  <conditionalFormatting sqref="W37:Y37 W39:Y39 W41:Y41 W43:Y43 W45:Y45 W47:Y47">
    <cfRule type="expression" dxfId="6" priority="2" stopIfTrue="1">
      <formula>W$11&gt;=$AC37</formula>
    </cfRule>
  </conditionalFormatting>
  <conditionalFormatting sqref="W49:Y49 W51:Y51 W53:Y53 W55:Y55 W57:Y57 W59:Y59 W61:Y61 W63:Y63 W65:Y65 W67:Y67">
    <cfRule type="expression" dxfId="5" priority="1" stopIfTrue="1">
      <formula>W$11&gt;=$AC49</formula>
    </cfRule>
  </conditionalFormatting>
  <conditionalFormatting sqref="S48:V199">
    <cfRule type="expression" dxfId="4" priority="3" stopIfTrue="1">
      <formula>S$11&gt;=$AC48</formula>
    </cfRule>
  </conditionalFormatting>
  <dataValidations count="2">
    <dataValidation type="list" allowBlank="1" showInputMessage="1" showErrorMessage="1" sqref="AA9:AB9">
      <formula1>#REF!</formula1>
    </dataValidation>
    <dataValidation type="list" allowBlank="1" showInputMessage="1" showErrorMessage="1" sqref="U9:V9">
      <formula1>newPeersRatio</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33" r:id="rId4" name="Option Button 61">
              <controlPr defaultSize="0" autoFill="0" autoLine="0" autoPict="0" macro="[0]!Bloomberg_Peers">
                <anchor moveWithCells="1">
                  <from>
                    <xdr:col>2</xdr:col>
                    <xdr:colOff>9525</xdr:colOff>
                    <xdr:row>8</xdr:row>
                    <xdr:rowOff>161925</xdr:rowOff>
                  </from>
                  <to>
                    <xdr:col>2</xdr:col>
                    <xdr:colOff>1162050</xdr:colOff>
                    <xdr:row>9</xdr:row>
                    <xdr:rowOff>161925</xdr:rowOff>
                  </to>
                </anchor>
              </controlPr>
            </control>
          </mc:Choice>
        </mc:AlternateContent>
        <mc:AlternateContent xmlns:mc="http://schemas.openxmlformats.org/markup-compatibility/2006">
          <mc:Choice Requires="x14">
            <control shapeId="3134" r:id="rId5" name="Option Button 62">
              <controlPr defaultSize="0" autoFill="0" autoLine="0" autoPict="0" macro="[0]!My_Peers">
                <anchor moveWithCells="1">
                  <from>
                    <xdr:col>2</xdr:col>
                    <xdr:colOff>9525</xdr:colOff>
                    <xdr:row>10</xdr:row>
                    <xdr:rowOff>0</xdr:rowOff>
                  </from>
                  <to>
                    <xdr:col>2</xdr:col>
                    <xdr:colOff>1162050</xdr:colOff>
                    <xdr:row>10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ces"/>
  <dimension ref="B1:BI1252"/>
  <sheetViews>
    <sheetView showGridLines="0" showRowColHeaders="0" zoomScaleNormal="100" workbookViewId="0">
      <pane ySplit="5" topLeftCell="A6" activePane="bottomLeft" state="frozen"/>
      <selection pane="bottomLeft" activeCell="D9" sqref="D9:E9"/>
    </sheetView>
  </sheetViews>
  <sheetFormatPr defaultRowHeight="15" customHeight="1"/>
  <cols>
    <col min="1" max="1" width="1.7109375" style="5" customWidth="1"/>
    <col min="2" max="2" width="9.140625" style="5" customWidth="1"/>
    <col min="3" max="3" width="9.140625" style="4" customWidth="1"/>
    <col min="4" max="4" width="9.140625" style="296" customWidth="1"/>
    <col min="5" max="5" width="9.140625" style="5" customWidth="1"/>
    <col min="6" max="6" width="10.85546875" style="5" customWidth="1"/>
    <col min="7" max="7" width="1.7109375" style="5" customWidth="1"/>
    <col min="8" max="14" width="9.140625" style="5" customWidth="1"/>
    <col min="15" max="15" width="1.7109375" style="5" customWidth="1"/>
    <col min="16" max="16" width="11.5703125" style="39" customWidth="1"/>
    <col min="17" max="17" width="9.140625" style="5"/>
    <col min="18" max="18" width="10.28515625" style="5" customWidth="1"/>
    <col min="19" max="19" width="9.140625" style="5"/>
    <col min="20" max="20" width="1.7109375" style="5" customWidth="1"/>
    <col min="21" max="21" width="11.5703125" style="297" customWidth="1"/>
    <col min="22" max="23" width="9.140625" style="5" customWidth="1"/>
    <col min="24" max="25" width="9.140625" style="5"/>
    <col min="26" max="26" width="9.140625" style="298" customWidth="1"/>
    <col min="27" max="27" width="9.140625" style="5" customWidth="1"/>
    <col min="28" max="28" width="1.7109375" style="5" customWidth="1"/>
    <col min="29" max="29" width="11.85546875" style="297" customWidth="1"/>
    <col min="30" max="30" width="9.140625" style="5" customWidth="1"/>
    <col min="31" max="31" width="1.7109375" style="5" customWidth="1"/>
    <col min="32" max="61" width="10.7109375" style="5" customWidth="1"/>
    <col min="62" max="16384" width="9.140625" style="5"/>
  </cols>
  <sheetData>
    <row r="1" spans="2:61" ht="5.0999999999999996" customHeight="1"/>
    <row r="5" spans="2:61" ht="5.0999999999999996" customHeight="1"/>
    <row r="6" spans="2:61" ht="5.0999999999999996" customHeight="1">
      <c r="S6" s="299"/>
      <c r="U6" s="300"/>
      <c r="AA6" s="301"/>
      <c r="AB6" s="301"/>
      <c r="AF6" s="793" t="str">
        <f>IF(AF$9="","",IF(Lang="English",_xll.BDP(AF$9&amp;" EQUITY","NAME"),IF(Lang="中文",_xll.BDP(AF$9&amp;" Equity","NAME_CHINESE_TRADITIONAL"),_xll.BDP(AF$9&amp;" EQUITY","NAME_KANJI"))))</f>
        <v>SAMSUNG ELECTRONICS CO LTD</v>
      </c>
      <c r="AG6" s="790" t="str">
        <f>IF(AG$9="","",IF(Lang="English",_xll.BDP(AG$9&amp;" EQUITY","NAME"),IF(Lang="中文",_xll.BDP(AG$9&amp;" Equity","NAME_CHINESE_TRADITIONAL"),_xll.BDP(AG$9&amp;" EQUITY","NAME_KANJI"))))</f>
        <v>BLACKBERRY LTD</v>
      </c>
      <c r="AH6" s="790" t="str">
        <f>IF(AH$9="","",IF(Lang="English",_xll.BDP(AH$9&amp;" EQUITY","NAME"),IF(Lang="中文",_xll.BDP(AH$9&amp;" Equity","NAME_CHINESE_TRADITIONAL"),_xll.BDP(AH$9&amp;" EQUITY","NAME_KANJI"))))</f>
        <v>SONY CORP</v>
      </c>
      <c r="AI6" s="790" t="str">
        <f>IF(AI$9="","",IF(Lang="English",_xll.BDP(AI$9&amp;" EQUITY","NAME"),IF(Lang="中文",_xll.BDP(AI$9&amp;" Equity","NAME_CHINESE_TRADITIONAL"),_xll.BDP(AI$9&amp;" EQUITY","NAME_KANJI"))))</f>
        <v>LG ELECTRONICS INC</v>
      </c>
      <c r="AJ6" s="790" t="str">
        <f>IF(AJ$9="","",IF(Lang="English",_xll.BDP(AJ$9&amp;" EQUITY","NAME"),IF(Lang="中文",_xll.BDP(AJ$9&amp;" Equity","NAME_CHINESE_TRADITIONAL"),_xll.BDP(AJ$9&amp;" EQUITY","NAME_KANJI"))))</f>
        <v>HEWLETT-PACKARD CO</v>
      </c>
      <c r="AK6" s="790" t="str">
        <f>IF(AK$9="","",IF(Lang="English",_xll.BDP(AK$9&amp;" EQUITY","NAME"),IF(Lang="中文",_xll.BDP(AK$9&amp;" Equity","NAME_CHINESE_TRADITIONAL"),_xll.BDP(AK$9&amp;" EQUITY","NAME_KANJI"))))</f>
        <v>CISCO SYSTEMS INC</v>
      </c>
      <c r="AL6" s="790" t="str">
        <f>IF(AL$9="","",IF(Lang="English",_xll.BDP(AL$9&amp;" EQUITY","NAME"),IF(Lang="中文",_xll.BDP(AL$9&amp;" Equity","NAME_CHINESE_TRADITIONAL"),_xll.BDP(AL$9&amp;" EQUITY","NAME_KANJI"))))</f>
        <v>ALCATEL-LUCENT</v>
      </c>
      <c r="AM6" s="790" t="str">
        <f>IF(AM$9="","",IF(Lang="English",_xll.BDP(AM$9&amp;" EQUITY","NAME"),IF(Lang="中文",_xll.BDP(AM$9&amp;" Equity","NAME_CHINESE_TRADITIONAL"),_xll.BDP(AM$9&amp;" EQUITY","NAME_KANJI"))))</f>
        <v>ERICSSON LM-B SHS</v>
      </c>
      <c r="AN6" s="790" t="str">
        <f>IF(AN$9="","",IF(Lang="English",_xll.BDP(AN$9&amp;" EQUITY","NAME"),IF(Lang="中文",_xll.BDP(AN$9&amp;" Equity","NAME_CHINESE_TRADITIONAL"),_xll.BDP(AN$9&amp;" EQUITY","NAME_KANJI"))))</f>
        <v/>
      </c>
      <c r="AO6" s="790" t="str">
        <f>IF(AO$9="","",IF(Lang="English",_xll.BDP(AO$9&amp;" EQUITY","NAME"),IF(Lang="中文",_xll.BDP(AO$9&amp;" Equity","NAME_CHINESE_TRADITIONAL"),_xll.BDP(AO$9&amp;" EQUITY","NAME_KANJI"))))</f>
        <v/>
      </c>
      <c r="AP6" s="790" t="str">
        <f>IF(AP$9="","",IF(Lang="English",_xll.BDP(AP$9&amp;" EQUITY","NAME"),IF(Lang="中文",_xll.BDP(AP$9&amp;" Equity","NAME_CHINESE_TRADITIONAL"),_xll.BDP(AP$9&amp;" EQUITY","NAME_KANJI"))))</f>
        <v/>
      </c>
      <c r="AQ6" s="790" t="str">
        <f>IF(AQ$9="","",IF(Lang="English",_xll.BDP(AQ$9&amp;" EQUITY","NAME"),IF(Lang="中文",_xll.BDP(AQ$9&amp;" Equity","NAME_CHINESE_TRADITIONAL"),_xll.BDP(AQ$9&amp;" EQUITY","NAME_KANJI"))))</f>
        <v/>
      </c>
      <c r="AR6" s="790" t="str">
        <f>IF(AR$9="","",IF(Lang="English",_xll.BDP(AR$9&amp;" EQUITY","NAME"),IF(Lang="中文",_xll.BDP(AR$9&amp;" Equity","NAME_CHINESE_TRADITIONAL"),_xll.BDP(AR$9&amp;" EQUITY","NAME_KANJI"))))</f>
        <v/>
      </c>
      <c r="AS6" s="790" t="str">
        <f>IF(AS$9="","",IF(Lang="English",_xll.BDP(AS$9&amp;" EQUITY","NAME"),IF(Lang="中文",_xll.BDP(AS$9&amp;" Equity","NAME_CHINESE_TRADITIONAL"),_xll.BDP(AS$9&amp;" EQUITY","NAME_KANJI"))))</f>
        <v/>
      </c>
      <c r="AT6" s="790" t="str">
        <f>IF(AT$9="","",IF(Lang="English",_xll.BDP(AT$9&amp;" EQUITY","NAME"),IF(Lang="中文",_xll.BDP(AT$9&amp;" Equity","NAME_CHINESE_TRADITIONAL"),_xll.BDP(AT$9&amp;" EQUITY","NAME_KANJI"))))</f>
        <v/>
      </c>
      <c r="AU6" s="790" t="str">
        <f>IF(AU$9="","",IF(Lang="English",_xll.BDP(AU$9&amp;" EQUITY","NAME"),IF(Lang="中文",_xll.BDP(AU$9&amp;" Equity","NAME_CHINESE_TRADITIONAL"),_xll.BDP(AU$9&amp;" EQUITY","NAME_KANJI"))))</f>
        <v/>
      </c>
      <c r="AV6" s="790" t="str">
        <f>IF(AV$9="","",IF(Lang="English",_xll.BDP(AV$9&amp;" EQUITY","NAME"),IF(Lang="中文",_xll.BDP(AV$9&amp;" Equity","NAME_CHINESE_TRADITIONAL"),_xll.BDP(AV$9&amp;" EQUITY","NAME_KANJI"))))</f>
        <v/>
      </c>
      <c r="AW6" s="790" t="str">
        <f>IF(AW$9="","",IF(Lang="English",_xll.BDP(AW$9&amp;" EQUITY","NAME"),IF(Lang="中文",_xll.BDP(AW$9&amp;" Equity","NAME_CHINESE_TRADITIONAL"),_xll.BDP(AW$9&amp;" EQUITY","NAME_KANJI"))))</f>
        <v/>
      </c>
      <c r="AX6" s="790" t="str">
        <f>IF(AX$9="","",IF(Lang="English",_xll.BDP(AX$9&amp;" EQUITY","NAME"),IF(Lang="中文",_xll.BDP(AX$9&amp;" Equity","NAME_CHINESE_TRADITIONAL"),_xll.BDP(AX$9&amp;" EQUITY","NAME_KANJI"))))</f>
        <v/>
      </c>
      <c r="AY6" s="790" t="str">
        <f>IF(AY$9="","",IF(Lang="English",_xll.BDP(AY$9&amp;" EQUITY","NAME"),IF(Lang="中文",_xll.BDP(AY$9&amp;" Equity","NAME_CHINESE_TRADITIONAL"),_xll.BDP(AY$9&amp;" EQUITY","NAME_KANJI"))))</f>
        <v/>
      </c>
      <c r="AZ6" s="790" t="str">
        <f>IF(AZ$9="","",IF(Lang="English",_xll.BDP(AZ$9&amp;" EQUITY","NAME"),IF(Lang="中文",_xll.BDP(AZ$9&amp;" Equity","NAME_CHINESE_TRADITIONAL"),_xll.BDP(AZ$9&amp;" EQUITY","NAME_KANJI"))))</f>
        <v/>
      </c>
      <c r="BA6" s="790" t="str">
        <f>IF(BA$9="","",IF(Lang="English",_xll.BDP(BA$9&amp;" EQUITY","NAME"),IF(Lang="中文",_xll.BDP(BA$9&amp;" Equity","NAME_CHINESE_TRADITIONAL"),_xll.BDP(BA$9&amp;" EQUITY","NAME_KANJI"))))</f>
        <v/>
      </c>
      <c r="BB6" s="790" t="str">
        <f>IF(BB$9="","",IF(Lang="English",_xll.BDP(BB$9&amp;" EQUITY","NAME"),IF(Lang="中文",_xll.BDP(BB$9&amp;" Equity","NAME_CHINESE_TRADITIONAL"),_xll.BDP(BB$9&amp;" EQUITY","NAME_KANJI"))))</f>
        <v/>
      </c>
      <c r="BC6" s="790" t="str">
        <f>IF(BC$9="","",IF(Lang="English",_xll.BDP(BC$9&amp;" EQUITY","NAME"),IF(Lang="中文",_xll.BDP(BC$9&amp;" Equity","NAME_CHINESE_TRADITIONAL"),_xll.BDP(BC$9&amp;" EQUITY","NAME_KANJI"))))</f>
        <v/>
      </c>
      <c r="BD6" s="790" t="str">
        <f>IF(BD$9="","",IF(Lang="English",_xll.BDP(BD$9&amp;" EQUITY","NAME"),IF(Lang="中文",_xll.BDP(BD$9&amp;" Equity","NAME_CHINESE_TRADITIONAL"),_xll.BDP(BD$9&amp;" EQUITY","NAME_KANJI"))))</f>
        <v/>
      </c>
      <c r="BE6" s="790" t="str">
        <f>IF(BE$9="","",IF(Lang="English",_xll.BDP(BE$9&amp;" EQUITY","NAME"),IF(Lang="中文",_xll.BDP(BE$9&amp;" Equity","NAME_CHINESE_TRADITIONAL"),_xll.BDP(BE$9&amp;" EQUITY","NAME_KANJI"))))</f>
        <v/>
      </c>
      <c r="BF6" s="790" t="str">
        <f>IF(BF$9="","",IF(Lang="English",_xll.BDP(BF$9&amp;" EQUITY","NAME"),IF(Lang="中文",_xll.BDP(BF$9&amp;" Equity","NAME_CHINESE_TRADITIONAL"),_xll.BDP(BF$9&amp;" EQUITY","NAME_KANJI"))))</f>
        <v/>
      </c>
      <c r="BG6" s="790" t="str">
        <f>IF(BG$9="","",IF(Lang="English",_xll.BDP(BG$9&amp;" EQUITY","NAME"),IF(Lang="中文",_xll.BDP(BG$9&amp;" Equity","NAME_CHINESE_TRADITIONAL"),_xll.BDP(BG$9&amp;" EQUITY","NAME_KANJI"))))</f>
        <v/>
      </c>
      <c r="BH6" s="790"/>
      <c r="BI6" s="789" t="str">
        <f>IF(BI$9="","",IF(Lang="English",_xll.BDP(BI$9&amp;" EQUITY","NAME"),IF(Lang="中文",_xll.BDP(BI$9&amp;" Equity","NAME_CHINESE_TRADITIONAL"),_xll.BDP(BI$9&amp;" EQUITY","NAME_KANJI"))))</f>
        <v/>
      </c>
    </row>
    <row r="7" spans="2:61" ht="15" customHeight="1">
      <c r="B7" s="212" t="str">
        <f>compNAME</f>
        <v>APPLE INC</v>
      </c>
      <c r="I7" s="816" t="str">
        <f>IF(Lang="English","Press Button to Calculate Peer Index. Peer index changes with differing start or end dates as well as new ticker and peer entries.",IF(Lang="中文","按下按鈕計算同行指數。不同的開始或結束日期，以及新的股票和同行將導致同行指數的變化.","ボタンを押すと同業インデックスが計算されます。開始日、終了日、ティッカー、同業インデックスタイプの変更により同業インデックスは変更されます。"))</f>
        <v>Press Button to Calculate Peer Index. Peer index changes with differing start or end dates as well as new ticker and peer entries.</v>
      </c>
      <c r="J7" s="816"/>
      <c r="K7" s="816"/>
      <c r="L7" s="816"/>
      <c r="P7" s="303" t="str">
        <f>" * "&amp;IF(Lang="English","Pricing data is in "&amp;CURRENCY,IF(Lang="中文","價格數據是"&amp;CURRENCY,"データ表示通貨"&amp;CURRENCY))</f>
        <v xml:space="preserve"> * Pricing data is in USD</v>
      </c>
      <c r="U7" s="303" t="str">
        <f>" * "&amp;IF(Lang="English","Pricing data is in "&amp;CURRENCY,IF(Lang="中文","價格數據是"&amp;CURRENCY,"データ表示通貨"&amp;CURRENCY))</f>
        <v xml:space="preserve"> * Pricing data is in USD</v>
      </c>
      <c r="Z7" s="304"/>
      <c r="AA7" s="301"/>
      <c r="AB7" s="301"/>
      <c r="AC7" s="305"/>
      <c r="AD7" s="306"/>
      <c r="AE7" s="306"/>
      <c r="AF7" s="793"/>
      <c r="AG7" s="790"/>
      <c r="AH7" s="790"/>
      <c r="AI7" s="790"/>
      <c r="AJ7" s="790"/>
      <c r="AK7" s="790"/>
      <c r="AL7" s="790"/>
      <c r="AM7" s="790"/>
      <c r="AN7" s="790"/>
      <c r="AO7" s="790"/>
      <c r="AP7" s="790"/>
      <c r="AQ7" s="790"/>
      <c r="AR7" s="790"/>
      <c r="AS7" s="790"/>
      <c r="AT7" s="790"/>
      <c r="AU7" s="790"/>
      <c r="AV7" s="790"/>
      <c r="AW7" s="790"/>
      <c r="AX7" s="790"/>
      <c r="AY7" s="790"/>
      <c r="AZ7" s="790"/>
      <c r="BA7" s="790"/>
      <c r="BB7" s="790"/>
      <c r="BC7" s="790"/>
      <c r="BD7" s="790"/>
      <c r="BE7" s="790"/>
      <c r="BF7" s="790"/>
      <c r="BG7" s="790"/>
      <c r="BH7" s="790"/>
      <c r="BI7" s="789"/>
    </row>
    <row r="8" spans="2:61" ht="15" customHeight="1">
      <c r="B8" s="307" t="str">
        <f>" * "&amp;IF(Lang="English","Pricing data is in "&amp;CURRENCY,IF(Lang="中文","價格數據是"&amp;CURRENCY,"通貨：")&amp;CURRENCY)</f>
        <v xml:space="preserve"> * Pricing data is in USD</v>
      </c>
      <c r="F8" s="164"/>
      <c r="G8" s="164"/>
      <c r="H8" s="164"/>
      <c r="I8" s="816"/>
      <c r="J8" s="816"/>
      <c r="K8" s="816"/>
      <c r="L8" s="816"/>
      <c r="M8" s="219"/>
      <c r="N8" s="219"/>
      <c r="O8" s="219"/>
      <c r="P8" s="817" t="str">
        <f>IF(Lang="English","Peer Index ("&amp;peersWEIGHT&amp;") - Normalized to 100",IF(Lang="中文","同行指數("&amp;peersWEIGHT&amp;") - 標準化為100","同業指数"&amp;peersWEIGHT&amp;")- 100に標準化"))</f>
        <v>Peer Index (Equal Weight) - Normalized to 100</v>
      </c>
      <c r="Q8" s="818"/>
      <c r="R8" s="818"/>
      <c r="S8" s="819"/>
      <c r="U8" s="775" t="str">
        <f>IF(Lang="English","Company Price and Volume Information",IF(Lang="中文","公司股價及成交量的信息","企業株価・取引高情報"))</f>
        <v>Company Price and Volume Information</v>
      </c>
      <c r="V8" s="800"/>
      <c r="W8" s="800"/>
      <c r="X8" s="800"/>
      <c r="Y8" s="800"/>
      <c r="Z8" s="800"/>
      <c r="AA8" s="776"/>
      <c r="AB8" s="308"/>
      <c r="AC8" s="775" t="str">
        <f>_xll.BDP(AD9 &amp; " INDEX", "NAME")</f>
        <v>S&amp;P 500 INDEX</v>
      </c>
      <c r="AD8" s="776"/>
      <c r="AE8" s="309"/>
      <c r="AF8" s="793"/>
      <c r="AG8" s="790"/>
      <c r="AH8" s="790"/>
      <c r="AI8" s="790"/>
      <c r="AJ8" s="790"/>
      <c r="AK8" s="790"/>
      <c r="AL8" s="790"/>
      <c r="AM8" s="790"/>
      <c r="AN8" s="790"/>
      <c r="AO8" s="790"/>
      <c r="AP8" s="790"/>
      <c r="AQ8" s="790"/>
      <c r="AR8" s="790"/>
      <c r="AS8" s="790"/>
      <c r="AT8" s="790"/>
      <c r="AU8" s="790"/>
      <c r="AV8" s="790"/>
      <c r="AW8" s="790"/>
      <c r="AX8" s="790"/>
      <c r="AY8" s="790"/>
      <c r="AZ8" s="790"/>
      <c r="BA8" s="790"/>
      <c r="BB8" s="790"/>
      <c r="BC8" s="790"/>
      <c r="BD8" s="790"/>
      <c r="BE8" s="790"/>
      <c r="BF8" s="790"/>
      <c r="BG8" s="790"/>
      <c r="BH8" s="790"/>
      <c r="BI8" s="789"/>
    </row>
    <row r="9" spans="2:61" s="310" customFormat="1" ht="15" customHeight="1">
      <c r="B9" s="820" t="str">
        <f>IF(Lang="English","Start Date:",IF(Lang="中文","起始日","開始日"))</f>
        <v>Start Date:</v>
      </c>
      <c r="C9" s="821"/>
      <c r="D9" s="825" t="s">
        <v>1</v>
      </c>
      <c r="E9" s="826"/>
      <c r="F9" s="566">
        <v>42005</v>
      </c>
      <c r="G9" s="564"/>
      <c r="H9" s="564"/>
      <c r="I9" s="816"/>
      <c r="J9" s="816"/>
      <c r="K9" s="816"/>
      <c r="L9" s="816"/>
      <c r="M9" s="236"/>
      <c r="N9" s="236"/>
      <c r="O9" s="236"/>
      <c r="P9" s="178" t="str">
        <f>IF(Lang="English","Date",IF(Lang="中文","日期","日付"))</f>
        <v>Date</v>
      </c>
      <c r="Q9" s="179" t="str">
        <f>UPPER(TICKER)</f>
        <v>AAPL US</v>
      </c>
      <c r="R9" s="179" t="str">
        <f>IF(Lang="English","Peer Index",IF(Lang="中文","同行指數","同業インデックス"))</f>
        <v>Peer Index</v>
      </c>
      <c r="S9" s="180" t="str">
        <f>Benchmark</f>
        <v>SPX</v>
      </c>
      <c r="U9" s="181" t="str">
        <f>IF(Lang="English","Date",IF(Lang="中文","日期","日付"))</f>
        <v>Date</v>
      </c>
      <c r="V9" s="796" t="str">
        <f>IF(Lang="English","Volume",IF(Lang="中文","成交量","取引高"))</f>
        <v>Volume</v>
      </c>
      <c r="W9" s="797"/>
      <c r="X9" s="182" t="str">
        <f>IF(Lang="English","Open",IF(Lang="中文","開盤","始値"))</f>
        <v>Open</v>
      </c>
      <c r="Y9" s="182" t="str">
        <f>IF(Lang="English","High",IF(Lang="中文", "最高","高値"))</f>
        <v>High</v>
      </c>
      <c r="Z9" s="183" t="str">
        <f>IF(Lang="English","Low",IF(Lang="中文","最低","安値"))</f>
        <v>Low</v>
      </c>
      <c r="AA9" s="184" t="str">
        <f>IF(Lang="English","Close",IF(Lang="中文","收盤","終値"))</f>
        <v>Close</v>
      </c>
      <c r="AB9" s="236"/>
      <c r="AC9" s="181" t="str">
        <f>IF(Lang="English","Date",IF(Lang="中文","日期","日付"))</f>
        <v>Date</v>
      </c>
      <c r="AD9" s="184" t="str">
        <f>Benchmark</f>
        <v>SPX</v>
      </c>
      <c r="AE9" s="236"/>
      <c r="AF9" s="473" t="str">
        <f>IF(Peers!A18="", "", Peers!A18)</f>
        <v>005930 KS</v>
      </c>
      <c r="AG9" s="474" t="str">
        <f>IF(Peers!A19="", "", Peers!A19)</f>
        <v>BB CN</v>
      </c>
      <c r="AH9" s="474" t="str">
        <f>IF(Peers!A20="", "", Peers!A20)</f>
        <v>6758 JP</v>
      </c>
      <c r="AI9" s="474" t="str">
        <f>IF(Peers!A21="", "", Peers!A21)</f>
        <v>066570 KS</v>
      </c>
      <c r="AJ9" s="474" t="str">
        <f>IF(Peers!A22="", "", Peers!A22)</f>
        <v>HPQ US</v>
      </c>
      <c r="AK9" s="474" t="str">
        <f>IF(Peers!A23="", "", Peers!A23)</f>
        <v>CSCO US</v>
      </c>
      <c r="AL9" s="474" t="str">
        <f>IF(Peers!A24="", "", Peers!A24)</f>
        <v>ALU FP</v>
      </c>
      <c r="AM9" s="474" t="str">
        <f>IF(Peers!A25="", "", Peers!A25)</f>
        <v>ERICB SS</v>
      </c>
      <c r="AN9" s="474" t="str">
        <f>IF(Peers!A26="", "", Peers!A26)</f>
        <v/>
      </c>
      <c r="AO9" s="474" t="str">
        <f>IF(Peers!A27="", "", Peers!A27)</f>
        <v/>
      </c>
      <c r="AP9" s="474" t="str">
        <f>IF(Peers!A28="", "", Peers!A28)</f>
        <v/>
      </c>
      <c r="AQ9" s="474" t="str">
        <f>IF(Peers!A29="", "", Peers!A29)</f>
        <v/>
      </c>
      <c r="AR9" s="474" t="str">
        <f>IF(Peers!A30="", "", Peers!A30)</f>
        <v/>
      </c>
      <c r="AS9" s="474" t="str">
        <f>IF(Peers!A31="", "", Peers!A31)</f>
        <v/>
      </c>
      <c r="AT9" s="474" t="str">
        <f>IF(Peers!A32="", "", Peers!A32)</f>
        <v/>
      </c>
      <c r="AU9" s="474" t="str">
        <f>IF(Peers!A33="", "", Peers!A33)</f>
        <v/>
      </c>
      <c r="AV9" s="474" t="str">
        <f>IF(Peers!A34="", "", Peers!A34)</f>
        <v/>
      </c>
      <c r="AW9" s="474" t="str">
        <f>IF(Peers!A35="", "", Peers!A35)</f>
        <v/>
      </c>
      <c r="AX9" s="474" t="str">
        <f>IF(Peers!A36="", "", Peers!A36)</f>
        <v/>
      </c>
      <c r="AY9" s="474" t="str">
        <f>IF(Peers!A37="", "", Peers!A37)</f>
        <v/>
      </c>
      <c r="AZ9" s="474" t="str">
        <f>IF(Peers!A38="", "", Peers!A38)</f>
        <v/>
      </c>
      <c r="BA9" s="474" t="str">
        <f>IF(Peers!A39="", "", Peers!A39)</f>
        <v/>
      </c>
      <c r="BB9" s="474" t="str">
        <f>IF(Peers!A40="", "", Peers!A40)</f>
        <v/>
      </c>
      <c r="BC9" s="474" t="str">
        <f>IF(Peers!A41="", "", Peers!A41)</f>
        <v/>
      </c>
      <c r="BD9" s="474" t="str">
        <f>IF(Peers!A42="", "", Peers!A42)</f>
        <v/>
      </c>
      <c r="BE9" s="474" t="str">
        <f>IF(Peers!A43="", "", Peers!A43)</f>
        <v/>
      </c>
      <c r="BF9" s="474" t="str">
        <f>IF(Peers!A44="", "", Peers!A44)</f>
        <v/>
      </c>
      <c r="BG9" s="474" t="str">
        <f>IF(Peers!A45="", "", Peers!A45)</f>
        <v/>
      </c>
      <c r="BH9" s="474"/>
      <c r="BI9" s="475" t="str">
        <f>IF(Peers!A47="", "", Peers!A47)</f>
        <v/>
      </c>
    </row>
    <row r="10" spans="2:61" ht="15" customHeight="1">
      <c r="B10" s="822" t="str">
        <f xml:space="preserve"> IF(Lang="English", "End Date:",IF(Lang="中文","結束日","終了日"))</f>
        <v>End Date:</v>
      </c>
      <c r="C10" s="823"/>
      <c r="D10" s="827" t="s">
        <v>1</v>
      </c>
      <c r="E10" s="828"/>
      <c r="F10" s="566">
        <v>42107</v>
      </c>
      <c r="G10" s="564"/>
      <c r="H10" s="564"/>
      <c r="I10" s="816"/>
      <c r="J10" s="816"/>
      <c r="K10" s="816"/>
      <c r="L10" s="816"/>
      <c r="M10" s="312"/>
      <c r="N10" s="312"/>
      <c r="O10" s="312"/>
      <c r="P10" s="313">
        <f>IF(startingDate="", "", startingDate)</f>
        <v>42006</v>
      </c>
      <c r="Q10" s="314">
        <f>IF($AA10 = "", "", $AA10/$AA$10*100)</f>
        <v>100</v>
      </c>
      <c r="R10" s="314"/>
      <c r="S10" s="315">
        <f>IF($AD10 = "", "", $AD10/$AD$10*100)</f>
        <v>100</v>
      </c>
      <c r="U10" s="313">
        <f>_xll.BDH(TICKER &amp; " EQUITY","PX_VOLUME",SD,ED,"FX=" &amp; CURRENCY,calCODE,dayCODE,"Per=" &amp; PERIODICITY,"cols=2;rows=69")</f>
        <v>42006</v>
      </c>
      <c r="V10" s="798">
        <v>53204626</v>
      </c>
      <c r="W10" s="799"/>
      <c r="X10" s="314">
        <f>_xll.BDH(TICKER &amp; " EQUITY","PX_OPEN",SD,ED,"FX=" &amp; CURRENCY,calCODE,dayCODE,"Per=" &amp; PERIODICITY,"Dts=H","cols=1;rows=69")</f>
        <v>111.39</v>
      </c>
      <c r="Y10" s="314">
        <f>_xll.BDH(TICKER &amp; " EQUITY","PX_HIGH",SD,ED,"FX=" &amp; CURRENCY,calCODE,dayCODE,"Per=" &amp; PERIODICITY,"Dts=H","cols=1;rows=69")</f>
        <v>111.44</v>
      </c>
      <c r="Z10" s="314">
        <f>_xll.BDH(TICKER &amp; " EQUITY","PX_LOW",SD,ED,"FX=" &amp; CURRENCY,calCODE,dayCODE,"Per=" &amp; PERIODICITY,"Dts=H","cols=1;rows=69")</f>
        <v>107.35</v>
      </c>
      <c r="AA10" s="315">
        <f>_xll.BDH(TICKER &amp; " EQUITY","PX_LAST",SD,ED,"Dts=H","FX=" &amp; CURRENCY,calCODE,dayCODE,"PER=" &amp; PERIODICITY,"cols=1;rows=69")</f>
        <v>109.33</v>
      </c>
      <c r="AB10" s="220"/>
      <c r="AC10" s="313">
        <f>_xll.BDH(AD9 &amp; " INDEX","PX_LAST",SD,ED,"Dts=S","FX=" &amp; CURRENCY,calCODE,dayCODE,"Per=" &amp; PERIODICITY,"cols=2;rows=69")</f>
        <v>42006</v>
      </c>
      <c r="AD10" s="315">
        <v>2058.1999999999998</v>
      </c>
      <c r="AE10" s="220"/>
      <c r="AF10" s="316">
        <f>IF(AF9&lt;&gt;"",_xll.BDH(AF9&amp;" EQUITY","PX_LAST",SD,ED,"Dts=H","FX="&amp;CURRENCY,calCODE,dayCODE,"PER="&amp;PERIODICITY,"cols=1;rows=69"),"")</f>
        <v>1203.0972999999999</v>
      </c>
      <c r="AG10" s="314">
        <f>IF(AG9&lt;&gt;"",_xll.BDH(AG9&amp;" EQUITY","PX_LAST",SD,ED,"Dts=H","FX="&amp;CURRENCY,calCODE,dayCODE,"PER="&amp;PERIODICITY,"cols=1;rows=69"),"")</f>
        <v>10.84994</v>
      </c>
      <c r="AH10" s="314">
        <f>IF(AH9&lt;&gt;"",_xll.BDH(AH9&amp;" EQUITY","PX_LAST",SD,ED,"Dts=H","FX="&amp;CURRENCY,calCODE,dayCODE,"PER="&amp;PERIODICITY,"cols=1;rows=69"),"")</f>
        <v>20.697299999999998</v>
      </c>
      <c r="AI10" s="314">
        <f>IF(AI9&lt;&gt;"",_xll.BDH(AI9&amp;" EQUITY","PX_LAST",SD,ED,"Dts=H","FX="&amp;CURRENCY,calCODE,dayCODE,"PER="&amp;PERIODICITY,"cols=1;rows=69"),"")</f>
        <v>53.18956</v>
      </c>
      <c r="AJ10" s="314">
        <f>IF(AJ9&lt;&gt;"",_xll.BDH(AJ9&amp;" EQUITY","PX_LAST",SD,ED,"Dts=H","FX="&amp;CURRENCY,calCODE,dayCODE,"PER="&amp;PERIODICITY,"cols=1;rows=69"),"")</f>
        <v>40.24</v>
      </c>
      <c r="AK10" s="314">
        <f>IF(AK9&lt;&gt;"",_xll.BDH(AK9&amp;" EQUITY","PX_LAST",SD,ED,"Dts=H","FX="&amp;CURRENCY,calCODE,dayCODE,"PER="&amp;PERIODICITY,"cols=1;rows=69"),"")</f>
        <v>27.61</v>
      </c>
      <c r="AL10" s="314">
        <f>IF(AL9&lt;&gt;"",_xll.BDH(AL9&amp;" EQUITY","PX_LAST",SD,ED,"Dts=H","FX="&amp;CURRENCY,calCODE,dayCODE,"PER="&amp;PERIODICITY,"cols=1;rows=69"),"")</f>
        <v>3.55016</v>
      </c>
      <c r="AM10" s="314">
        <f>IF(AM9&lt;&gt;"",_xll.BDH(AM9&amp;" EQUITY","PX_LAST",SD,ED,"Dts=H","FX="&amp;CURRENCY,calCODE,dayCODE,"PER="&amp;PERIODICITY,"cols=1;rows=69"),"")</f>
        <v>11.954789999999999</v>
      </c>
      <c r="AN10" s="314" t="str">
        <f>IF(AN9&lt;&gt;"",_xll.BDH(AN9&amp;" EQUITY","PX_LAST",SD,ED,"Dts=H","FX="&amp;CURRENCY,calCODE,dayCODE,"PER="&amp;PERIODICITY,"cols=1;rows=69"),"")</f>
        <v/>
      </c>
      <c r="AO10" s="314" t="str">
        <f>IF(AO9&lt;&gt;"",_xll.BDH(AO9&amp;" EQUITY","PX_LAST",SD,ED,"Dts=H","FX="&amp;CURRENCY,calCODE,dayCODE,"PER="&amp;PERIODICITY,"cols=1;rows=69"),"")</f>
        <v/>
      </c>
      <c r="AP10" s="314" t="str">
        <f>IF(AP9&lt;&gt;"",_xll.BDH(AP9&amp;" EQUITY","PX_LAST",SD,ED,"Dts=H","FX="&amp;CURRENCY,calCODE,dayCODE,"PER="&amp;PERIODICITY,"cols=1;rows=69"),"")</f>
        <v/>
      </c>
      <c r="AQ10" s="314" t="str">
        <f>IF(AQ9&lt;&gt;"",_xll.BDH(AQ9&amp;" EQUITY","PX_LAST",SD,ED,"Dts=H","FX="&amp;CURRENCY,calCODE,dayCODE,"PER="&amp;PERIODICITY,"cols=1;rows=69"),"")</f>
        <v/>
      </c>
      <c r="AR10" s="314" t="str">
        <f>IF(AR9&lt;&gt;"",_xll.BDH(AR9&amp;" EQUITY","PX_LAST",SD,ED,"Dts=H","FX="&amp;CURRENCY,calCODE,dayCODE,"PER="&amp;PERIODICITY,"cols=1;rows=69"),"")</f>
        <v/>
      </c>
      <c r="AS10" s="314" t="str">
        <f>IF(AS9&lt;&gt;"",_xll.BDH(AS9&amp;" EQUITY","PX_LAST",SD,ED,"Dts=H","FX="&amp;CURRENCY,calCODE,dayCODE,"PER="&amp;PERIODICITY,"cols=1;rows=69"),"")</f>
        <v/>
      </c>
      <c r="AT10" s="314" t="str">
        <f>IF(AT9&lt;&gt;"",_xll.BDH(AT9&amp;" EQUITY","PX_LAST",SD,ED,"Dts=H","FX="&amp;CURRENCY,calCODE,dayCODE,"PER="&amp;PERIODICITY,"cols=1;rows=69"),"")</f>
        <v/>
      </c>
      <c r="AU10" s="314" t="str">
        <f>IF(AU9&lt;&gt;"",_xll.BDH(AU9&amp;" EQUITY","PX_LAST",SD,ED,"Dts=H","FX="&amp;CURRENCY,calCODE,dayCODE,"PER="&amp;PERIODICITY,"cols=1;rows=69"),"")</f>
        <v/>
      </c>
      <c r="AV10" s="314" t="str">
        <f>IF(AV9&lt;&gt;"",_xll.BDH(AV9&amp;" EQUITY","PX_LAST",SD,ED,"Dts=H","FX="&amp;CURRENCY,calCODE,dayCODE,"PER="&amp;PERIODICITY,"cols=1;rows=69"),"")</f>
        <v/>
      </c>
      <c r="AW10" s="314" t="str">
        <f>IF(AW9&lt;&gt;"",_xll.BDH(AW9&amp;" EQUITY","PX_LAST",SD,ED,"Dts=H","FX="&amp;CURRENCY,calCODE,dayCODE,"PER="&amp;PERIODICITY,"cols=1;rows=69"),"")</f>
        <v/>
      </c>
      <c r="AX10" s="314" t="str">
        <f>IF(AX9&lt;&gt;"",_xll.BDH(AX9&amp;" EQUITY","PX_LAST",SD,ED,"Dts=H","FX="&amp;CURRENCY,calCODE,dayCODE,"PER="&amp;PERIODICITY,"cols=1;rows=69"),"")</f>
        <v/>
      </c>
      <c r="AY10" s="314" t="str">
        <f>IF(AY9&lt;&gt;"",_xll.BDH(AY9&amp;" EQUITY","PX_LAST",SD,ED,"Dts=H","FX="&amp;CURRENCY,calCODE,dayCODE,"PER="&amp;PERIODICITY,"cols=1;rows=69"),"")</f>
        <v/>
      </c>
      <c r="AZ10" s="314" t="str">
        <f>IF(AZ9&lt;&gt;"",_xll.BDH(AZ9&amp;" EQUITY","PX_LAST",SD,ED,"Dts=H","FX="&amp;CURRENCY,calCODE,dayCODE,"PER="&amp;PERIODICITY,"cols=1;rows=69"),"")</f>
        <v/>
      </c>
      <c r="BA10" s="314" t="str">
        <f>IF(BA9&lt;&gt;"",_xll.BDH(BA9&amp;" EQUITY","PX_LAST",SD,ED,"Dts=H","FX="&amp;CURRENCY,calCODE,dayCODE,"PER="&amp;PERIODICITY,"cols=1;rows=69"),"")</f>
        <v/>
      </c>
      <c r="BB10" s="314" t="str">
        <f>IF(BB9&lt;&gt;"",_xll.BDH(BB9&amp;" EQUITY","PX_LAST",SD,ED,"Dts=H","FX="&amp;CURRENCY,calCODE,dayCODE,"PER="&amp;PERIODICITY,"cols=1;rows=69"),"")</f>
        <v/>
      </c>
      <c r="BC10" s="314" t="str">
        <f>IF(BC9&lt;&gt;"",_xll.BDH(BC9&amp;" EQUITY","PX_LAST",SD,ED,"Dts=H","FX="&amp;CURRENCY,calCODE,dayCODE,"PER="&amp;PERIODICITY,"cols=1;rows=69"),"")</f>
        <v/>
      </c>
      <c r="BD10" s="314" t="str">
        <f>IF(BD9&lt;&gt;"",_xll.BDH(BD9&amp;" EQUITY","PX_LAST",SD,ED,"Dts=H","FX="&amp;CURRENCY,calCODE,dayCODE,"PER="&amp;PERIODICITY,"cols=1;rows=69"),"")</f>
        <v/>
      </c>
      <c r="BE10" s="314" t="str">
        <f>IF(BE9&lt;&gt;"",_xll.BDH(BE9&amp;" EQUITY","PX_LAST",SD,ED,"Dts=H","FX="&amp;CURRENCY,calCODE,dayCODE,"PER="&amp;PERIODICITY,"cols=1;rows=69"),"")</f>
        <v/>
      </c>
      <c r="BF10" s="314" t="str">
        <f>IF(BF9&lt;&gt;"",_xll.BDH(BF9&amp;" EQUITY","PX_LAST",SD,ED,"Dts=H","FX="&amp;CURRENCY,calCODE,dayCODE,"PER="&amp;PERIODICITY,"cols=1;rows=69"),"")</f>
        <v/>
      </c>
      <c r="BG10" s="314" t="str">
        <f>IF(BG9&lt;&gt;"",_xll.BDH(BG9&amp;" EQUITY","PX_LAST",SD,ED,"Dts=H","FX="&amp;CURRENCY,calCODE,dayCODE,"PER="&amp;PERIODICITY,"cols=1;rows=69"),"")</f>
        <v/>
      </c>
      <c r="BH10" s="314" t="str">
        <f>IF(BH9&lt;&gt;"",_xll.BDH(BH9&amp;" EQUITY","PX_LAST",SD,ED,"Dts=H","FX="&amp;CURRENCY,calCODE,dayCODE,"PER="&amp;PERIODICITY,"cols=1;rows=250"),"")</f>
        <v/>
      </c>
      <c r="BI10" s="315" t="str">
        <f>IF(BI9&lt;&gt;"",_xll.BDH(BI9&amp;" EQUITY","PX_LAST",SD,ED,"Dts=H","FX="&amp;CURRENCY,calCODE,dayCODE,"PER="&amp;PERIODICITY,"cols=1;rows=69"),"")</f>
        <v/>
      </c>
    </row>
    <row r="11" spans="2:61" ht="15" customHeight="1">
      <c r="B11" s="757" t="str">
        <f xml:space="preserve"> IF(Lang="English", "Peer Index Type:",IF(Lang="中文","同行的索引類型","同業インデックスタイプ"))</f>
        <v>Peer Index Type:</v>
      </c>
      <c r="C11" s="824"/>
      <c r="D11" s="834" t="s">
        <v>437</v>
      </c>
      <c r="E11" s="835"/>
      <c r="F11" s="565"/>
      <c r="G11" s="565"/>
      <c r="H11" s="565"/>
      <c r="I11" s="311"/>
      <c r="J11" s="317"/>
      <c r="K11" s="312"/>
      <c r="L11" s="312"/>
      <c r="M11" s="312"/>
      <c r="N11" s="312"/>
      <c r="O11" s="312"/>
      <c r="P11" s="318">
        <f>IF(U11="", "", U11)</f>
        <v>42009</v>
      </c>
      <c r="Q11" s="205">
        <f t="shared" ref="Q11:Q74" si="0">IF($AA11 = "", "", $AA11/$AA$10*100)</f>
        <v>97.18284094027257</v>
      </c>
      <c r="R11" s="205"/>
      <c r="S11" s="319">
        <f t="shared" ref="S11:S74" si="1">IF($AD11 = "", "", $AD11/$AD$10*100)</f>
        <v>98.172189291614032</v>
      </c>
      <c r="U11" s="318">
        <v>42009</v>
      </c>
      <c r="V11" s="794">
        <v>64285491</v>
      </c>
      <c r="W11" s="795"/>
      <c r="X11" s="482">
        <v>108.29</v>
      </c>
      <c r="Y11" s="482">
        <v>108.65</v>
      </c>
      <c r="Z11" s="482">
        <v>105.41</v>
      </c>
      <c r="AA11" s="319">
        <v>106.25</v>
      </c>
      <c r="AB11" s="220"/>
      <c r="AC11" s="318">
        <v>42009</v>
      </c>
      <c r="AD11" s="319">
        <v>2020.58</v>
      </c>
      <c r="AE11" s="220"/>
      <c r="AF11" s="320">
        <v>1201.0091</v>
      </c>
      <c r="AG11" s="205">
        <v>10.733980000000001</v>
      </c>
      <c r="AH11" s="205">
        <v>20.637910000000002</v>
      </c>
      <c r="AI11" s="205">
        <v>52.617350000000002</v>
      </c>
      <c r="AJ11" s="205">
        <v>39.57</v>
      </c>
      <c r="AK11" s="205">
        <v>27.06</v>
      </c>
      <c r="AL11" s="205">
        <v>3.4230900000000002</v>
      </c>
      <c r="AM11" s="205">
        <v>11.953419999999999</v>
      </c>
      <c r="AN11" s="205">
        <v>43.07</v>
      </c>
      <c r="AO11" s="205">
        <v>43.59</v>
      </c>
      <c r="AP11" s="205">
        <v>40.049999999999997</v>
      </c>
      <c r="AQ11" s="205">
        <v>22.2</v>
      </c>
      <c r="AR11" s="205">
        <v>31.66123</v>
      </c>
      <c r="AS11" s="205">
        <v>10.758229999999999</v>
      </c>
      <c r="AT11" s="205">
        <v>40.049999999999997</v>
      </c>
      <c r="AU11" s="205">
        <v>11.922079999999999</v>
      </c>
      <c r="AV11" s="205">
        <v>29.24</v>
      </c>
      <c r="AW11" s="205">
        <v>90.01</v>
      </c>
      <c r="AX11" s="205">
        <v>85.65</v>
      </c>
      <c r="AY11" s="205">
        <v>71.72</v>
      </c>
      <c r="AZ11" s="205">
        <v>64.793000000000006</v>
      </c>
      <c r="BA11" s="205">
        <v>60.55</v>
      </c>
      <c r="BB11" s="205">
        <v>58.04</v>
      </c>
      <c r="BC11" s="205">
        <v>46.57</v>
      </c>
      <c r="BD11" s="205">
        <v>46.325000000000003</v>
      </c>
      <c r="BE11" s="205">
        <v>42.14</v>
      </c>
      <c r="BF11" s="205">
        <v>31.16</v>
      </c>
      <c r="BG11" s="205">
        <v>35.950000000000003</v>
      </c>
      <c r="BH11" s="205"/>
      <c r="BI11" s="319">
        <v>24.6</v>
      </c>
    </row>
    <row r="12" spans="2:61" ht="15" customHeight="1">
      <c r="C12" s="321"/>
      <c r="D12" s="321"/>
      <c r="E12" s="321"/>
      <c r="F12" s="321"/>
      <c r="G12" s="311"/>
      <c r="H12" s="311"/>
      <c r="I12" s="311"/>
      <c r="J12" s="317"/>
      <c r="K12" s="312"/>
      <c r="L12" s="312"/>
      <c r="M12" s="312"/>
      <c r="N12" s="312"/>
      <c r="O12" s="312"/>
      <c r="P12" s="322">
        <f t="shared" ref="P12:P75" si="2">IF(U12="", "", U12)</f>
        <v>42010</v>
      </c>
      <c r="Q12" s="208">
        <f t="shared" si="0"/>
        <v>97.191987560596374</v>
      </c>
      <c r="R12" s="208"/>
      <c r="S12" s="323">
        <f t="shared" si="1"/>
        <v>97.299096297735886</v>
      </c>
      <c r="U12" s="322">
        <v>42010</v>
      </c>
      <c r="V12" s="791">
        <v>65797116</v>
      </c>
      <c r="W12" s="792"/>
      <c r="X12" s="480">
        <v>106.54</v>
      </c>
      <c r="Y12" s="480">
        <v>107.43</v>
      </c>
      <c r="Z12" s="480">
        <v>104.63</v>
      </c>
      <c r="AA12" s="323">
        <v>106.26</v>
      </c>
      <c r="AB12" s="220"/>
      <c r="AC12" s="322">
        <v>42010</v>
      </c>
      <c r="AD12" s="323">
        <v>2002.61</v>
      </c>
      <c r="AE12" s="220"/>
      <c r="AF12" s="324">
        <v>1180.2232899999999</v>
      </c>
      <c r="AG12" s="208">
        <v>10.63992</v>
      </c>
      <c r="AH12" s="208">
        <v>20.589970000000001</v>
      </c>
      <c r="AI12" s="208">
        <v>54.773299999999999</v>
      </c>
      <c r="AJ12" s="208">
        <v>39.270000000000003</v>
      </c>
      <c r="AK12" s="208">
        <v>27.05</v>
      </c>
      <c r="AL12" s="208">
        <v>3.3774999999999999</v>
      </c>
      <c r="AM12" s="208">
        <v>11.953419999999999</v>
      </c>
      <c r="AN12" s="208">
        <v>42.63</v>
      </c>
      <c r="AO12" s="208">
        <v>43.14</v>
      </c>
      <c r="AP12" s="208">
        <v>39.685000000000002</v>
      </c>
      <c r="AQ12" s="208">
        <v>21.89</v>
      </c>
      <c r="AR12" s="208">
        <v>31.148720000000001</v>
      </c>
      <c r="AS12" s="208">
        <v>10.657249999999999</v>
      </c>
      <c r="AT12" s="208">
        <v>39.685000000000002</v>
      </c>
      <c r="AU12" s="208">
        <v>11.66442</v>
      </c>
      <c r="AV12" s="208">
        <v>28.68</v>
      </c>
      <c r="AW12" s="208">
        <v>89.6</v>
      </c>
      <c r="AX12" s="208">
        <v>86.31</v>
      </c>
      <c r="AY12" s="208">
        <v>70.89</v>
      </c>
      <c r="AZ12" s="208">
        <v>64.375</v>
      </c>
      <c r="BA12" s="208">
        <v>58.98</v>
      </c>
      <c r="BB12" s="208">
        <v>60.32</v>
      </c>
      <c r="BC12" s="208">
        <v>47.04</v>
      </c>
      <c r="BD12" s="208">
        <v>45.65</v>
      </c>
      <c r="BE12" s="208">
        <v>42.46</v>
      </c>
      <c r="BF12" s="208">
        <v>31.42</v>
      </c>
      <c r="BG12" s="208">
        <v>35.28</v>
      </c>
      <c r="BH12" s="208"/>
      <c r="BI12" s="323">
        <v>24.07</v>
      </c>
    </row>
    <row r="13" spans="2:61" ht="15" customHeight="1">
      <c r="B13" s="831" t="str">
        <f xml:space="preserve"> IF(Lang="English", "Peer Index Constituents:",IF(Lang="中文","同行指數成份股:","同業インデックス構成銘柄"))</f>
        <v>Peer Index Constituents:</v>
      </c>
      <c r="C13" s="832"/>
      <c r="D13" s="832"/>
      <c r="E13" s="832"/>
      <c r="F13" s="833"/>
      <c r="G13" s="311"/>
      <c r="H13" s="311"/>
      <c r="I13" s="311"/>
      <c r="J13" s="317"/>
      <c r="K13" s="312"/>
      <c r="L13" s="312"/>
      <c r="M13" s="312"/>
      <c r="N13" s="312"/>
      <c r="O13" s="312"/>
      <c r="P13" s="318">
        <f t="shared" si="2"/>
        <v>42011</v>
      </c>
      <c r="Q13" s="205">
        <f t="shared" si="0"/>
        <v>98.554833988841125</v>
      </c>
      <c r="R13" s="205"/>
      <c r="S13" s="319">
        <f t="shared" si="1"/>
        <v>98.430667573608019</v>
      </c>
      <c r="U13" s="318">
        <v>42011</v>
      </c>
      <c r="V13" s="794">
        <v>40105934</v>
      </c>
      <c r="W13" s="795"/>
      <c r="X13" s="482">
        <v>107.2</v>
      </c>
      <c r="Y13" s="482">
        <v>108.2</v>
      </c>
      <c r="Z13" s="482">
        <v>106.69499999999999</v>
      </c>
      <c r="AA13" s="319">
        <v>107.75</v>
      </c>
      <c r="AB13" s="220"/>
      <c r="AC13" s="318">
        <v>42011</v>
      </c>
      <c r="AD13" s="319">
        <v>2025.9</v>
      </c>
      <c r="AE13" s="220"/>
      <c r="AF13" s="320">
        <v>1185.35851</v>
      </c>
      <c r="AG13" s="205">
        <v>10.63955</v>
      </c>
      <c r="AH13" s="205">
        <v>21.361619999999998</v>
      </c>
      <c r="AI13" s="205">
        <v>54.415849999999999</v>
      </c>
      <c r="AJ13" s="205">
        <v>39.729999999999997</v>
      </c>
      <c r="AK13" s="205">
        <v>27.3</v>
      </c>
      <c r="AL13" s="205">
        <v>3.3206799999999999</v>
      </c>
      <c r="AM13" s="205">
        <v>11.7746</v>
      </c>
      <c r="AN13" s="205">
        <v>42.78</v>
      </c>
      <c r="AO13" s="205">
        <v>43.15</v>
      </c>
      <c r="AP13" s="205">
        <v>39.729999999999997</v>
      </c>
      <c r="AQ13" s="205">
        <v>22.38</v>
      </c>
      <c r="AR13" s="205">
        <v>30.768270000000001</v>
      </c>
      <c r="AS13" s="205">
        <v>10.555899999999999</v>
      </c>
      <c r="AT13" s="205">
        <v>39.729999999999997</v>
      </c>
      <c r="AU13" s="205">
        <v>11.415179999999999</v>
      </c>
      <c r="AV13" s="205">
        <v>28.75</v>
      </c>
      <c r="AW13" s="205">
        <v>90.07</v>
      </c>
      <c r="AX13" s="205">
        <v>88.6</v>
      </c>
      <c r="AY13" s="205">
        <v>72.31</v>
      </c>
      <c r="AZ13" s="205">
        <v>65.238</v>
      </c>
      <c r="BA13" s="205">
        <v>59.07</v>
      </c>
      <c r="BB13" s="205">
        <v>61.61</v>
      </c>
      <c r="BC13" s="205">
        <v>46.19</v>
      </c>
      <c r="BD13" s="205">
        <v>46.23</v>
      </c>
      <c r="BE13" s="205">
        <v>42.99</v>
      </c>
      <c r="BF13" s="205">
        <v>31.85</v>
      </c>
      <c r="BG13" s="205">
        <v>36.020000000000003</v>
      </c>
      <c r="BH13" s="205"/>
      <c r="BI13" s="319">
        <v>24.08</v>
      </c>
    </row>
    <row r="14" spans="2:61" ht="15" customHeight="1">
      <c r="B14" s="829" t="str">
        <f>IF(Peers!C18="", "", Peers!C18)</f>
        <v>005930 KS</v>
      </c>
      <c r="C14" s="830"/>
      <c r="D14" s="836" t="str">
        <f>IF(Peers!E18="", "", Peers!E18)</f>
        <v>SAMSUNG ELECTRONICS CO LTD</v>
      </c>
      <c r="E14" s="837"/>
      <c r="F14" s="838"/>
      <c r="G14" s="311"/>
      <c r="H14" s="311"/>
      <c r="I14" s="311"/>
      <c r="J14" s="317"/>
      <c r="K14" s="312"/>
      <c r="L14" s="312"/>
      <c r="M14" s="312"/>
      <c r="N14" s="312"/>
      <c r="O14" s="312"/>
      <c r="P14" s="322">
        <f t="shared" si="2"/>
        <v>42012</v>
      </c>
      <c r="Q14" s="208">
        <f t="shared" si="0"/>
        <v>102.34153480289035</v>
      </c>
      <c r="R14" s="208"/>
      <c r="S14" s="323">
        <f t="shared" si="1"/>
        <v>100.19142940433387</v>
      </c>
      <c r="U14" s="322">
        <v>42012</v>
      </c>
      <c r="V14" s="791">
        <v>59364547</v>
      </c>
      <c r="W14" s="792"/>
      <c r="X14" s="480">
        <v>109.23</v>
      </c>
      <c r="Y14" s="480">
        <v>112.15</v>
      </c>
      <c r="Z14" s="480">
        <v>108.7</v>
      </c>
      <c r="AA14" s="323">
        <v>111.89</v>
      </c>
      <c r="AB14" s="220"/>
      <c r="AC14" s="322">
        <v>42012</v>
      </c>
      <c r="AD14" s="323">
        <v>2062.14</v>
      </c>
      <c r="AE14" s="220"/>
      <c r="AF14" s="324">
        <v>1198.0743299999999</v>
      </c>
      <c r="AG14" s="208">
        <v>10.65414</v>
      </c>
      <c r="AH14" s="208">
        <v>21.459050000000001</v>
      </c>
      <c r="AI14" s="208">
        <v>56.712499999999999</v>
      </c>
      <c r="AJ14" s="208">
        <v>40.68</v>
      </c>
      <c r="AK14" s="208">
        <v>27.51</v>
      </c>
      <c r="AL14" s="208">
        <v>3.4257499999999999</v>
      </c>
      <c r="AM14" s="208">
        <v>12.222390000000001</v>
      </c>
      <c r="AN14" s="208">
        <v>43.33</v>
      </c>
      <c r="AO14" s="208">
        <v>43.41</v>
      </c>
      <c r="AP14" s="208">
        <v>40.549999999999997</v>
      </c>
      <c r="AQ14" s="208">
        <v>23.03</v>
      </c>
      <c r="AR14" s="208">
        <v>31.034050000000001</v>
      </c>
      <c r="AS14" s="208">
        <v>10.87738</v>
      </c>
      <c r="AT14" s="208">
        <v>40.549999999999997</v>
      </c>
      <c r="AU14" s="208">
        <v>11.60378</v>
      </c>
      <c r="AV14" s="208">
        <v>29.29</v>
      </c>
      <c r="AW14" s="208">
        <v>91.1</v>
      </c>
      <c r="AX14" s="208">
        <v>90.47</v>
      </c>
      <c r="AY14" s="208">
        <v>74.53</v>
      </c>
      <c r="AZ14" s="208">
        <v>66.113</v>
      </c>
      <c r="BA14" s="208">
        <v>60.39</v>
      </c>
      <c r="BB14" s="208">
        <v>62.85</v>
      </c>
      <c r="BC14" s="208">
        <v>47.18</v>
      </c>
      <c r="BD14" s="208">
        <v>47.59</v>
      </c>
      <c r="BE14" s="208">
        <v>43.51</v>
      </c>
      <c r="BF14" s="208">
        <v>32.5</v>
      </c>
      <c r="BG14" s="208">
        <v>36.69</v>
      </c>
      <c r="BH14" s="208"/>
      <c r="BI14" s="323">
        <v>24.37</v>
      </c>
    </row>
    <row r="15" spans="2:61" ht="15" customHeight="1">
      <c r="B15" s="807" t="str">
        <f>IF(Peers!C19="", "", Peers!C19)</f>
        <v>BB CN</v>
      </c>
      <c r="C15" s="808"/>
      <c r="D15" s="804" t="str">
        <f>IF(Peers!E19="", "", Peers!E19)</f>
        <v>BLACKBERRY LTD</v>
      </c>
      <c r="E15" s="805"/>
      <c r="F15" s="806"/>
      <c r="G15" s="311"/>
      <c r="H15" s="311"/>
      <c r="I15" s="311"/>
      <c r="J15" s="317"/>
      <c r="K15" s="312"/>
      <c r="L15" s="312"/>
      <c r="M15" s="312"/>
      <c r="N15" s="312"/>
      <c r="O15" s="312"/>
      <c r="P15" s="318">
        <f t="shared" si="2"/>
        <v>42013</v>
      </c>
      <c r="Q15" s="205">
        <f t="shared" si="0"/>
        <v>102.45129424677582</v>
      </c>
      <c r="R15" s="205"/>
      <c r="S15" s="319">
        <f t="shared" si="1"/>
        <v>99.349431542124194</v>
      </c>
      <c r="U15" s="318">
        <v>42013</v>
      </c>
      <c r="V15" s="794">
        <v>53699527</v>
      </c>
      <c r="W15" s="795"/>
      <c r="X15" s="482">
        <v>112.67</v>
      </c>
      <c r="Y15" s="482">
        <v>113.25</v>
      </c>
      <c r="Z15" s="482">
        <v>110.21</v>
      </c>
      <c r="AA15" s="319">
        <v>112.01</v>
      </c>
      <c r="AB15" s="220"/>
      <c r="AC15" s="318">
        <v>42013</v>
      </c>
      <c r="AD15" s="319">
        <v>2044.81</v>
      </c>
      <c r="AE15" s="220"/>
      <c r="AF15" s="320">
        <v>1208.74269</v>
      </c>
      <c r="AG15" s="205">
        <v>10.397169999999999</v>
      </c>
      <c r="AH15" s="205">
        <v>21.919540000000001</v>
      </c>
      <c r="AI15" s="205">
        <v>56.757550000000002</v>
      </c>
      <c r="AJ15" s="205">
        <v>40.67</v>
      </c>
      <c r="AK15" s="205">
        <v>27.79</v>
      </c>
      <c r="AL15" s="205">
        <v>3.4673699999999998</v>
      </c>
      <c r="AM15" s="205">
        <v>12.090070000000001</v>
      </c>
      <c r="AN15" s="205">
        <v>43.43</v>
      </c>
      <c r="AO15" s="205">
        <v>43.39</v>
      </c>
      <c r="AP15" s="205">
        <v>40.645000000000003</v>
      </c>
      <c r="AQ15" s="205">
        <v>23.05</v>
      </c>
      <c r="AR15" s="205">
        <v>31.335920000000002</v>
      </c>
      <c r="AS15" s="205">
        <v>10.745950000000001</v>
      </c>
      <c r="AT15" s="205">
        <v>40.645000000000003</v>
      </c>
      <c r="AU15" s="205">
        <v>11.685079999999999</v>
      </c>
      <c r="AV15" s="205">
        <v>29.68</v>
      </c>
      <c r="AW15" s="205">
        <v>90.25</v>
      </c>
      <c r="AX15" s="205">
        <v>89.35</v>
      </c>
      <c r="AY15" s="205">
        <v>73.5</v>
      </c>
      <c r="AZ15" s="205">
        <v>65.132000000000005</v>
      </c>
      <c r="BA15" s="205">
        <v>59.34</v>
      </c>
      <c r="BB15" s="205">
        <v>62.56</v>
      </c>
      <c r="BC15" s="205">
        <v>46.76</v>
      </c>
      <c r="BD15" s="205">
        <v>47.19</v>
      </c>
      <c r="BE15" s="205">
        <v>43.03</v>
      </c>
      <c r="BF15" s="205">
        <v>32.65</v>
      </c>
      <c r="BG15" s="205">
        <v>36.76</v>
      </c>
      <c r="BH15" s="205"/>
      <c r="BI15" s="319">
        <v>24.03</v>
      </c>
    </row>
    <row r="16" spans="2:61" ht="15" customHeight="1">
      <c r="B16" s="809" t="str">
        <f>IF(Peers!C20="", "", Peers!C20)</f>
        <v>6758 JP</v>
      </c>
      <c r="C16" s="810"/>
      <c r="D16" s="801" t="str">
        <f>IF(Peers!E20="", "", Peers!E20)</f>
        <v>SONY CORP</v>
      </c>
      <c r="E16" s="802"/>
      <c r="F16" s="803"/>
      <c r="G16" s="311"/>
      <c r="H16" s="311"/>
      <c r="I16" s="311"/>
      <c r="J16" s="317"/>
      <c r="K16" s="312"/>
      <c r="L16" s="312"/>
      <c r="M16" s="312"/>
      <c r="N16" s="312"/>
      <c r="O16" s="312"/>
      <c r="P16" s="322">
        <f t="shared" si="2"/>
        <v>42016</v>
      </c>
      <c r="Q16" s="208">
        <f t="shared" si="0"/>
        <v>99.92682703740968</v>
      </c>
      <c r="R16" s="208"/>
      <c r="S16" s="323">
        <f t="shared" si="1"/>
        <v>98.545330871635414</v>
      </c>
      <c r="U16" s="322">
        <v>42016</v>
      </c>
      <c r="V16" s="791">
        <v>49650790</v>
      </c>
      <c r="W16" s="792"/>
      <c r="X16" s="480">
        <v>112.6</v>
      </c>
      <c r="Y16" s="480">
        <v>112.63</v>
      </c>
      <c r="Z16" s="480">
        <v>108.8</v>
      </c>
      <c r="AA16" s="323">
        <v>109.25</v>
      </c>
      <c r="AB16" s="220"/>
      <c r="AC16" s="322">
        <v>42016</v>
      </c>
      <c r="AD16" s="323">
        <v>2028.26</v>
      </c>
      <c r="AE16" s="220"/>
      <c r="AF16" s="324">
        <v>1214.20136</v>
      </c>
      <c r="AG16" s="208">
        <v>10.14493</v>
      </c>
      <c r="AH16" s="208">
        <v>21.919540000000001</v>
      </c>
      <c r="AI16" s="208">
        <v>57.296280000000003</v>
      </c>
      <c r="AJ16" s="208">
        <v>39.92</v>
      </c>
      <c r="AK16" s="208">
        <v>28.05</v>
      </c>
      <c r="AL16" s="208">
        <v>3.3810500000000001</v>
      </c>
      <c r="AM16" s="208">
        <v>12.201320000000001</v>
      </c>
      <c r="AN16" s="208">
        <v>42.63</v>
      </c>
      <c r="AO16" s="208">
        <v>43.27</v>
      </c>
      <c r="AP16" s="208">
        <v>39.869999999999997</v>
      </c>
      <c r="AQ16" s="208">
        <v>22.45</v>
      </c>
      <c r="AR16" s="208">
        <v>31.335920000000002</v>
      </c>
      <c r="AS16" s="208">
        <v>10.44444</v>
      </c>
      <c r="AT16" s="208">
        <v>39.869999999999997</v>
      </c>
      <c r="AU16" s="208">
        <v>11.685079999999999</v>
      </c>
      <c r="AV16" s="208">
        <v>28.94</v>
      </c>
      <c r="AW16" s="208">
        <v>89.92</v>
      </c>
      <c r="AX16" s="208">
        <v>90.02</v>
      </c>
      <c r="AY16" s="208">
        <v>74.41</v>
      </c>
      <c r="AZ16" s="208">
        <v>65.004999999999995</v>
      </c>
      <c r="BA16" s="208">
        <v>58.83</v>
      </c>
      <c r="BB16" s="208">
        <v>62.3</v>
      </c>
      <c r="BC16" s="208">
        <v>47.08</v>
      </c>
      <c r="BD16" s="208">
        <v>46.6</v>
      </c>
      <c r="BE16" s="208">
        <v>42.64</v>
      </c>
      <c r="BF16" s="208">
        <v>32.770000000000003</v>
      </c>
      <c r="BG16" s="208">
        <v>36.6</v>
      </c>
      <c r="BH16" s="208"/>
      <c r="BI16" s="323">
        <v>23.98</v>
      </c>
    </row>
    <row r="17" spans="2:61" ht="15" customHeight="1">
      <c r="B17" s="807" t="str">
        <f>IF(Peers!C21="", "", Peers!C21)</f>
        <v>066570 KS</v>
      </c>
      <c r="C17" s="808"/>
      <c r="D17" s="804" t="str">
        <f>IF(Peers!E21="", "", Peers!E21)</f>
        <v>LG ELECTRONICS INC</v>
      </c>
      <c r="E17" s="805"/>
      <c r="F17" s="806"/>
      <c r="G17" s="311"/>
      <c r="H17" s="311"/>
      <c r="I17" s="311"/>
      <c r="J17" s="317"/>
      <c r="K17" s="312"/>
      <c r="L17" s="312"/>
      <c r="M17" s="312"/>
      <c r="N17" s="312"/>
      <c r="O17" s="312"/>
      <c r="P17" s="318">
        <f t="shared" si="2"/>
        <v>42017</v>
      </c>
      <c r="Q17" s="205">
        <f t="shared" si="0"/>
        <v>100.81404920881734</v>
      </c>
      <c r="R17" s="205"/>
      <c r="S17" s="319">
        <f t="shared" si="1"/>
        <v>98.291225342532314</v>
      </c>
      <c r="U17" s="318">
        <v>42017</v>
      </c>
      <c r="V17" s="794">
        <v>67091928</v>
      </c>
      <c r="W17" s="795"/>
      <c r="X17" s="482">
        <v>111.43</v>
      </c>
      <c r="Y17" s="482">
        <v>112.8</v>
      </c>
      <c r="Z17" s="482">
        <v>108.91</v>
      </c>
      <c r="AA17" s="319">
        <v>110.22</v>
      </c>
      <c r="AB17" s="220"/>
      <c r="AC17" s="318">
        <v>42017</v>
      </c>
      <c r="AD17" s="319">
        <v>2023.03</v>
      </c>
      <c r="AE17" s="220"/>
      <c r="AF17" s="320">
        <v>1241.0903800000001</v>
      </c>
      <c r="AG17" s="205">
        <v>9.7087400000000006</v>
      </c>
      <c r="AH17" s="205">
        <v>21.36317</v>
      </c>
      <c r="AI17" s="205">
        <v>57.003030000000003</v>
      </c>
      <c r="AJ17" s="205">
        <v>39.81</v>
      </c>
      <c r="AK17" s="205">
        <v>28.094999999999999</v>
      </c>
      <c r="AL17" s="205">
        <v>3.3716900000000001</v>
      </c>
      <c r="AM17" s="205">
        <v>12.06948</v>
      </c>
      <c r="AN17" s="205">
        <v>42.83</v>
      </c>
      <c r="AO17" s="205">
        <v>42.93</v>
      </c>
      <c r="AP17" s="205">
        <v>39.314999999999998</v>
      </c>
      <c r="AQ17" s="205">
        <v>22.4</v>
      </c>
      <c r="AR17" s="205">
        <v>31.811630000000001</v>
      </c>
      <c r="AS17" s="205">
        <v>10.454929999999999</v>
      </c>
      <c r="AT17" s="205">
        <v>39.314999999999998</v>
      </c>
      <c r="AU17" s="205">
        <v>11.61411</v>
      </c>
      <c r="AV17" s="205">
        <v>28.65</v>
      </c>
      <c r="AW17" s="205">
        <v>90.3</v>
      </c>
      <c r="AX17" s="205">
        <v>89.31</v>
      </c>
      <c r="AY17" s="205">
        <v>73.14</v>
      </c>
      <c r="AZ17" s="205">
        <v>65.194999999999993</v>
      </c>
      <c r="BA17" s="205">
        <v>58.84</v>
      </c>
      <c r="BB17" s="205">
        <v>62.19</v>
      </c>
      <c r="BC17" s="205">
        <v>47.18</v>
      </c>
      <c r="BD17" s="205">
        <v>46.354999999999997</v>
      </c>
      <c r="BE17" s="205">
        <v>42.63</v>
      </c>
      <c r="BF17" s="205">
        <v>32.44</v>
      </c>
      <c r="BG17" s="205">
        <v>36.5</v>
      </c>
      <c r="BH17" s="205"/>
      <c r="BI17" s="319">
        <v>23.86</v>
      </c>
    </row>
    <row r="18" spans="2:61" ht="15" customHeight="1">
      <c r="B18" s="809" t="str">
        <f>IF(Peers!C22="", "", Peers!C22)</f>
        <v>HPQ US</v>
      </c>
      <c r="C18" s="810"/>
      <c r="D18" s="801" t="str">
        <f>IF(Peers!E22="", "", Peers!E22)</f>
        <v>HEWLETT-PACKARD CO</v>
      </c>
      <c r="E18" s="802"/>
      <c r="F18" s="803"/>
      <c r="G18" s="311"/>
      <c r="H18" s="311"/>
      <c r="I18" s="311"/>
      <c r="J18" s="317"/>
      <c r="K18" s="312"/>
      <c r="L18" s="312"/>
      <c r="M18" s="312"/>
      <c r="N18" s="312"/>
      <c r="O18" s="312"/>
      <c r="P18" s="322">
        <f t="shared" si="2"/>
        <v>42018</v>
      </c>
      <c r="Q18" s="208">
        <f t="shared" si="0"/>
        <v>100.42989115521814</v>
      </c>
      <c r="R18" s="208"/>
      <c r="S18" s="323">
        <f t="shared" si="1"/>
        <v>97.719852298124593</v>
      </c>
      <c r="U18" s="322">
        <v>42018</v>
      </c>
      <c r="V18" s="791">
        <v>48956588</v>
      </c>
      <c r="W18" s="792"/>
      <c r="X18" s="480">
        <v>109.04</v>
      </c>
      <c r="Y18" s="480">
        <v>110.49</v>
      </c>
      <c r="Z18" s="480">
        <v>108.5</v>
      </c>
      <c r="AA18" s="323">
        <v>109.8</v>
      </c>
      <c r="AB18" s="220"/>
      <c r="AC18" s="322">
        <v>42018</v>
      </c>
      <c r="AD18" s="323">
        <v>2011.27</v>
      </c>
      <c r="AE18" s="220"/>
      <c r="AF18" s="324">
        <v>1242.13851</v>
      </c>
      <c r="AG18" s="208">
        <v>12.741250000000001</v>
      </c>
      <c r="AH18" s="208">
        <v>20.79204</v>
      </c>
      <c r="AI18" s="208">
        <v>57.35078</v>
      </c>
      <c r="AJ18" s="208">
        <v>39.46</v>
      </c>
      <c r="AK18" s="208">
        <v>27.92</v>
      </c>
      <c r="AL18" s="208">
        <v>3.3112500000000002</v>
      </c>
      <c r="AM18" s="208">
        <v>12.008179999999999</v>
      </c>
      <c r="AN18" s="208">
        <v>42.65</v>
      </c>
      <c r="AO18" s="208">
        <v>43.06</v>
      </c>
      <c r="AP18" s="208">
        <v>38.89</v>
      </c>
      <c r="AQ18" s="208">
        <v>22.25</v>
      </c>
      <c r="AR18" s="208">
        <v>31.937799999999999</v>
      </c>
      <c r="AS18" s="208">
        <v>9.9741999999999997</v>
      </c>
      <c r="AT18" s="208">
        <v>38.89</v>
      </c>
      <c r="AU18" s="208">
        <v>11.44481</v>
      </c>
      <c r="AV18" s="208">
        <v>28.14</v>
      </c>
      <c r="AW18" s="208">
        <v>89.99</v>
      </c>
      <c r="AX18" s="208">
        <v>86.61</v>
      </c>
      <c r="AY18" s="208">
        <v>72.95</v>
      </c>
      <c r="AZ18" s="208">
        <v>63.89</v>
      </c>
      <c r="BA18" s="208">
        <v>56.81</v>
      </c>
      <c r="BB18" s="208">
        <v>62.64</v>
      </c>
      <c r="BC18" s="208">
        <v>46.97</v>
      </c>
      <c r="BD18" s="208">
        <v>45.954999999999998</v>
      </c>
      <c r="BE18" s="208">
        <v>42.56</v>
      </c>
      <c r="BF18" s="208">
        <v>32.479999999999997</v>
      </c>
      <c r="BG18" s="208">
        <v>36.35</v>
      </c>
      <c r="BH18" s="208"/>
      <c r="BI18" s="323">
        <v>23.78</v>
      </c>
    </row>
    <row r="19" spans="2:61" ht="15" customHeight="1">
      <c r="B19" s="807" t="str">
        <f>IF(Peers!C23="", "", Peers!C23)</f>
        <v>CSCO US</v>
      </c>
      <c r="C19" s="808"/>
      <c r="D19" s="804" t="str">
        <f>IF(Peers!E23="", "", Peers!E23)</f>
        <v>CISCO SYSTEMS INC</v>
      </c>
      <c r="E19" s="805"/>
      <c r="F19" s="806"/>
      <c r="G19" s="311"/>
      <c r="H19" s="311"/>
      <c r="I19" s="311"/>
      <c r="J19" s="317"/>
      <c r="K19" s="312"/>
      <c r="L19" s="312"/>
      <c r="M19" s="312"/>
      <c r="N19" s="312"/>
      <c r="O19" s="312"/>
      <c r="P19" s="318">
        <f t="shared" si="2"/>
        <v>42019</v>
      </c>
      <c r="Q19" s="205">
        <f t="shared" si="0"/>
        <v>97.704198298728613</v>
      </c>
      <c r="R19" s="205"/>
      <c r="S19" s="319">
        <f t="shared" si="1"/>
        <v>96.81615003401032</v>
      </c>
      <c r="U19" s="318">
        <v>42019</v>
      </c>
      <c r="V19" s="794">
        <v>60013996</v>
      </c>
      <c r="W19" s="795"/>
      <c r="X19" s="482">
        <v>110</v>
      </c>
      <c r="Y19" s="482">
        <v>110.06</v>
      </c>
      <c r="Z19" s="482">
        <v>106.66</v>
      </c>
      <c r="AA19" s="319">
        <v>106.82</v>
      </c>
      <c r="AB19" s="220"/>
      <c r="AC19" s="318">
        <v>42019</v>
      </c>
      <c r="AD19" s="319">
        <v>1992.67</v>
      </c>
      <c r="AE19" s="220"/>
      <c r="AF19" s="320">
        <v>1237.8098</v>
      </c>
      <c r="AG19" s="205">
        <v>10.12743</v>
      </c>
      <c r="AH19" s="205">
        <v>21.42062</v>
      </c>
      <c r="AI19" s="205">
        <v>56.508710000000001</v>
      </c>
      <c r="AJ19" s="205">
        <v>38.19</v>
      </c>
      <c r="AK19" s="205">
        <v>27.41</v>
      </c>
      <c r="AL19" s="205">
        <v>3.2888799999999998</v>
      </c>
      <c r="AM19" s="205">
        <v>11.93385</v>
      </c>
      <c r="AN19" s="205">
        <v>41.95</v>
      </c>
      <c r="AO19" s="205">
        <v>42.63</v>
      </c>
      <c r="AP19" s="205">
        <v>38.454999999999998</v>
      </c>
      <c r="AQ19" s="205">
        <v>21.39</v>
      </c>
      <c r="AR19" s="205">
        <v>32.580759999999998</v>
      </c>
      <c r="AS19" s="205">
        <v>9.9557500000000001</v>
      </c>
      <c r="AT19" s="205">
        <v>38.454999999999998</v>
      </c>
      <c r="AU19" s="205">
        <v>11.51144</v>
      </c>
      <c r="AV19" s="205">
        <v>27.81</v>
      </c>
      <c r="AW19" s="205">
        <v>89.86</v>
      </c>
      <c r="AX19" s="205">
        <v>87.38</v>
      </c>
      <c r="AY19" s="205">
        <v>73.150000000000006</v>
      </c>
      <c r="AZ19" s="205">
        <v>63.283000000000001</v>
      </c>
      <c r="BA19" s="205">
        <v>54.99</v>
      </c>
      <c r="BB19" s="205">
        <v>61.88</v>
      </c>
      <c r="BC19" s="205">
        <v>47.1</v>
      </c>
      <c r="BD19" s="205">
        <v>45.48</v>
      </c>
      <c r="BE19" s="205">
        <v>42.38</v>
      </c>
      <c r="BF19" s="205">
        <v>32.4</v>
      </c>
      <c r="BG19" s="205">
        <v>36.19</v>
      </c>
      <c r="BH19" s="205"/>
      <c r="BI19" s="319">
        <v>23.58</v>
      </c>
    </row>
    <row r="20" spans="2:61" ht="15" customHeight="1">
      <c r="B20" s="809" t="str">
        <f>IF(Peers!C24="", "", Peers!C24)</f>
        <v>ALU FP</v>
      </c>
      <c r="C20" s="810"/>
      <c r="D20" s="801" t="str">
        <f>IF(Peers!E24="", "", Peers!E24)</f>
        <v>ALCATEL-LUCENT</v>
      </c>
      <c r="E20" s="802"/>
      <c r="F20" s="803"/>
      <c r="G20" s="311"/>
      <c r="H20" s="311"/>
      <c r="I20" s="311"/>
      <c r="J20" s="317"/>
      <c r="K20" s="312"/>
      <c r="L20" s="312"/>
      <c r="M20" s="312"/>
      <c r="N20" s="312"/>
      <c r="O20" s="312"/>
      <c r="P20" s="322">
        <f t="shared" si="2"/>
        <v>42020</v>
      </c>
      <c r="Q20" s="208">
        <f t="shared" si="0"/>
        <v>96.945028811854016</v>
      </c>
      <c r="R20" s="208"/>
      <c r="S20" s="323">
        <f t="shared" si="1"/>
        <v>98.115829365464975</v>
      </c>
      <c r="U20" s="322">
        <v>42020</v>
      </c>
      <c r="V20" s="791">
        <v>78513345</v>
      </c>
      <c r="W20" s="792"/>
      <c r="X20" s="480">
        <v>107.03</v>
      </c>
      <c r="Y20" s="480">
        <v>107.58</v>
      </c>
      <c r="Z20" s="480">
        <v>105.2</v>
      </c>
      <c r="AA20" s="323">
        <v>105.99</v>
      </c>
      <c r="AB20" s="220"/>
      <c r="AC20" s="322">
        <v>42020</v>
      </c>
      <c r="AD20" s="323">
        <v>2019.42</v>
      </c>
      <c r="AE20" s="220"/>
      <c r="AF20" s="324">
        <v>1220.75657</v>
      </c>
      <c r="AG20" s="208">
        <v>10.209530000000001</v>
      </c>
      <c r="AH20" s="208">
        <v>20.280729999999998</v>
      </c>
      <c r="AI20" s="208">
        <v>56.399700000000003</v>
      </c>
      <c r="AJ20" s="208">
        <v>38.340000000000003</v>
      </c>
      <c r="AK20" s="208">
        <v>27.68</v>
      </c>
      <c r="AL20" s="208">
        <v>3.2057199999999999</v>
      </c>
      <c r="AM20" s="208">
        <v>12.04997</v>
      </c>
      <c r="AN20" s="208">
        <v>42.93</v>
      </c>
      <c r="AO20" s="208">
        <v>43.51</v>
      </c>
      <c r="AP20" s="208">
        <v>38.75</v>
      </c>
      <c r="AQ20" s="208">
        <v>21.63</v>
      </c>
      <c r="AR20" s="208">
        <v>31.965119999999999</v>
      </c>
      <c r="AS20" s="208">
        <v>10.042590000000001</v>
      </c>
      <c r="AT20" s="208">
        <v>38.75</v>
      </c>
      <c r="AU20" s="208">
        <v>11.38664</v>
      </c>
      <c r="AV20" s="208">
        <v>27.88</v>
      </c>
      <c r="AW20" s="208">
        <v>91.25</v>
      </c>
      <c r="AX20" s="208">
        <v>86.77</v>
      </c>
      <c r="AY20" s="208">
        <v>74.25</v>
      </c>
      <c r="AZ20" s="208">
        <v>63.738</v>
      </c>
      <c r="BA20" s="208">
        <v>55.93</v>
      </c>
      <c r="BB20" s="208">
        <v>63.03</v>
      </c>
      <c r="BC20" s="208">
        <v>47.99</v>
      </c>
      <c r="BD20" s="208">
        <v>46.24</v>
      </c>
      <c r="BE20" s="208">
        <v>42.53</v>
      </c>
      <c r="BF20" s="208">
        <v>32.799999999999997</v>
      </c>
      <c r="BG20" s="208">
        <v>36.450000000000003</v>
      </c>
      <c r="BH20" s="208"/>
      <c r="BI20" s="323">
        <v>23.59</v>
      </c>
    </row>
    <row r="21" spans="2:61" ht="15" customHeight="1">
      <c r="B21" s="807" t="str">
        <f>IF(Peers!C25="", "", Peers!C25)</f>
        <v>ERICB SS</v>
      </c>
      <c r="C21" s="808"/>
      <c r="D21" s="804" t="str">
        <f>IF(Peers!E25="", "", Peers!E25)</f>
        <v>ERICSSON LM-B SHS</v>
      </c>
      <c r="E21" s="805"/>
      <c r="F21" s="806"/>
      <c r="G21" s="311"/>
      <c r="H21" s="311"/>
      <c r="I21" s="311"/>
      <c r="J21" s="317"/>
      <c r="K21" s="312"/>
      <c r="L21" s="312"/>
      <c r="M21" s="312"/>
      <c r="N21" s="312"/>
      <c r="O21" s="312"/>
      <c r="P21" s="318">
        <f t="shared" si="2"/>
        <v>42024</v>
      </c>
      <c r="Q21" s="205">
        <f t="shared" si="0"/>
        <v>99.442056160248796</v>
      </c>
      <c r="R21" s="205"/>
      <c r="S21" s="319">
        <f t="shared" si="1"/>
        <v>98.267903993780976</v>
      </c>
      <c r="U21" s="318">
        <v>42024</v>
      </c>
      <c r="V21" s="794">
        <v>49899907</v>
      </c>
      <c r="W21" s="795"/>
      <c r="X21" s="482">
        <v>107.84</v>
      </c>
      <c r="Y21" s="482">
        <v>108.9667</v>
      </c>
      <c r="Z21" s="482">
        <v>106.5</v>
      </c>
      <c r="AA21" s="319">
        <v>108.72</v>
      </c>
      <c r="AB21" s="220"/>
      <c r="AC21" s="318">
        <v>42024</v>
      </c>
      <c r="AD21" s="319">
        <v>2022.55</v>
      </c>
      <c r="AE21" s="220"/>
      <c r="AF21" s="320">
        <v>1261.2032899999999</v>
      </c>
      <c r="AG21" s="205">
        <v>10.0306</v>
      </c>
      <c r="AH21" s="205">
        <v>20.74558</v>
      </c>
      <c r="AI21" s="205">
        <v>55.614289999999997</v>
      </c>
      <c r="AJ21" s="205">
        <v>38.619999999999997</v>
      </c>
      <c r="AK21" s="205">
        <v>28.07</v>
      </c>
      <c r="AL21" s="205">
        <v>3.3189000000000002</v>
      </c>
      <c r="AM21" s="205">
        <v>12.268890000000001</v>
      </c>
      <c r="AN21" s="205">
        <v>43.32</v>
      </c>
      <c r="AO21" s="205">
        <v>43.9</v>
      </c>
      <c r="AP21" s="205">
        <v>38.53</v>
      </c>
      <c r="AQ21" s="205">
        <v>21.72</v>
      </c>
      <c r="AR21" s="205">
        <v>32.434710000000003</v>
      </c>
      <c r="AS21" s="205">
        <v>10.075810000000001</v>
      </c>
      <c r="AT21" s="205">
        <v>38.53</v>
      </c>
      <c r="AU21" s="205">
        <v>11.59225</v>
      </c>
      <c r="AV21" s="205">
        <v>27.74</v>
      </c>
      <c r="AW21" s="205">
        <v>91.19</v>
      </c>
      <c r="AX21" s="205">
        <v>86.69</v>
      </c>
      <c r="AY21" s="205">
        <v>74.36</v>
      </c>
      <c r="AZ21" s="205">
        <v>64.209999999999994</v>
      </c>
      <c r="BA21" s="205">
        <v>55.71</v>
      </c>
      <c r="BB21" s="205">
        <v>62.61</v>
      </c>
      <c r="BC21" s="205">
        <v>48.18</v>
      </c>
      <c r="BD21" s="205">
        <v>46.39</v>
      </c>
      <c r="BE21" s="205">
        <v>43.16</v>
      </c>
      <c r="BF21" s="205">
        <v>33.1</v>
      </c>
      <c r="BG21" s="205">
        <v>36.090000000000003</v>
      </c>
      <c r="BH21" s="205"/>
      <c r="BI21" s="319">
        <v>23.85</v>
      </c>
    </row>
    <row r="22" spans="2:61" ht="15" customHeight="1">
      <c r="B22" s="809" t="str">
        <f>IF(Peers!C26="", "", Peers!C26)</f>
        <v/>
      </c>
      <c r="C22" s="810"/>
      <c r="D22" s="801" t="str">
        <f>IF(Peers!E26="", "", Peers!E26)</f>
        <v/>
      </c>
      <c r="E22" s="802"/>
      <c r="F22" s="803"/>
      <c r="G22" s="311"/>
      <c r="H22" s="311"/>
      <c r="I22" s="311"/>
      <c r="J22" s="317"/>
      <c r="K22" s="312"/>
      <c r="L22" s="312"/>
      <c r="M22" s="312"/>
      <c r="N22" s="312"/>
      <c r="O22" s="312"/>
      <c r="P22" s="322">
        <f t="shared" si="2"/>
        <v>42025</v>
      </c>
      <c r="Q22" s="208">
        <f t="shared" si="0"/>
        <v>100.20122564712339</v>
      </c>
      <c r="R22" s="208"/>
      <c r="S22" s="323">
        <f t="shared" si="1"/>
        <v>98.732873384510739</v>
      </c>
      <c r="U22" s="322">
        <v>42025</v>
      </c>
      <c r="V22" s="791">
        <v>48575897</v>
      </c>
      <c r="W22" s="792"/>
      <c r="X22" s="480">
        <v>108.95</v>
      </c>
      <c r="Y22" s="480">
        <v>111.06</v>
      </c>
      <c r="Z22" s="480">
        <v>108.27</v>
      </c>
      <c r="AA22" s="323">
        <v>109.55</v>
      </c>
      <c r="AB22" s="220"/>
      <c r="AC22" s="322">
        <v>42025</v>
      </c>
      <c r="AD22" s="323">
        <v>2032.12</v>
      </c>
      <c r="AE22" s="220"/>
      <c r="AF22" s="324">
        <v>1286.4849899999999</v>
      </c>
      <c r="AG22" s="208">
        <v>9.907</v>
      </c>
      <c r="AH22" s="208">
        <v>22.008980000000001</v>
      </c>
      <c r="AI22" s="208">
        <v>55.332689999999999</v>
      </c>
      <c r="AJ22" s="208">
        <v>38.57</v>
      </c>
      <c r="AK22" s="208">
        <v>27.84</v>
      </c>
      <c r="AL22" s="208">
        <v>3.29772</v>
      </c>
      <c r="AM22" s="208">
        <v>12.20764</v>
      </c>
      <c r="AN22" s="208">
        <v>43.29</v>
      </c>
      <c r="AO22" s="208">
        <v>43.49</v>
      </c>
      <c r="AP22" s="208">
        <v>38.51</v>
      </c>
      <c r="AQ22" s="208">
        <v>21.84</v>
      </c>
      <c r="AR22" s="208">
        <v>33.15963</v>
      </c>
      <c r="AS22" s="208">
        <v>10.228070000000001</v>
      </c>
      <c r="AT22" s="208">
        <v>38.51</v>
      </c>
      <c r="AU22" s="208">
        <v>11.34553</v>
      </c>
      <c r="AV22" s="208">
        <v>27.71</v>
      </c>
      <c r="AW22" s="208">
        <v>90.73</v>
      </c>
      <c r="AX22" s="208">
        <v>86.64</v>
      </c>
      <c r="AY22" s="208">
        <v>74.180000000000007</v>
      </c>
      <c r="AZ22" s="208">
        <v>64.319999999999993</v>
      </c>
      <c r="BA22" s="208">
        <v>55.89</v>
      </c>
      <c r="BB22" s="208">
        <v>62.16</v>
      </c>
      <c r="BC22" s="208">
        <v>48.25</v>
      </c>
      <c r="BD22" s="208">
        <v>45.92</v>
      </c>
      <c r="BE22" s="208">
        <v>43.36</v>
      </c>
      <c r="BF22" s="208">
        <v>32.64</v>
      </c>
      <c r="BG22" s="208">
        <v>36.479999999999997</v>
      </c>
      <c r="BH22" s="208"/>
      <c r="BI22" s="323">
        <v>24.04</v>
      </c>
    </row>
    <row r="23" spans="2:61" ht="15" customHeight="1">
      <c r="B23" s="807" t="str">
        <f>IF(Peers!C27="", "", Peers!C27)</f>
        <v/>
      </c>
      <c r="C23" s="808"/>
      <c r="D23" s="804" t="str">
        <f>IF(Peers!E27="", "", Peers!E27)</f>
        <v/>
      </c>
      <c r="E23" s="805"/>
      <c r="F23" s="806"/>
      <c r="G23" s="311"/>
      <c r="H23" s="311"/>
      <c r="I23" s="311"/>
      <c r="J23" s="317"/>
      <c r="K23" s="312"/>
      <c r="L23" s="312"/>
      <c r="M23" s="312"/>
      <c r="N23" s="312"/>
      <c r="O23" s="312"/>
      <c r="P23" s="318">
        <f t="shared" si="2"/>
        <v>42026</v>
      </c>
      <c r="Q23" s="205">
        <f t="shared" si="0"/>
        <v>102.80801243940365</v>
      </c>
      <c r="R23" s="205"/>
      <c r="S23" s="319">
        <f t="shared" si="1"/>
        <v>100.24050140899816</v>
      </c>
      <c r="U23" s="318">
        <v>42026</v>
      </c>
      <c r="V23" s="794">
        <v>53796409</v>
      </c>
      <c r="W23" s="795"/>
      <c r="X23" s="482">
        <v>110.26</v>
      </c>
      <c r="Y23" s="482">
        <v>112.47</v>
      </c>
      <c r="Z23" s="482">
        <v>109.72</v>
      </c>
      <c r="AA23" s="319">
        <v>112.4</v>
      </c>
      <c r="AB23" s="220"/>
      <c r="AC23" s="318">
        <v>42026</v>
      </c>
      <c r="AD23" s="319">
        <v>2063.15</v>
      </c>
      <c r="AE23" s="220"/>
      <c r="AF23" s="320">
        <v>1272.4737500000001</v>
      </c>
      <c r="AG23" s="205">
        <v>10.54927</v>
      </c>
      <c r="AH23" s="205">
        <v>22.09666</v>
      </c>
      <c r="AI23" s="205">
        <v>57.067399999999999</v>
      </c>
      <c r="AJ23" s="205">
        <v>40.06</v>
      </c>
      <c r="AK23" s="205">
        <v>28.5</v>
      </c>
      <c r="AL23" s="205">
        <v>3.4080699999999999</v>
      </c>
      <c r="AM23" s="205">
        <v>12.115270000000001</v>
      </c>
      <c r="AN23" s="205">
        <v>44.25</v>
      </c>
      <c r="AO23" s="205">
        <v>44.05</v>
      </c>
      <c r="AP23" s="205">
        <v>39.659999999999997</v>
      </c>
      <c r="AQ23" s="205">
        <v>22.05</v>
      </c>
      <c r="AR23" s="205">
        <v>32.846620000000001</v>
      </c>
      <c r="AS23" s="205">
        <v>10.42098</v>
      </c>
      <c r="AT23" s="205">
        <v>39.659999999999997</v>
      </c>
      <c r="AU23" s="205">
        <v>11.21551</v>
      </c>
      <c r="AV23" s="205">
        <v>28.54</v>
      </c>
      <c r="AW23" s="205">
        <v>91.62</v>
      </c>
      <c r="AX23" s="205">
        <v>88.3</v>
      </c>
      <c r="AY23" s="205">
        <v>75.09</v>
      </c>
      <c r="AZ23" s="205">
        <v>64.400000000000006</v>
      </c>
      <c r="BA23" s="205">
        <v>57.59</v>
      </c>
      <c r="BB23" s="205">
        <v>62.59</v>
      </c>
      <c r="BC23" s="205">
        <v>47.8</v>
      </c>
      <c r="BD23" s="205">
        <v>47.13</v>
      </c>
      <c r="BE23" s="205">
        <v>43.78</v>
      </c>
      <c r="BF23" s="205">
        <v>32.81</v>
      </c>
      <c r="BG23" s="205">
        <v>36.909999999999997</v>
      </c>
      <c r="BH23" s="205"/>
      <c r="BI23" s="319">
        <v>24.28</v>
      </c>
    </row>
    <row r="24" spans="2:61" ht="15" customHeight="1">
      <c r="B24" s="809" t="str">
        <f>IF(Peers!C28="", "", Peers!C28)</f>
        <v/>
      </c>
      <c r="C24" s="810"/>
      <c r="D24" s="801" t="str">
        <f>IF(Peers!E28="", "", Peers!E28)</f>
        <v/>
      </c>
      <c r="E24" s="802"/>
      <c r="F24" s="803"/>
      <c r="G24" s="311"/>
      <c r="H24" s="311"/>
      <c r="I24" s="311"/>
      <c r="J24" s="317"/>
      <c r="K24" s="312"/>
      <c r="L24" s="312"/>
      <c r="M24" s="312"/>
      <c r="N24" s="312"/>
      <c r="O24" s="312"/>
      <c r="P24" s="322">
        <f t="shared" si="2"/>
        <v>42027</v>
      </c>
      <c r="Q24" s="208">
        <f t="shared" si="0"/>
        <v>103.33851641818347</v>
      </c>
      <c r="R24" s="208"/>
      <c r="S24" s="323">
        <f t="shared" si="1"/>
        <v>99.690020406180167</v>
      </c>
      <c r="U24" s="322">
        <v>42027</v>
      </c>
      <c r="V24" s="791">
        <v>46464828</v>
      </c>
      <c r="W24" s="792"/>
      <c r="X24" s="480">
        <v>112.3</v>
      </c>
      <c r="Y24" s="480">
        <v>113.75</v>
      </c>
      <c r="Z24" s="480">
        <v>111.53</v>
      </c>
      <c r="AA24" s="323">
        <v>112.98</v>
      </c>
      <c r="AB24" s="220"/>
      <c r="AC24" s="322">
        <v>42027</v>
      </c>
      <c r="AD24" s="323">
        <v>2051.8200000000002</v>
      </c>
      <c r="AE24" s="220"/>
      <c r="AF24" s="324">
        <v>1287.7689800000001</v>
      </c>
      <c r="AG24" s="208">
        <v>10.73387</v>
      </c>
      <c r="AH24" s="208">
        <v>23.226410000000001</v>
      </c>
      <c r="AI24" s="208">
        <v>57.605829999999997</v>
      </c>
      <c r="AJ24" s="208">
        <v>40.08</v>
      </c>
      <c r="AK24" s="208">
        <v>28.21</v>
      </c>
      <c r="AL24" s="208">
        <v>3.5104299999999999</v>
      </c>
      <c r="AM24" s="208">
        <v>12.34389</v>
      </c>
      <c r="AN24" s="208">
        <v>43.35</v>
      </c>
      <c r="AO24" s="208">
        <v>44.19</v>
      </c>
      <c r="AP24" s="208">
        <v>39.479999999999997</v>
      </c>
      <c r="AQ24" s="208">
        <v>22.01</v>
      </c>
      <c r="AR24" s="208">
        <v>33.09572</v>
      </c>
      <c r="AS24" s="208">
        <v>10.71246</v>
      </c>
      <c r="AT24" s="208">
        <v>39.479999999999997</v>
      </c>
      <c r="AU24" s="208">
        <v>11.316190000000001</v>
      </c>
      <c r="AV24" s="208">
        <v>28.7</v>
      </c>
      <c r="AW24" s="208">
        <v>90.08</v>
      </c>
      <c r="AX24" s="208">
        <v>88.51</v>
      </c>
      <c r="AY24" s="208">
        <v>73.790000000000006</v>
      </c>
      <c r="AZ24" s="208">
        <v>64.572999999999993</v>
      </c>
      <c r="BA24" s="208">
        <v>56.68</v>
      </c>
      <c r="BB24" s="208">
        <v>62.49</v>
      </c>
      <c r="BC24" s="208">
        <v>47.15</v>
      </c>
      <c r="BD24" s="208">
        <v>47.18</v>
      </c>
      <c r="BE24" s="208">
        <v>43.31</v>
      </c>
      <c r="BF24" s="208">
        <v>32.450000000000003</v>
      </c>
      <c r="BG24" s="208">
        <v>36.445</v>
      </c>
      <c r="BH24" s="208"/>
      <c r="BI24" s="323">
        <v>24.48</v>
      </c>
    </row>
    <row r="25" spans="2:61" ht="15" customHeight="1">
      <c r="B25" s="807" t="str">
        <f>IF(Peers!C29="", "", Peers!C29)</f>
        <v/>
      </c>
      <c r="C25" s="808"/>
      <c r="D25" s="804" t="str">
        <f>IF(Peers!E29="", "", Peers!E29)</f>
        <v/>
      </c>
      <c r="E25" s="805"/>
      <c r="F25" s="806"/>
      <c r="G25" s="311"/>
      <c r="H25" s="311"/>
      <c r="I25" s="311"/>
      <c r="J25" s="317"/>
      <c r="K25" s="312"/>
      <c r="L25" s="312"/>
      <c r="M25" s="312"/>
      <c r="N25" s="312"/>
      <c r="O25" s="312"/>
      <c r="P25" s="318">
        <f t="shared" si="2"/>
        <v>42030</v>
      </c>
      <c r="Q25" s="205">
        <f t="shared" si="0"/>
        <v>103.44827586206897</v>
      </c>
      <c r="R25" s="205"/>
      <c r="S25" s="319">
        <f t="shared" si="1"/>
        <v>99.946069381012549</v>
      </c>
      <c r="U25" s="318">
        <v>42030</v>
      </c>
      <c r="V25" s="794">
        <v>55614979</v>
      </c>
      <c r="W25" s="795"/>
      <c r="X25" s="482">
        <v>113.74</v>
      </c>
      <c r="Y25" s="482">
        <v>114.3626</v>
      </c>
      <c r="Z25" s="482">
        <v>112.8</v>
      </c>
      <c r="AA25" s="319">
        <v>113.1</v>
      </c>
      <c r="AB25" s="220"/>
      <c r="AC25" s="318">
        <v>42030</v>
      </c>
      <c r="AD25" s="319">
        <v>2057.09</v>
      </c>
      <c r="AE25" s="220"/>
      <c r="AF25" s="320">
        <v>1285.06402</v>
      </c>
      <c r="AG25" s="205">
        <v>10.54241</v>
      </c>
      <c r="AH25" s="205">
        <v>23.26829</v>
      </c>
      <c r="AI25" s="205">
        <v>58.100810000000003</v>
      </c>
      <c r="AJ25" s="205">
        <v>38.840000000000003</v>
      </c>
      <c r="AK25" s="205">
        <v>27.97</v>
      </c>
      <c r="AL25" s="205">
        <v>3.5069499999999998</v>
      </c>
      <c r="AM25" s="205">
        <v>12.44106</v>
      </c>
      <c r="AN25" s="205">
        <v>44.36</v>
      </c>
      <c r="AO25" s="205">
        <v>43.9</v>
      </c>
      <c r="AP25" s="205">
        <v>38.9</v>
      </c>
      <c r="AQ25" s="205">
        <v>22.15</v>
      </c>
      <c r="AR25" s="205">
        <v>32.81382</v>
      </c>
      <c r="AS25" s="205">
        <v>10.632860000000001</v>
      </c>
      <c r="AT25" s="205">
        <v>38.9</v>
      </c>
      <c r="AU25" s="205">
        <v>11.226559999999999</v>
      </c>
      <c r="AV25" s="205">
        <v>28.33</v>
      </c>
      <c r="AW25" s="205">
        <v>89.58</v>
      </c>
      <c r="AX25" s="205">
        <v>88.63</v>
      </c>
      <c r="AY25" s="205">
        <v>74.11</v>
      </c>
      <c r="AZ25" s="205">
        <v>64.132000000000005</v>
      </c>
      <c r="BA25" s="205">
        <v>56.77</v>
      </c>
      <c r="BB25" s="205">
        <v>62.82</v>
      </c>
      <c r="BC25" s="205">
        <v>46.96</v>
      </c>
      <c r="BD25" s="205">
        <v>47.01</v>
      </c>
      <c r="BE25" s="205">
        <v>43</v>
      </c>
      <c r="BF25" s="205">
        <v>32.799999999999997</v>
      </c>
      <c r="BG25" s="205">
        <v>35.805</v>
      </c>
      <c r="BH25" s="205"/>
      <c r="BI25" s="319">
        <v>24.59</v>
      </c>
    </row>
    <row r="26" spans="2:61" ht="15" customHeight="1">
      <c r="B26" s="809" t="str">
        <f>IF(Peers!C30="", "", Peers!C30)</f>
        <v/>
      </c>
      <c r="C26" s="810"/>
      <c r="D26" s="801" t="str">
        <f>IF(Peers!E30="", "", Peers!E30)</f>
        <v/>
      </c>
      <c r="E26" s="802"/>
      <c r="F26" s="803"/>
      <c r="G26" s="311"/>
      <c r="H26" s="311"/>
      <c r="I26" s="311"/>
      <c r="J26" s="317"/>
      <c r="K26" s="312"/>
      <c r="L26" s="312"/>
      <c r="M26" s="312"/>
      <c r="N26" s="312"/>
      <c r="O26" s="312"/>
      <c r="P26" s="322">
        <f t="shared" si="2"/>
        <v>42031</v>
      </c>
      <c r="Q26" s="208">
        <f t="shared" si="0"/>
        <v>99.82621421384799</v>
      </c>
      <c r="R26" s="208"/>
      <c r="S26" s="323">
        <f t="shared" si="1"/>
        <v>98.608006996404626</v>
      </c>
      <c r="U26" s="322">
        <v>42031</v>
      </c>
      <c r="V26" s="791">
        <v>95568749</v>
      </c>
      <c r="W26" s="792"/>
      <c r="X26" s="480">
        <v>112.42</v>
      </c>
      <c r="Y26" s="480">
        <v>112.48</v>
      </c>
      <c r="Z26" s="480">
        <v>109.03</v>
      </c>
      <c r="AA26" s="323">
        <v>109.14</v>
      </c>
      <c r="AB26" s="220"/>
      <c r="AC26" s="322">
        <v>42031</v>
      </c>
      <c r="AD26" s="323">
        <v>2029.55</v>
      </c>
      <c r="AE26" s="220"/>
      <c r="AF26" s="324">
        <v>1300.2451900000001</v>
      </c>
      <c r="AG26" s="208">
        <v>10.56406</v>
      </c>
      <c r="AH26" s="208">
        <v>23.322299999999998</v>
      </c>
      <c r="AI26" s="208">
        <v>59.718400000000003</v>
      </c>
      <c r="AJ26" s="208">
        <v>37.36</v>
      </c>
      <c r="AK26" s="208">
        <v>26.9</v>
      </c>
      <c r="AL26" s="208">
        <v>3.4649399999999999</v>
      </c>
      <c r="AM26" s="208">
        <v>12.103949999999999</v>
      </c>
      <c r="AN26" s="208">
        <v>45.22</v>
      </c>
      <c r="AO26" s="208">
        <v>43.4</v>
      </c>
      <c r="AP26" s="208">
        <v>38.07</v>
      </c>
      <c r="AQ26" s="208">
        <v>21.83</v>
      </c>
      <c r="AR26" s="208">
        <v>33.384239999999998</v>
      </c>
      <c r="AS26" s="208">
        <v>10.92835</v>
      </c>
      <c r="AT26" s="208">
        <v>38.07</v>
      </c>
      <c r="AU26" s="208">
        <v>11.64418</v>
      </c>
      <c r="AV26" s="208">
        <v>27.41</v>
      </c>
      <c r="AW26" s="208">
        <v>86.49</v>
      </c>
      <c r="AX26" s="208">
        <v>87.53</v>
      </c>
      <c r="AY26" s="208">
        <v>73.180000000000007</v>
      </c>
      <c r="AZ26" s="208">
        <v>62.747999999999998</v>
      </c>
      <c r="BA26" s="208">
        <v>56.2</v>
      </c>
      <c r="BB26" s="208">
        <v>62.56</v>
      </c>
      <c r="BC26" s="208">
        <v>46.35</v>
      </c>
      <c r="BD26" s="208">
        <v>42.66</v>
      </c>
      <c r="BE26" s="208">
        <v>42.39</v>
      </c>
      <c r="BF26" s="208">
        <v>32.6</v>
      </c>
      <c r="BG26" s="208">
        <v>34.185000000000002</v>
      </c>
      <c r="BH26" s="208"/>
      <c r="BI26" s="323">
        <v>24.38</v>
      </c>
    </row>
    <row r="27" spans="2:61" ht="15" customHeight="1">
      <c r="B27" s="807" t="str">
        <f>IF(Peers!C31="", "", Peers!C31)</f>
        <v/>
      </c>
      <c r="C27" s="808"/>
      <c r="D27" s="804" t="str">
        <f>IF(Peers!E31="", "", Peers!E31)</f>
        <v/>
      </c>
      <c r="E27" s="805"/>
      <c r="F27" s="806"/>
      <c r="G27" s="311"/>
      <c r="H27" s="311"/>
      <c r="I27" s="311"/>
      <c r="J27" s="317"/>
      <c r="K27" s="312"/>
      <c r="L27" s="312"/>
      <c r="M27" s="312"/>
      <c r="N27" s="312"/>
      <c r="O27" s="312"/>
      <c r="P27" s="318">
        <f t="shared" si="2"/>
        <v>42032</v>
      </c>
      <c r="Q27" s="205">
        <f t="shared" si="0"/>
        <v>105.46967895362664</v>
      </c>
      <c r="R27" s="205"/>
      <c r="S27" s="319">
        <f t="shared" si="1"/>
        <v>97.27723253328152</v>
      </c>
      <c r="U27" s="318">
        <v>42032</v>
      </c>
      <c r="V27" s="794">
        <v>146477063</v>
      </c>
      <c r="W27" s="795"/>
      <c r="X27" s="482">
        <v>117.625</v>
      </c>
      <c r="Y27" s="482">
        <v>118.12</v>
      </c>
      <c r="Z27" s="482">
        <v>115.31</v>
      </c>
      <c r="AA27" s="319">
        <v>115.31</v>
      </c>
      <c r="AB27" s="220"/>
      <c r="AC27" s="318">
        <v>42032</v>
      </c>
      <c r="AD27" s="319">
        <v>2002.16</v>
      </c>
      <c r="AE27" s="220"/>
      <c r="AF27" s="320">
        <v>1269.73011</v>
      </c>
      <c r="AG27" s="205">
        <v>10.167859999999999</v>
      </c>
      <c r="AH27" s="205">
        <v>23.972840000000001</v>
      </c>
      <c r="AI27" s="205">
        <v>58.51079</v>
      </c>
      <c r="AJ27" s="205">
        <v>37.159999999999997</v>
      </c>
      <c r="AK27" s="205">
        <v>26.805</v>
      </c>
      <c r="AL27" s="205">
        <v>3.58446</v>
      </c>
      <c r="AM27" s="205">
        <v>12.096920000000001</v>
      </c>
      <c r="AN27" s="205">
        <v>44.58</v>
      </c>
      <c r="AO27" s="205">
        <v>42.69</v>
      </c>
      <c r="AP27" s="205">
        <v>38.005000000000003</v>
      </c>
      <c r="AQ27" s="205">
        <v>22.65</v>
      </c>
      <c r="AR27" s="205">
        <v>33.467739999999999</v>
      </c>
      <c r="AS27" s="205">
        <v>10.73959</v>
      </c>
      <c r="AT27" s="205">
        <v>38.005000000000003</v>
      </c>
      <c r="AU27" s="205">
        <v>11.884550000000001</v>
      </c>
      <c r="AV27" s="205">
        <v>26.6</v>
      </c>
      <c r="AW27" s="205">
        <v>85.15</v>
      </c>
      <c r="AX27" s="205">
        <v>86.82</v>
      </c>
      <c r="AY27" s="205">
        <v>71.709999999999994</v>
      </c>
      <c r="AZ27" s="205">
        <v>61.59</v>
      </c>
      <c r="BA27" s="205">
        <v>54.75</v>
      </c>
      <c r="BB27" s="205">
        <v>61.45</v>
      </c>
      <c r="BC27" s="205">
        <v>46.05</v>
      </c>
      <c r="BD27" s="205">
        <v>41.19</v>
      </c>
      <c r="BE27" s="205">
        <v>41.92</v>
      </c>
      <c r="BF27" s="205">
        <v>31.95</v>
      </c>
      <c r="BG27" s="205">
        <v>33.774999999999999</v>
      </c>
      <c r="BH27" s="205"/>
      <c r="BI27" s="319">
        <v>23.84</v>
      </c>
    </row>
    <row r="28" spans="2:61" ht="15" customHeight="1">
      <c r="B28" s="809" t="str">
        <f>IF(Peers!C32="", "", Peers!C32)</f>
        <v/>
      </c>
      <c r="C28" s="810"/>
      <c r="D28" s="801" t="str">
        <f>IF(Peers!E32="", "", Peers!E32)</f>
        <v/>
      </c>
      <c r="E28" s="802"/>
      <c r="F28" s="803"/>
      <c r="G28" s="311"/>
      <c r="H28" s="311"/>
      <c r="I28" s="311"/>
      <c r="J28" s="317"/>
      <c r="K28" s="312"/>
      <c r="L28" s="312"/>
      <c r="M28" s="312"/>
      <c r="N28" s="312"/>
      <c r="O28" s="312"/>
      <c r="P28" s="322">
        <f t="shared" si="2"/>
        <v>42033</v>
      </c>
      <c r="Q28" s="208">
        <f t="shared" si="0"/>
        <v>108.75331564986739</v>
      </c>
      <c r="R28" s="208"/>
      <c r="S28" s="323">
        <f t="shared" si="1"/>
        <v>98.204742007579455</v>
      </c>
      <c r="U28" s="322">
        <v>42033</v>
      </c>
      <c r="V28" s="791">
        <v>84436432</v>
      </c>
      <c r="W28" s="792"/>
      <c r="X28" s="480">
        <v>116.32</v>
      </c>
      <c r="Y28" s="480">
        <v>119.19</v>
      </c>
      <c r="Z28" s="480">
        <v>115.56</v>
      </c>
      <c r="AA28" s="323">
        <v>118.9</v>
      </c>
      <c r="AB28" s="220"/>
      <c r="AC28" s="322">
        <v>42033</v>
      </c>
      <c r="AD28" s="323">
        <v>2021.25</v>
      </c>
      <c r="AE28" s="220"/>
      <c r="AF28" s="324">
        <v>1236.2175400000001</v>
      </c>
      <c r="AG28" s="208">
        <v>10.20553</v>
      </c>
      <c r="AH28" s="208">
        <v>23.449380000000001</v>
      </c>
      <c r="AI28" s="208">
        <v>56.902369999999998</v>
      </c>
      <c r="AJ28" s="208">
        <v>37.74</v>
      </c>
      <c r="AK28" s="208">
        <v>27.22</v>
      </c>
      <c r="AL28" s="208">
        <v>3.5497700000000001</v>
      </c>
      <c r="AM28" s="208">
        <v>12.2629</v>
      </c>
      <c r="AN28" s="208">
        <v>45</v>
      </c>
      <c r="AO28" s="208">
        <v>42.86</v>
      </c>
      <c r="AP28" s="208">
        <v>38.06</v>
      </c>
      <c r="AQ28" s="208">
        <v>22.71</v>
      </c>
      <c r="AR28" s="208">
        <v>31.612300000000001</v>
      </c>
      <c r="AS28" s="208">
        <v>10.59047</v>
      </c>
      <c r="AT28" s="208">
        <v>38.06</v>
      </c>
      <c r="AU28" s="208">
        <v>11.58104</v>
      </c>
      <c r="AV28" s="208">
        <v>26.4</v>
      </c>
      <c r="AW28" s="208">
        <v>85.67</v>
      </c>
      <c r="AX28" s="208">
        <v>87.72</v>
      </c>
      <c r="AY28" s="208">
        <v>72.709999999999994</v>
      </c>
      <c r="AZ28" s="208">
        <v>62</v>
      </c>
      <c r="BA28" s="208">
        <v>55.67</v>
      </c>
      <c r="BB28" s="208">
        <v>62.09</v>
      </c>
      <c r="BC28" s="208">
        <v>46.11</v>
      </c>
      <c r="BD28" s="208">
        <v>42.01</v>
      </c>
      <c r="BE28" s="208">
        <v>42.1</v>
      </c>
      <c r="BF28" s="208">
        <v>31.83</v>
      </c>
      <c r="BG28" s="208">
        <v>34.21</v>
      </c>
      <c r="BH28" s="208"/>
      <c r="BI28" s="323">
        <v>24.08</v>
      </c>
    </row>
    <row r="29" spans="2:61" ht="15" customHeight="1">
      <c r="B29" s="807" t="str">
        <f>IF(Peers!C33="", "", Peers!C33)</f>
        <v/>
      </c>
      <c r="C29" s="808"/>
      <c r="D29" s="804" t="str">
        <f>IF(Peers!E33="", "", Peers!E33)</f>
        <v/>
      </c>
      <c r="E29" s="805"/>
      <c r="F29" s="806"/>
      <c r="G29" s="311"/>
      <c r="H29" s="311"/>
      <c r="I29" s="311"/>
      <c r="J29" s="317"/>
      <c r="K29" s="312"/>
      <c r="L29" s="312"/>
      <c r="M29" s="312"/>
      <c r="N29" s="312"/>
      <c r="O29" s="312"/>
      <c r="P29" s="318">
        <f t="shared" si="2"/>
        <v>42034</v>
      </c>
      <c r="Q29" s="205">
        <f t="shared" si="0"/>
        <v>107.16180371352786</v>
      </c>
      <c r="R29" s="205"/>
      <c r="S29" s="319">
        <f t="shared" si="1"/>
        <v>96.928869886308433</v>
      </c>
      <c r="U29" s="318">
        <v>42034</v>
      </c>
      <c r="V29" s="794">
        <v>83745461</v>
      </c>
      <c r="W29" s="795"/>
      <c r="X29" s="482">
        <v>118.4</v>
      </c>
      <c r="Y29" s="482">
        <v>120</v>
      </c>
      <c r="Z29" s="482">
        <v>116.85</v>
      </c>
      <c r="AA29" s="319">
        <v>117.16</v>
      </c>
      <c r="AB29" s="220"/>
      <c r="AC29" s="318">
        <v>42034</v>
      </c>
      <c r="AD29" s="319">
        <v>1994.99</v>
      </c>
      <c r="AE29" s="220"/>
      <c r="AF29" s="320">
        <v>1235.6967</v>
      </c>
      <c r="AG29" s="205">
        <v>10.146179999999999</v>
      </c>
      <c r="AH29" s="205">
        <v>23.624600000000001</v>
      </c>
      <c r="AI29" s="205">
        <v>55.040559999999999</v>
      </c>
      <c r="AJ29" s="205">
        <v>36.130000000000003</v>
      </c>
      <c r="AK29" s="205">
        <v>26.364999999999998</v>
      </c>
      <c r="AL29" s="205">
        <v>3.4925100000000002</v>
      </c>
      <c r="AM29" s="205">
        <v>12.19026</v>
      </c>
      <c r="AN29" s="205">
        <v>44.56</v>
      </c>
      <c r="AO29" s="205">
        <v>41.89</v>
      </c>
      <c r="AP29" s="205">
        <v>37.799999999999997</v>
      </c>
      <c r="AQ29" s="205">
        <v>22.73</v>
      </c>
      <c r="AR29" s="205">
        <v>31.855730000000001</v>
      </c>
      <c r="AS29" s="205">
        <v>10.47442</v>
      </c>
      <c r="AT29" s="205">
        <v>37.799999999999997</v>
      </c>
      <c r="AU29" s="205">
        <v>11.51422</v>
      </c>
      <c r="AV29" s="205">
        <v>25.93</v>
      </c>
      <c r="AW29" s="205">
        <v>84.29</v>
      </c>
      <c r="AX29" s="205">
        <v>84.98</v>
      </c>
      <c r="AY29" s="205">
        <v>71.209999999999994</v>
      </c>
      <c r="AZ29" s="205">
        <v>63.728000000000002</v>
      </c>
      <c r="BA29" s="205">
        <v>54.38</v>
      </c>
      <c r="BB29" s="205">
        <v>60.28</v>
      </c>
      <c r="BC29" s="205">
        <v>45.71</v>
      </c>
      <c r="BD29" s="205">
        <v>40.4</v>
      </c>
      <c r="BE29" s="205">
        <v>41.17</v>
      </c>
      <c r="BF29" s="205">
        <v>31.25</v>
      </c>
      <c r="BG29" s="205">
        <v>33.04</v>
      </c>
      <c r="BH29" s="205"/>
      <c r="BI29" s="319">
        <v>23.89</v>
      </c>
    </row>
    <row r="30" spans="2:61" ht="15" customHeight="1">
      <c r="B30" s="809" t="str">
        <f>IF(Peers!C34="", "", Peers!C34)</f>
        <v/>
      </c>
      <c r="C30" s="810"/>
      <c r="D30" s="801" t="str">
        <f>IF(Peers!E34="", "", Peers!E34)</f>
        <v/>
      </c>
      <c r="E30" s="802"/>
      <c r="F30" s="803"/>
      <c r="G30" s="311"/>
      <c r="H30" s="311"/>
      <c r="I30" s="311"/>
      <c r="J30" s="317"/>
      <c r="K30" s="312"/>
      <c r="L30" s="312"/>
      <c r="M30" s="312"/>
      <c r="N30" s="312"/>
      <c r="O30" s="312"/>
      <c r="P30" s="322">
        <f t="shared" si="2"/>
        <v>42037</v>
      </c>
      <c r="Q30" s="208">
        <f t="shared" si="0"/>
        <v>108.50635690112502</v>
      </c>
      <c r="R30" s="208"/>
      <c r="S30" s="323">
        <f t="shared" si="1"/>
        <v>98.185307550286666</v>
      </c>
      <c r="U30" s="322">
        <v>42037</v>
      </c>
      <c r="V30" s="791">
        <v>62739100</v>
      </c>
      <c r="W30" s="792"/>
      <c r="X30" s="480">
        <v>118.05</v>
      </c>
      <c r="Y30" s="480">
        <v>119.17</v>
      </c>
      <c r="Z30" s="480">
        <v>116.08</v>
      </c>
      <c r="AA30" s="323">
        <v>118.63</v>
      </c>
      <c r="AB30" s="220"/>
      <c r="AC30" s="322">
        <v>42037</v>
      </c>
      <c r="AD30" s="323">
        <v>2020.85</v>
      </c>
      <c r="AE30" s="220"/>
      <c r="AF30" s="324">
        <v>1243.6929</v>
      </c>
      <c r="AG30" s="208">
        <v>10.047689999999999</v>
      </c>
      <c r="AH30" s="208">
        <v>23.003150000000002</v>
      </c>
      <c r="AI30" s="208">
        <v>55.002499999999998</v>
      </c>
      <c r="AJ30" s="208">
        <v>36.47</v>
      </c>
      <c r="AK30" s="208">
        <v>26.83</v>
      </c>
      <c r="AL30" s="208">
        <v>3.4611000000000001</v>
      </c>
      <c r="AM30" s="208">
        <v>12.192769999999999</v>
      </c>
      <c r="AN30" s="208">
        <v>45.53</v>
      </c>
      <c r="AO30" s="208">
        <v>42.68</v>
      </c>
      <c r="AP30" s="208">
        <v>38.29</v>
      </c>
      <c r="AQ30" s="208">
        <v>22.56</v>
      </c>
      <c r="AR30" s="208">
        <v>31.646920000000001</v>
      </c>
      <c r="AS30" s="208">
        <v>10.54064</v>
      </c>
      <c r="AT30" s="208">
        <v>38.29</v>
      </c>
      <c r="AU30" s="208">
        <v>11.486660000000001</v>
      </c>
      <c r="AV30" s="208">
        <v>26.43</v>
      </c>
      <c r="AW30" s="208">
        <v>85.12</v>
      </c>
      <c r="AX30" s="208">
        <v>85.71</v>
      </c>
      <c r="AY30" s="208">
        <v>71.61</v>
      </c>
      <c r="AZ30" s="208">
        <v>63.835000000000001</v>
      </c>
      <c r="BA30" s="208">
        <v>55.47</v>
      </c>
      <c r="BB30" s="208">
        <v>60.88</v>
      </c>
      <c r="BC30" s="208">
        <v>46.98</v>
      </c>
      <c r="BD30" s="208">
        <v>41.28</v>
      </c>
      <c r="BE30" s="208">
        <v>41.59</v>
      </c>
      <c r="BF30" s="208">
        <v>31.65</v>
      </c>
      <c r="BG30" s="208">
        <v>33.65</v>
      </c>
      <c r="BH30" s="208"/>
      <c r="BI30" s="323">
        <v>24.21</v>
      </c>
    </row>
    <row r="31" spans="2:61" ht="15" customHeight="1">
      <c r="B31" s="807" t="str">
        <f>IF(Peers!C35="", "", Peers!C35)</f>
        <v/>
      </c>
      <c r="C31" s="808"/>
      <c r="D31" s="804" t="str">
        <f>IF(Peers!E35="", "", Peers!E35)</f>
        <v/>
      </c>
      <c r="E31" s="805"/>
      <c r="F31" s="806"/>
      <c r="G31" s="311"/>
      <c r="H31" s="311"/>
      <c r="I31" s="311"/>
      <c r="J31" s="317"/>
      <c r="K31" s="312"/>
      <c r="L31" s="312"/>
      <c r="M31" s="312"/>
      <c r="N31" s="312"/>
      <c r="O31" s="312"/>
      <c r="P31" s="318">
        <f t="shared" si="2"/>
        <v>42038</v>
      </c>
      <c r="Q31" s="205">
        <f t="shared" si="0"/>
        <v>108.52465014177261</v>
      </c>
      <c r="R31" s="205"/>
      <c r="S31" s="319">
        <f t="shared" si="1"/>
        <v>99.603051209794984</v>
      </c>
      <c r="U31" s="318">
        <v>42038</v>
      </c>
      <c r="V31" s="794">
        <v>51915749</v>
      </c>
      <c r="W31" s="795"/>
      <c r="X31" s="482">
        <v>118.5</v>
      </c>
      <c r="Y31" s="482">
        <v>119.09</v>
      </c>
      <c r="Z31" s="482">
        <v>117.61</v>
      </c>
      <c r="AA31" s="319">
        <v>118.65</v>
      </c>
      <c r="AB31" s="220"/>
      <c r="AC31" s="318">
        <v>42038</v>
      </c>
      <c r="AD31" s="319">
        <v>2050.0300000000002</v>
      </c>
      <c r="AE31" s="220"/>
      <c r="AF31" s="320">
        <v>1245.1461200000001</v>
      </c>
      <c r="AG31" s="205">
        <v>9.8938199999999998</v>
      </c>
      <c r="AH31" s="205">
        <v>22.984829999999999</v>
      </c>
      <c r="AI31" s="205">
        <v>54.965090000000004</v>
      </c>
      <c r="AJ31" s="205">
        <v>37.770000000000003</v>
      </c>
      <c r="AK31" s="205">
        <v>27.12</v>
      </c>
      <c r="AL31" s="205">
        <v>3.5479799999999999</v>
      </c>
      <c r="AM31" s="205">
        <v>12.469279999999999</v>
      </c>
      <c r="AN31" s="205">
        <v>46.69</v>
      </c>
      <c r="AO31" s="205">
        <v>43.04</v>
      </c>
      <c r="AP31" s="205">
        <v>39.26</v>
      </c>
      <c r="AQ31" s="205">
        <v>23.22</v>
      </c>
      <c r="AR31" s="205">
        <v>31.267040000000001</v>
      </c>
      <c r="AS31" s="205">
        <v>10.569420000000001</v>
      </c>
      <c r="AT31" s="205">
        <v>39.26</v>
      </c>
      <c r="AU31" s="205">
        <v>11.56697</v>
      </c>
      <c r="AV31" s="205">
        <v>26.83</v>
      </c>
      <c r="AW31" s="205">
        <v>85.95</v>
      </c>
      <c r="AX31" s="205">
        <v>86.19</v>
      </c>
      <c r="AY31" s="205">
        <v>73.33</v>
      </c>
      <c r="AZ31" s="205">
        <v>64.947999999999993</v>
      </c>
      <c r="BA31" s="205">
        <v>56.72</v>
      </c>
      <c r="BB31" s="205">
        <v>61.02</v>
      </c>
      <c r="BC31" s="205">
        <v>47.83</v>
      </c>
      <c r="BD31" s="205">
        <v>41.6</v>
      </c>
      <c r="BE31" s="205">
        <v>41.63</v>
      </c>
      <c r="BF31" s="205">
        <v>32.020000000000003</v>
      </c>
      <c r="BG31" s="205">
        <v>33.700000000000003</v>
      </c>
      <c r="BH31" s="205"/>
      <c r="BI31" s="319">
        <v>24.47</v>
      </c>
    </row>
    <row r="32" spans="2:61" ht="15" customHeight="1">
      <c r="B32" s="809" t="str">
        <f>IF(Peers!C36="", "", Peers!C36)</f>
        <v/>
      </c>
      <c r="C32" s="810"/>
      <c r="D32" s="801" t="str">
        <f>IF(Peers!E36="", "", Peers!E36)</f>
        <v/>
      </c>
      <c r="E32" s="802"/>
      <c r="F32" s="803"/>
      <c r="G32" s="311"/>
      <c r="H32" s="311"/>
      <c r="I32" s="311"/>
      <c r="J32" s="317"/>
      <c r="K32" s="312"/>
      <c r="L32" s="312"/>
      <c r="M32" s="312"/>
      <c r="N32" s="312"/>
      <c r="O32" s="312"/>
      <c r="P32" s="322">
        <f t="shared" si="2"/>
        <v>42039</v>
      </c>
      <c r="Q32" s="208">
        <f t="shared" si="0"/>
        <v>109.35699259123754</v>
      </c>
      <c r="R32" s="208"/>
      <c r="S32" s="323">
        <f t="shared" si="1"/>
        <v>99.189097269458756</v>
      </c>
      <c r="U32" s="322">
        <v>42039</v>
      </c>
      <c r="V32" s="791">
        <v>70149743</v>
      </c>
      <c r="W32" s="792"/>
      <c r="X32" s="480">
        <v>118.5</v>
      </c>
      <c r="Y32" s="480">
        <v>120.51</v>
      </c>
      <c r="Z32" s="480">
        <v>118.309</v>
      </c>
      <c r="AA32" s="323">
        <v>119.56</v>
      </c>
      <c r="AB32" s="220"/>
      <c r="AC32" s="322">
        <v>42039</v>
      </c>
      <c r="AD32" s="323">
        <v>2041.51</v>
      </c>
      <c r="AE32" s="220"/>
      <c r="AF32" s="324">
        <v>1249.3564799999999</v>
      </c>
      <c r="AG32" s="208">
        <v>9.9108400000000003</v>
      </c>
      <c r="AH32" s="208">
        <v>23.56195</v>
      </c>
      <c r="AI32" s="208">
        <v>56.354340000000001</v>
      </c>
      <c r="AJ32" s="208">
        <v>37.9</v>
      </c>
      <c r="AK32" s="208">
        <v>26.69</v>
      </c>
      <c r="AL32" s="208">
        <v>3.61741</v>
      </c>
      <c r="AM32" s="208">
        <v>12.249000000000001</v>
      </c>
      <c r="AN32" s="208">
        <v>46.98</v>
      </c>
      <c r="AO32" s="208">
        <v>42.42</v>
      </c>
      <c r="AP32" s="208">
        <v>38.92</v>
      </c>
      <c r="AQ32" s="208">
        <v>22.74</v>
      </c>
      <c r="AR32" s="208">
        <v>31.556329999999999</v>
      </c>
      <c r="AS32" s="208">
        <v>10.53518</v>
      </c>
      <c r="AT32" s="208">
        <v>38.92</v>
      </c>
      <c r="AU32" s="208">
        <v>11.321479999999999</v>
      </c>
      <c r="AV32" s="208">
        <v>26.84</v>
      </c>
      <c r="AW32" s="208">
        <v>85.79</v>
      </c>
      <c r="AX32" s="208">
        <v>86.65</v>
      </c>
      <c r="AY32" s="208">
        <v>73.739999999999995</v>
      </c>
      <c r="AZ32" s="208">
        <v>66.222999999999999</v>
      </c>
      <c r="BA32" s="208">
        <v>56.38</v>
      </c>
      <c r="BB32" s="208">
        <v>59.05</v>
      </c>
      <c r="BC32" s="208">
        <v>47.8</v>
      </c>
      <c r="BD32" s="208">
        <v>41.84</v>
      </c>
      <c r="BE32" s="208">
        <v>41.68</v>
      </c>
      <c r="BF32" s="208">
        <v>32.07</v>
      </c>
      <c r="BG32" s="208">
        <v>33.6</v>
      </c>
      <c r="BH32" s="208"/>
      <c r="BI32" s="323">
        <v>24.16</v>
      </c>
    </row>
    <row r="33" spans="2:61" ht="15" customHeight="1">
      <c r="B33" s="807" t="str">
        <f>IF(Peers!C37="", "", Peers!C37)</f>
        <v/>
      </c>
      <c r="C33" s="808"/>
      <c r="D33" s="804" t="str">
        <f>IF(Peers!E37="", "", Peers!E37)</f>
        <v/>
      </c>
      <c r="E33" s="805"/>
      <c r="F33" s="806"/>
      <c r="G33" s="311"/>
      <c r="H33" s="311"/>
      <c r="I33" s="311"/>
      <c r="J33" s="317"/>
      <c r="K33" s="312"/>
      <c r="L33" s="312"/>
      <c r="M33" s="312"/>
      <c r="N33" s="312"/>
      <c r="O33" s="312"/>
      <c r="P33" s="318">
        <f t="shared" si="2"/>
        <v>42040</v>
      </c>
      <c r="Q33" s="205">
        <f t="shared" si="0"/>
        <v>109.70456416354158</v>
      </c>
      <c r="R33" s="205"/>
      <c r="S33" s="319">
        <f t="shared" si="1"/>
        <v>100.20989213876203</v>
      </c>
      <c r="U33" s="318">
        <v>42040</v>
      </c>
      <c r="V33" s="794">
        <v>42246245</v>
      </c>
      <c r="W33" s="795"/>
      <c r="X33" s="482">
        <v>120.02</v>
      </c>
      <c r="Y33" s="482">
        <v>120.23</v>
      </c>
      <c r="Z33" s="482">
        <v>119.25</v>
      </c>
      <c r="AA33" s="319">
        <v>119.94</v>
      </c>
      <c r="AB33" s="220"/>
      <c r="AC33" s="318">
        <v>42040</v>
      </c>
      <c r="AD33" s="319">
        <v>2062.52</v>
      </c>
      <c r="AE33" s="220"/>
      <c r="AF33" s="320">
        <v>1250.47192</v>
      </c>
      <c r="AG33" s="205">
        <v>10.069979999999999</v>
      </c>
      <c r="AH33" s="205">
        <v>26.440750000000001</v>
      </c>
      <c r="AI33" s="205">
        <v>55.80162</v>
      </c>
      <c r="AJ33" s="205">
        <v>37.950000000000003</v>
      </c>
      <c r="AK33" s="205">
        <v>27.26</v>
      </c>
      <c r="AL33" s="205">
        <v>3.6231</v>
      </c>
      <c r="AM33" s="205">
        <v>12.22156</v>
      </c>
      <c r="AN33" s="205">
        <v>42.19</v>
      </c>
      <c r="AO33" s="205">
        <v>43.16</v>
      </c>
      <c r="AP33" s="205">
        <v>38.79</v>
      </c>
      <c r="AQ33" s="205">
        <v>23.24</v>
      </c>
      <c r="AR33" s="205">
        <v>31.278770000000002</v>
      </c>
      <c r="AS33" s="205">
        <v>10.5054</v>
      </c>
      <c r="AT33" s="205">
        <v>38.79</v>
      </c>
      <c r="AU33" s="205">
        <v>11.104010000000001</v>
      </c>
      <c r="AV33" s="205">
        <v>27.08</v>
      </c>
      <c r="AW33" s="205">
        <v>86.7</v>
      </c>
      <c r="AX33" s="205">
        <v>87.28</v>
      </c>
      <c r="AY33" s="205">
        <v>76</v>
      </c>
      <c r="AZ33" s="205">
        <v>67.95</v>
      </c>
      <c r="BA33" s="205">
        <v>56.77</v>
      </c>
      <c r="BB33" s="205">
        <v>59.17</v>
      </c>
      <c r="BC33" s="205">
        <v>47.86</v>
      </c>
      <c r="BD33" s="205">
        <v>42.45</v>
      </c>
      <c r="BE33" s="205">
        <v>41.79</v>
      </c>
      <c r="BF33" s="205">
        <v>32.99</v>
      </c>
      <c r="BG33" s="205">
        <v>33.94</v>
      </c>
      <c r="BH33" s="205"/>
      <c r="BI33" s="319">
        <v>24.5</v>
      </c>
    </row>
    <row r="34" spans="2:61" ht="15" customHeight="1">
      <c r="B34" s="809" t="str">
        <f>IF(Peers!C38="", "", Peers!C38)</f>
        <v/>
      </c>
      <c r="C34" s="810"/>
      <c r="D34" s="801" t="str">
        <f>IF(Peers!E38="", "", Peers!E38)</f>
        <v/>
      </c>
      <c r="E34" s="802"/>
      <c r="F34" s="803"/>
      <c r="G34" s="311"/>
      <c r="H34" s="311"/>
      <c r="I34" s="311"/>
      <c r="J34" s="317"/>
      <c r="K34" s="312"/>
      <c r="L34" s="312"/>
      <c r="M34" s="312"/>
      <c r="N34" s="312"/>
      <c r="O34" s="312"/>
      <c r="P34" s="322">
        <f t="shared" si="2"/>
        <v>42041</v>
      </c>
      <c r="Q34" s="208">
        <f t="shared" si="0"/>
        <v>108.78075551083874</v>
      </c>
      <c r="R34" s="208"/>
      <c r="S34" s="323">
        <f t="shared" si="1"/>
        <v>99.867359828976774</v>
      </c>
      <c r="U34" s="322">
        <v>42041</v>
      </c>
      <c r="V34" s="791">
        <v>43706567</v>
      </c>
      <c r="W34" s="792"/>
      <c r="X34" s="480">
        <v>120.02</v>
      </c>
      <c r="Y34" s="480">
        <v>120.25</v>
      </c>
      <c r="Z34" s="480">
        <v>118.45</v>
      </c>
      <c r="AA34" s="323">
        <v>118.93</v>
      </c>
      <c r="AB34" s="220"/>
      <c r="AC34" s="322">
        <v>42041</v>
      </c>
      <c r="AD34" s="323">
        <v>2055.4699999999998</v>
      </c>
      <c r="AE34" s="220"/>
      <c r="AF34" s="324">
        <v>1249.43084</v>
      </c>
      <c r="AG34" s="208">
        <v>10.0032</v>
      </c>
      <c r="AH34" s="208">
        <v>26.33633</v>
      </c>
      <c r="AI34" s="208">
        <v>54.913029999999999</v>
      </c>
      <c r="AJ34" s="208">
        <v>37.950000000000003</v>
      </c>
      <c r="AK34" s="208">
        <v>27.24</v>
      </c>
      <c r="AL34" s="208">
        <v>3.7079599999999999</v>
      </c>
      <c r="AM34" s="208">
        <v>12.110250000000001</v>
      </c>
      <c r="AN34" s="208">
        <v>41.63</v>
      </c>
      <c r="AO34" s="208">
        <v>42.98</v>
      </c>
      <c r="AP34" s="208">
        <v>38.869999999999997</v>
      </c>
      <c r="AQ34" s="208">
        <v>23.43</v>
      </c>
      <c r="AR34" s="208">
        <v>31.18234</v>
      </c>
      <c r="AS34" s="208">
        <v>10.367940000000001</v>
      </c>
      <c r="AT34" s="208">
        <v>38.869999999999997</v>
      </c>
      <c r="AU34" s="208">
        <v>11.101789999999999</v>
      </c>
      <c r="AV34" s="208">
        <v>27.35</v>
      </c>
      <c r="AW34" s="208">
        <v>85.61</v>
      </c>
      <c r="AX34" s="208">
        <v>87.33</v>
      </c>
      <c r="AY34" s="208">
        <v>76.099999999999994</v>
      </c>
      <c r="AZ34" s="208">
        <v>66.855000000000004</v>
      </c>
      <c r="BA34" s="208">
        <v>57.89</v>
      </c>
      <c r="BB34" s="208">
        <v>58.79</v>
      </c>
      <c r="BC34" s="208">
        <v>49.33</v>
      </c>
      <c r="BD34" s="208">
        <v>42.41</v>
      </c>
      <c r="BE34" s="208">
        <v>41.45</v>
      </c>
      <c r="BF34" s="208">
        <v>33.17</v>
      </c>
      <c r="BG34" s="208">
        <v>33.295000000000002</v>
      </c>
      <c r="BH34" s="208"/>
      <c r="BI34" s="323">
        <v>24.52</v>
      </c>
    </row>
    <row r="35" spans="2:61" ht="15" customHeight="1">
      <c r="B35" s="807" t="str">
        <f>IF(Peers!C39="", "", Peers!C39)</f>
        <v/>
      </c>
      <c r="C35" s="808"/>
      <c r="D35" s="804" t="str">
        <f>IF(Peers!E39="", "", Peers!E39)</f>
        <v/>
      </c>
      <c r="E35" s="805"/>
      <c r="F35" s="806"/>
      <c r="G35" s="311"/>
      <c r="H35" s="311"/>
      <c r="I35" s="311"/>
      <c r="J35" s="317"/>
      <c r="K35" s="312"/>
      <c r="L35" s="312"/>
      <c r="M35" s="312"/>
      <c r="N35" s="312"/>
      <c r="O35" s="312"/>
      <c r="P35" s="318">
        <f t="shared" si="2"/>
        <v>42044</v>
      </c>
      <c r="Q35" s="205">
        <f t="shared" si="0"/>
        <v>109.50333851641818</v>
      </c>
      <c r="R35" s="205"/>
      <c r="S35" s="319">
        <f t="shared" si="1"/>
        <v>99.443202798561856</v>
      </c>
      <c r="U35" s="318">
        <v>42044</v>
      </c>
      <c r="V35" s="794">
        <v>38889797</v>
      </c>
      <c r="W35" s="795"/>
      <c r="X35" s="482">
        <v>118.55</v>
      </c>
      <c r="Y35" s="482">
        <v>119.84</v>
      </c>
      <c r="Z35" s="482">
        <v>118.43</v>
      </c>
      <c r="AA35" s="319">
        <v>119.72</v>
      </c>
      <c r="AB35" s="220"/>
      <c r="AC35" s="318">
        <v>42044</v>
      </c>
      <c r="AD35" s="319">
        <v>2046.74</v>
      </c>
      <c r="AE35" s="220"/>
      <c r="AF35" s="320">
        <v>1271.32546</v>
      </c>
      <c r="AG35" s="205">
        <v>9.8756500000000003</v>
      </c>
      <c r="AH35" s="205">
        <v>25.815149999999999</v>
      </c>
      <c r="AI35" s="205">
        <v>54.771799999999999</v>
      </c>
      <c r="AJ35" s="205">
        <v>37.64</v>
      </c>
      <c r="AK35" s="205">
        <v>27.12</v>
      </c>
      <c r="AL35" s="205">
        <v>3.6785299999999999</v>
      </c>
      <c r="AM35" s="205">
        <v>12.123900000000001</v>
      </c>
      <c r="AN35" s="205">
        <v>42.5</v>
      </c>
      <c r="AO35" s="205">
        <v>43.4</v>
      </c>
      <c r="AP35" s="205">
        <v>38.85</v>
      </c>
      <c r="AQ35" s="205">
        <v>23.15</v>
      </c>
      <c r="AR35" s="205">
        <v>31.447469999999999</v>
      </c>
      <c r="AS35" s="205">
        <v>10.30063</v>
      </c>
      <c r="AT35" s="205">
        <v>38.85</v>
      </c>
      <c r="AU35" s="205">
        <v>11.10877</v>
      </c>
      <c r="AV35" s="205">
        <v>27.32</v>
      </c>
      <c r="AW35" s="205">
        <v>85.05</v>
      </c>
      <c r="AX35" s="205">
        <v>85.91</v>
      </c>
      <c r="AY35" s="205">
        <v>75.72</v>
      </c>
      <c r="AZ35" s="205">
        <v>66.364999999999995</v>
      </c>
      <c r="BA35" s="205">
        <v>57.82</v>
      </c>
      <c r="BB35" s="205">
        <v>58.33</v>
      </c>
      <c r="BC35" s="205">
        <v>49.09</v>
      </c>
      <c r="BD35" s="205">
        <v>42.36</v>
      </c>
      <c r="BE35" s="205">
        <v>41.23</v>
      </c>
      <c r="BF35" s="205">
        <v>33.07</v>
      </c>
      <c r="BG35" s="205">
        <v>32.93</v>
      </c>
      <c r="BH35" s="205"/>
      <c r="BI35" s="319">
        <v>24.64</v>
      </c>
    </row>
    <row r="36" spans="2:61" ht="15" customHeight="1">
      <c r="B36" s="809" t="str">
        <f>IF(Peers!C40="", "", Peers!C40)</f>
        <v/>
      </c>
      <c r="C36" s="810"/>
      <c r="D36" s="801" t="str">
        <f>IF(Peers!E40="", "", Peers!E40)</f>
        <v/>
      </c>
      <c r="E36" s="802"/>
      <c r="F36" s="803"/>
      <c r="G36" s="311"/>
      <c r="H36" s="311"/>
      <c r="I36" s="311"/>
      <c r="J36" s="317"/>
      <c r="K36" s="312"/>
      <c r="L36" s="312"/>
      <c r="M36" s="312"/>
      <c r="N36" s="312"/>
      <c r="O36" s="312"/>
      <c r="P36" s="322">
        <f t="shared" si="2"/>
        <v>42045</v>
      </c>
      <c r="Q36" s="208">
        <f t="shared" si="0"/>
        <v>111.60706119088997</v>
      </c>
      <c r="R36" s="208"/>
      <c r="S36" s="323">
        <f t="shared" si="1"/>
        <v>100.50481002817997</v>
      </c>
      <c r="U36" s="322">
        <v>42045</v>
      </c>
      <c r="V36" s="791">
        <v>62008506</v>
      </c>
      <c r="W36" s="792"/>
      <c r="X36" s="480">
        <v>120.17</v>
      </c>
      <c r="Y36" s="480">
        <v>122.15</v>
      </c>
      <c r="Z36" s="480">
        <v>120.16</v>
      </c>
      <c r="AA36" s="323">
        <v>122.02</v>
      </c>
      <c r="AB36" s="220"/>
      <c r="AC36" s="322">
        <v>42045</v>
      </c>
      <c r="AD36" s="323">
        <v>2068.59</v>
      </c>
      <c r="AE36" s="220"/>
      <c r="AF36" s="324">
        <v>1253.44515</v>
      </c>
      <c r="AG36" s="208">
        <v>9.9307200000000009</v>
      </c>
      <c r="AH36" s="208">
        <v>25.747679999999999</v>
      </c>
      <c r="AI36" s="208">
        <v>53.939979999999998</v>
      </c>
      <c r="AJ36" s="208">
        <v>37.89</v>
      </c>
      <c r="AK36" s="208">
        <v>27.49</v>
      </c>
      <c r="AL36" s="208">
        <v>3.7329599999999998</v>
      </c>
      <c r="AM36" s="208">
        <v>12.52928</v>
      </c>
      <c r="AN36" s="208">
        <v>43.63</v>
      </c>
      <c r="AO36" s="208">
        <v>43.99</v>
      </c>
      <c r="AP36" s="208">
        <v>39.435000000000002</v>
      </c>
      <c r="AQ36" s="208">
        <v>23.12</v>
      </c>
      <c r="AR36" s="208">
        <v>31.59085</v>
      </c>
      <c r="AS36" s="208">
        <v>10.33555</v>
      </c>
      <c r="AT36" s="208">
        <v>39.435000000000002</v>
      </c>
      <c r="AU36" s="208">
        <v>11.045489999999999</v>
      </c>
      <c r="AV36" s="208">
        <v>27.24</v>
      </c>
      <c r="AW36" s="208">
        <v>85.39</v>
      </c>
      <c r="AX36" s="208">
        <v>87.29</v>
      </c>
      <c r="AY36" s="208">
        <v>75.98</v>
      </c>
      <c r="AZ36" s="208">
        <v>66.138000000000005</v>
      </c>
      <c r="BA36" s="208">
        <v>58.46</v>
      </c>
      <c r="BB36" s="208">
        <v>58.85</v>
      </c>
      <c r="BC36" s="208">
        <v>49.51</v>
      </c>
      <c r="BD36" s="208">
        <v>42.6</v>
      </c>
      <c r="BE36" s="208">
        <v>42.4</v>
      </c>
      <c r="BF36" s="208">
        <v>34.15</v>
      </c>
      <c r="BG36" s="208">
        <v>33.700000000000003</v>
      </c>
      <c r="BH36" s="208"/>
      <c r="BI36" s="323">
        <v>24.72</v>
      </c>
    </row>
    <row r="37" spans="2:61" ht="15" customHeight="1">
      <c r="B37" s="807" t="str">
        <f>IF(Peers!C41="", "", Peers!C41)</f>
        <v/>
      </c>
      <c r="C37" s="808"/>
      <c r="D37" s="804" t="str">
        <f>IF(Peers!E41="", "", Peers!E41)</f>
        <v/>
      </c>
      <c r="E37" s="805"/>
      <c r="F37" s="806"/>
      <c r="G37" s="311"/>
      <c r="H37" s="311"/>
      <c r="I37" s="311"/>
      <c r="J37" s="317"/>
      <c r="K37" s="312"/>
      <c r="L37" s="312"/>
      <c r="M37" s="312"/>
      <c r="N37" s="312"/>
      <c r="O37" s="312"/>
      <c r="P37" s="318">
        <f t="shared" si="2"/>
        <v>42046</v>
      </c>
      <c r="Q37" s="205">
        <f t="shared" si="0"/>
        <v>114.22299460349402</v>
      </c>
      <c r="R37" s="205"/>
      <c r="S37" s="319">
        <f t="shared" si="1"/>
        <v>100.50189485958607</v>
      </c>
      <c r="U37" s="318">
        <v>42046</v>
      </c>
      <c r="V37" s="794">
        <v>73561797</v>
      </c>
      <c r="W37" s="795"/>
      <c r="X37" s="482">
        <v>122.77</v>
      </c>
      <c r="Y37" s="482">
        <v>124.92</v>
      </c>
      <c r="Z37" s="482">
        <v>122.5</v>
      </c>
      <c r="AA37" s="319">
        <v>124.88</v>
      </c>
      <c r="AB37" s="220"/>
      <c r="AC37" s="318">
        <v>42046</v>
      </c>
      <c r="AD37" s="319">
        <v>2068.5300000000002</v>
      </c>
      <c r="AE37" s="220"/>
      <c r="AF37" s="320">
        <v>1221.93164</v>
      </c>
      <c r="AG37" s="205">
        <v>9.8765400000000003</v>
      </c>
      <c r="AH37" s="205">
        <v>25.747679999999999</v>
      </c>
      <c r="AI37" s="205">
        <v>54.107669999999999</v>
      </c>
      <c r="AJ37" s="205">
        <v>38.18</v>
      </c>
      <c r="AK37" s="205">
        <v>26.93</v>
      </c>
      <c r="AL37" s="205">
        <v>3.7789700000000002</v>
      </c>
      <c r="AM37" s="205">
        <v>12.48466</v>
      </c>
      <c r="AN37" s="205">
        <v>43.83</v>
      </c>
      <c r="AO37" s="205">
        <v>43.36</v>
      </c>
      <c r="AP37" s="205">
        <v>39.79</v>
      </c>
      <c r="AQ37" s="205">
        <v>23.29</v>
      </c>
      <c r="AR37" s="205">
        <v>31.59085</v>
      </c>
      <c r="AS37" s="205">
        <v>10.4361</v>
      </c>
      <c r="AT37" s="205">
        <v>39.79</v>
      </c>
      <c r="AU37" s="205">
        <v>11.045489999999999</v>
      </c>
      <c r="AV37" s="205">
        <v>27.26</v>
      </c>
      <c r="AW37" s="205">
        <v>85.64</v>
      </c>
      <c r="AX37" s="205">
        <v>86.34</v>
      </c>
      <c r="AY37" s="205">
        <v>75.25</v>
      </c>
      <c r="AZ37" s="205">
        <v>66.498000000000005</v>
      </c>
      <c r="BA37" s="205">
        <v>58.37</v>
      </c>
      <c r="BB37" s="205">
        <v>58.74</v>
      </c>
      <c r="BC37" s="205">
        <v>49.81</v>
      </c>
      <c r="BD37" s="205">
        <v>42.38</v>
      </c>
      <c r="BE37" s="205">
        <v>42.37</v>
      </c>
      <c r="BF37" s="205">
        <v>34.25</v>
      </c>
      <c r="BG37" s="205">
        <v>33.549999999999997</v>
      </c>
      <c r="BH37" s="205"/>
      <c r="BI37" s="319">
        <v>24.77</v>
      </c>
    </row>
    <row r="38" spans="2:61" ht="15" customHeight="1">
      <c r="B38" s="809" t="str">
        <f>IF(Peers!C42="", "", Peers!C42)</f>
        <v/>
      </c>
      <c r="C38" s="810"/>
      <c r="D38" s="801" t="str">
        <f>IF(Peers!E42="", "", Peers!E42)</f>
        <v/>
      </c>
      <c r="E38" s="802"/>
      <c r="F38" s="803"/>
      <c r="G38" s="311"/>
      <c r="H38" s="311"/>
      <c r="I38" s="311"/>
      <c r="J38" s="317"/>
      <c r="K38" s="312"/>
      <c r="L38" s="312"/>
      <c r="M38" s="312"/>
      <c r="N38" s="312"/>
      <c r="O38" s="312"/>
      <c r="P38" s="322">
        <f t="shared" si="2"/>
        <v>42047</v>
      </c>
      <c r="Q38" s="208">
        <f t="shared" si="0"/>
        <v>115.66816061465288</v>
      </c>
      <c r="R38" s="208"/>
      <c r="S38" s="323">
        <f t="shared" si="1"/>
        <v>101.47118841706346</v>
      </c>
      <c r="U38" s="322">
        <v>42047</v>
      </c>
      <c r="V38" s="791">
        <v>74474466</v>
      </c>
      <c r="W38" s="792"/>
      <c r="X38" s="480">
        <v>126.06</v>
      </c>
      <c r="Y38" s="480">
        <v>127.48</v>
      </c>
      <c r="Z38" s="480">
        <v>125.57</v>
      </c>
      <c r="AA38" s="323">
        <v>126.46</v>
      </c>
      <c r="AB38" s="220"/>
      <c r="AC38" s="322">
        <v>42047</v>
      </c>
      <c r="AD38" s="323">
        <v>2088.48</v>
      </c>
      <c r="AE38" s="220"/>
      <c r="AF38" s="324">
        <v>1219.645</v>
      </c>
      <c r="AG38" s="208">
        <v>9.8623100000000008</v>
      </c>
      <c r="AH38" s="208">
        <v>27.18516</v>
      </c>
      <c r="AI38" s="208">
        <v>54.357689999999998</v>
      </c>
      <c r="AJ38" s="208">
        <v>38.369999999999997</v>
      </c>
      <c r="AK38" s="208">
        <v>29.46</v>
      </c>
      <c r="AL38" s="208">
        <v>3.9504999999999999</v>
      </c>
      <c r="AM38" s="208">
        <v>12.72503</v>
      </c>
      <c r="AN38" s="208">
        <v>46.02</v>
      </c>
      <c r="AO38" s="208">
        <v>43.89</v>
      </c>
      <c r="AP38" s="208">
        <v>36.895000000000003</v>
      </c>
      <c r="AQ38" s="208">
        <v>23.65</v>
      </c>
      <c r="AR38" s="208">
        <v>32.262140000000002</v>
      </c>
      <c r="AS38" s="208">
        <v>10.336119999999999</v>
      </c>
      <c r="AT38" s="208">
        <v>36.895000000000003</v>
      </c>
      <c r="AU38" s="208">
        <v>11.54623</v>
      </c>
      <c r="AV38" s="208">
        <v>27.87</v>
      </c>
      <c r="AW38" s="208">
        <v>86.03</v>
      </c>
      <c r="AX38" s="208">
        <v>85.89</v>
      </c>
      <c r="AY38" s="208">
        <v>76.290000000000006</v>
      </c>
      <c r="AZ38" s="208">
        <v>67.727999999999994</v>
      </c>
      <c r="BA38" s="208">
        <v>59.57</v>
      </c>
      <c r="BB38" s="208">
        <v>58.88</v>
      </c>
      <c r="BC38" s="208">
        <v>49.52</v>
      </c>
      <c r="BD38" s="208">
        <v>43.09</v>
      </c>
      <c r="BE38" s="208">
        <v>42.17</v>
      </c>
      <c r="BF38" s="208">
        <v>34.869999999999997</v>
      </c>
      <c r="BG38" s="208">
        <v>34.125</v>
      </c>
      <c r="BH38" s="208"/>
      <c r="BI38" s="323">
        <v>24.89</v>
      </c>
    </row>
    <row r="39" spans="2:61" ht="15" customHeight="1">
      <c r="B39" s="807" t="str">
        <f>IF(Peers!C43="", "", Peers!C43)</f>
        <v/>
      </c>
      <c r="C39" s="808"/>
      <c r="D39" s="804" t="str">
        <f>IF(Peers!E43="", "", Peers!E43)</f>
        <v/>
      </c>
      <c r="E39" s="805"/>
      <c r="F39" s="806"/>
      <c r="G39" s="311"/>
      <c r="H39" s="311"/>
      <c r="I39" s="311"/>
      <c r="J39" s="317"/>
      <c r="K39" s="312"/>
      <c r="L39" s="312"/>
      <c r="M39" s="312"/>
      <c r="N39" s="312"/>
      <c r="O39" s="312"/>
      <c r="P39" s="318">
        <f t="shared" si="2"/>
        <v>42048</v>
      </c>
      <c r="Q39" s="205">
        <f t="shared" si="0"/>
        <v>116.2352510747279</v>
      </c>
      <c r="R39" s="205"/>
      <c r="S39" s="319">
        <f t="shared" si="1"/>
        <v>101.88465649596733</v>
      </c>
      <c r="U39" s="318">
        <v>42048</v>
      </c>
      <c r="V39" s="794">
        <v>54272219</v>
      </c>
      <c r="W39" s="795"/>
      <c r="X39" s="482">
        <v>127.28</v>
      </c>
      <c r="Y39" s="482">
        <v>127.28</v>
      </c>
      <c r="Z39" s="482">
        <v>125.65</v>
      </c>
      <c r="AA39" s="319">
        <v>127.08</v>
      </c>
      <c r="AB39" s="220"/>
      <c r="AC39" s="318">
        <v>42048</v>
      </c>
      <c r="AD39" s="319">
        <v>2096.9899999999998</v>
      </c>
      <c r="AE39" s="220"/>
      <c r="AF39" s="320">
        <v>1239.2781</v>
      </c>
      <c r="AG39" s="205">
        <v>10.086729999999999</v>
      </c>
      <c r="AH39" s="205">
        <v>27.131419999999999</v>
      </c>
      <c r="AI39" s="205">
        <v>54.633859999999999</v>
      </c>
      <c r="AJ39" s="205">
        <v>38.56</v>
      </c>
      <c r="AK39" s="205">
        <v>29.43</v>
      </c>
      <c r="AL39" s="205">
        <v>3.91066</v>
      </c>
      <c r="AM39" s="205">
        <v>12.719620000000001</v>
      </c>
      <c r="AN39" s="205">
        <v>45.73</v>
      </c>
      <c r="AO39" s="205">
        <v>43.93</v>
      </c>
      <c r="AP39" s="205">
        <v>38.22</v>
      </c>
      <c r="AQ39" s="205">
        <v>23.84</v>
      </c>
      <c r="AR39" s="205">
        <v>32.118789999999997</v>
      </c>
      <c r="AS39" s="205">
        <v>10.35782</v>
      </c>
      <c r="AT39" s="205">
        <v>38.22</v>
      </c>
      <c r="AU39" s="205">
        <v>11.638579999999999</v>
      </c>
      <c r="AV39" s="205">
        <v>27.99</v>
      </c>
      <c r="AW39" s="205">
        <v>85.9</v>
      </c>
      <c r="AX39" s="205">
        <v>85.81</v>
      </c>
      <c r="AY39" s="205">
        <v>76.180000000000007</v>
      </c>
      <c r="AZ39" s="205">
        <v>67.408000000000001</v>
      </c>
      <c r="BA39" s="205">
        <v>59.67</v>
      </c>
      <c r="BB39" s="205">
        <v>58.81</v>
      </c>
      <c r="BC39" s="205">
        <v>49.31</v>
      </c>
      <c r="BD39" s="205">
        <v>43.87</v>
      </c>
      <c r="BE39" s="205">
        <v>41.99</v>
      </c>
      <c r="BF39" s="205">
        <v>34.64</v>
      </c>
      <c r="BG39" s="205">
        <v>34.36</v>
      </c>
      <c r="BH39" s="205"/>
      <c r="BI39" s="319">
        <v>25.15</v>
      </c>
    </row>
    <row r="40" spans="2:61" ht="15" customHeight="1">
      <c r="B40" s="809" t="str">
        <f>IF(Peers!C44="", "", Peers!C44)</f>
        <v/>
      </c>
      <c r="C40" s="810"/>
      <c r="D40" s="801" t="str">
        <f>IF(Peers!E44="", "", Peers!E44)</f>
        <v/>
      </c>
      <c r="E40" s="802"/>
      <c r="F40" s="803"/>
      <c r="G40" s="311"/>
      <c r="H40" s="311"/>
      <c r="I40" s="311"/>
      <c r="J40" s="317"/>
      <c r="K40" s="312"/>
      <c r="L40" s="312"/>
      <c r="M40" s="312"/>
      <c r="N40" s="312"/>
      <c r="O40" s="312"/>
      <c r="P40" s="322">
        <f t="shared" si="2"/>
        <v>42052</v>
      </c>
      <c r="Q40" s="208">
        <f t="shared" si="0"/>
        <v>116.92124759901216</v>
      </c>
      <c r="R40" s="208"/>
      <c r="S40" s="323">
        <f t="shared" si="1"/>
        <v>102.04742007579439</v>
      </c>
      <c r="U40" s="322">
        <v>42052</v>
      </c>
      <c r="V40" s="791">
        <v>63152405</v>
      </c>
      <c r="W40" s="792"/>
      <c r="X40" s="480">
        <v>127.49</v>
      </c>
      <c r="Y40" s="480">
        <v>128.88</v>
      </c>
      <c r="Z40" s="480">
        <v>126.92</v>
      </c>
      <c r="AA40" s="323">
        <v>127.83</v>
      </c>
      <c r="AB40" s="220"/>
      <c r="AC40" s="322">
        <v>42052</v>
      </c>
      <c r="AD40" s="323">
        <v>2100.34</v>
      </c>
      <c r="AE40" s="220"/>
      <c r="AF40" s="324">
        <v>1242.4545900000001</v>
      </c>
      <c r="AG40" s="208">
        <v>10.34121</v>
      </c>
      <c r="AH40" s="208">
        <v>26.23846</v>
      </c>
      <c r="AI40" s="208">
        <v>54.678829999999998</v>
      </c>
      <c r="AJ40" s="208">
        <v>38.53</v>
      </c>
      <c r="AK40" s="208">
        <v>29.31</v>
      </c>
      <c r="AL40" s="208">
        <v>3.8855499999999998</v>
      </c>
      <c r="AM40" s="208">
        <v>12.84009</v>
      </c>
      <c r="AN40" s="208">
        <v>45.08</v>
      </c>
      <c r="AO40" s="208">
        <v>43.84</v>
      </c>
      <c r="AP40" s="208">
        <v>37.79</v>
      </c>
      <c r="AQ40" s="208">
        <v>23.93</v>
      </c>
      <c r="AR40" s="208">
        <v>31.931149999999999</v>
      </c>
      <c r="AS40" s="208">
        <v>10.35782</v>
      </c>
      <c r="AT40" s="208">
        <v>37.79</v>
      </c>
      <c r="AU40" s="208">
        <v>11.79261</v>
      </c>
      <c r="AV40" s="208">
        <v>28.3</v>
      </c>
      <c r="AW40" s="208">
        <v>85.49</v>
      </c>
      <c r="AX40" s="208">
        <v>85.96</v>
      </c>
      <c r="AY40" s="208">
        <v>76.430000000000007</v>
      </c>
      <c r="AZ40" s="208">
        <v>67.718000000000004</v>
      </c>
      <c r="BA40" s="208">
        <v>60.1</v>
      </c>
      <c r="BB40" s="208">
        <v>58.79</v>
      </c>
      <c r="BC40" s="208">
        <v>49.18</v>
      </c>
      <c r="BD40" s="208">
        <v>43.58</v>
      </c>
      <c r="BE40" s="208">
        <v>41.81</v>
      </c>
      <c r="BF40" s="208">
        <v>34.58</v>
      </c>
      <c r="BG40" s="208">
        <v>34.734999999999999</v>
      </c>
      <c r="BH40" s="208"/>
      <c r="BI40" s="323">
        <v>25.17</v>
      </c>
    </row>
    <row r="41" spans="2:61" ht="15" customHeight="1">
      <c r="B41" s="807" t="str">
        <f>IF(Peers!C45="", "", Peers!C45)</f>
        <v/>
      </c>
      <c r="C41" s="808"/>
      <c r="D41" s="804" t="str">
        <f>IF(Peers!E45="", "", Peers!E45)</f>
        <v/>
      </c>
      <c r="E41" s="805"/>
      <c r="F41" s="806"/>
      <c r="G41" s="311"/>
      <c r="H41" s="311"/>
      <c r="I41" s="311"/>
      <c r="J41" s="317"/>
      <c r="K41" s="312"/>
      <c r="L41" s="312"/>
      <c r="M41" s="312"/>
      <c r="N41" s="312"/>
      <c r="O41" s="312"/>
      <c r="P41" s="318">
        <f t="shared" si="2"/>
        <v>42053</v>
      </c>
      <c r="Q41" s="205">
        <f t="shared" si="0"/>
        <v>117.73072349766763</v>
      </c>
      <c r="R41" s="205"/>
      <c r="S41" s="319">
        <f t="shared" si="1"/>
        <v>102.01535322126129</v>
      </c>
      <c r="U41" s="318">
        <v>42053</v>
      </c>
      <c r="V41" s="794">
        <v>44891737</v>
      </c>
      <c r="W41" s="795"/>
      <c r="X41" s="482">
        <v>127.625</v>
      </c>
      <c r="Y41" s="482">
        <v>128.78</v>
      </c>
      <c r="Z41" s="482">
        <v>127.45</v>
      </c>
      <c r="AA41" s="319">
        <v>128.715</v>
      </c>
      <c r="AB41" s="220"/>
      <c r="AC41" s="318">
        <v>42053</v>
      </c>
      <c r="AD41" s="319">
        <v>2099.6799999999998</v>
      </c>
      <c r="AE41" s="220"/>
      <c r="AF41" s="320">
        <v>1242.4545900000001</v>
      </c>
      <c r="AG41" s="205">
        <v>10.3512</v>
      </c>
      <c r="AH41" s="205">
        <v>26.618310000000001</v>
      </c>
      <c r="AI41" s="205">
        <v>54.678829999999998</v>
      </c>
      <c r="AJ41" s="205">
        <v>38.15</v>
      </c>
      <c r="AK41" s="205">
        <v>29.49</v>
      </c>
      <c r="AL41" s="205">
        <v>3.96665</v>
      </c>
      <c r="AM41" s="205">
        <v>12.86636</v>
      </c>
      <c r="AN41" s="205">
        <v>45.16</v>
      </c>
      <c r="AO41" s="205">
        <v>44.1</v>
      </c>
      <c r="AP41" s="205">
        <v>37.799999999999997</v>
      </c>
      <c r="AQ41" s="205">
        <v>23.75</v>
      </c>
      <c r="AR41" s="205">
        <v>31.87154</v>
      </c>
      <c r="AS41" s="205">
        <v>10.35782</v>
      </c>
      <c r="AT41" s="205">
        <v>37.799999999999997</v>
      </c>
      <c r="AU41" s="205">
        <v>12.187659999999999</v>
      </c>
      <c r="AV41" s="205">
        <v>28.2</v>
      </c>
      <c r="AW41" s="205">
        <v>86.26</v>
      </c>
      <c r="AX41" s="205">
        <v>86.29</v>
      </c>
      <c r="AY41" s="205">
        <v>76.31</v>
      </c>
      <c r="AZ41" s="205">
        <v>67.28</v>
      </c>
      <c r="BA41" s="205">
        <v>59.37</v>
      </c>
      <c r="BB41" s="205">
        <v>58.8</v>
      </c>
      <c r="BC41" s="205">
        <v>48.94</v>
      </c>
      <c r="BD41" s="205">
        <v>43.53</v>
      </c>
      <c r="BE41" s="205">
        <v>41.73</v>
      </c>
      <c r="BF41" s="205">
        <v>34.479999999999997</v>
      </c>
      <c r="BG41" s="205">
        <v>34.265000000000001</v>
      </c>
      <c r="BH41" s="205"/>
      <c r="BI41" s="319">
        <v>25.25</v>
      </c>
    </row>
    <row r="42" spans="2:61" ht="15" customHeight="1">
      <c r="B42" s="809" t="str">
        <f>IF(Peers!C46="", "", Peers!C46)</f>
        <v/>
      </c>
      <c r="C42" s="810"/>
      <c r="D42" s="801" t="str">
        <f>IF(Peers!E46="", "", Peers!E46)</f>
        <v/>
      </c>
      <c r="E42" s="802"/>
      <c r="F42" s="803"/>
      <c r="G42" s="311"/>
      <c r="H42" s="311"/>
      <c r="I42" s="311"/>
      <c r="J42" s="317"/>
      <c r="K42" s="312"/>
      <c r="L42" s="312"/>
      <c r="M42" s="312"/>
      <c r="N42" s="312"/>
      <c r="O42" s="312"/>
      <c r="P42" s="322">
        <f t="shared" si="2"/>
        <v>42054</v>
      </c>
      <c r="Q42" s="208">
        <f t="shared" si="0"/>
        <v>117.48833805908716</v>
      </c>
      <c r="R42" s="208"/>
      <c r="S42" s="323">
        <f t="shared" si="1"/>
        <v>101.90700612185404</v>
      </c>
      <c r="U42" s="322">
        <v>42054</v>
      </c>
      <c r="V42" s="791">
        <v>37362381</v>
      </c>
      <c r="W42" s="792"/>
      <c r="X42" s="480">
        <v>128.47999999999999</v>
      </c>
      <c r="Y42" s="480">
        <v>129.03</v>
      </c>
      <c r="Z42" s="480">
        <v>128.33000000000001</v>
      </c>
      <c r="AA42" s="323">
        <v>128.44999999999999</v>
      </c>
      <c r="AB42" s="220"/>
      <c r="AC42" s="322">
        <v>42054</v>
      </c>
      <c r="AD42" s="323">
        <v>2097.4499999999998</v>
      </c>
      <c r="AE42" s="220"/>
      <c r="AF42" s="324">
        <v>1242.4545900000001</v>
      </c>
      <c r="AG42" s="208">
        <v>10.37298</v>
      </c>
      <c r="AH42" s="208">
        <v>27.133610000000001</v>
      </c>
      <c r="AI42" s="208">
        <v>54.678829999999998</v>
      </c>
      <c r="AJ42" s="208">
        <v>38.380000000000003</v>
      </c>
      <c r="AK42" s="208">
        <v>29.31</v>
      </c>
      <c r="AL42" s="208">
        <v>3.9464299999999999</v>
      </c>
      <c r="AM42" s="208">
        <v>12.99226</v>
      </c>
      <c r="AN42" s="208">
        <v>45.17</v>
      </c>
      <c r="AO42" s="208">
        <v>44.11</v>
      </c>
      <c r="AP42" s="208">
        <v>37.844999999999999</v>
      </c>
      <c r="AQ42" s="208">
        <v>24</v>
      </c>
      <c r="AR42" s="208">
        <v>32.090310000000002</v>
      </c>
      <c r="AS42" s="208">
        <v>10.35782</v>
      </c>
      <c r="AT42" s="208">
        <v>37.844999999999999</v>
      </c>
      <c r="AU42" s="208">
        <v>12.322369999999999</v>
      </c>
      <c r="AV42" s="208">
        <v>28.72</v>
      </c>
      <c r="AW42" s="208">
        <v>85.21</v>
      </c>
      <c r="AX42" s="208">
        <v>83.52</v>
      </c>
      <c r="AY42" s="208">
        <v>76.08</v>
      </c>
      <c r="AZ42" s="208">
        <v>67.275000000000006</v>
      </c>
      <c r="BA42" s="208">
        <v>59.23</v>
      </c>
      <c r="BB42" s="208">
        <v>58.3</v>
      </c>
      <c r="BC42" s="208">
        <v>48.91</v>
      </c>
      <c r="BD42" s="208">
        <v>43.5</v>
      </c>
      <c r="BE42" s="208">
        <v>42.11</v>
      </c>
      <c r="BF42" s="208">
        <v>34.409999999999997</v>
      </c>
      <c r="BG42" s="208">
        <v>34.21</v>
      </c>
      <c r="BH42" s="208"/>
      <c r="BI42" s="323">
        <v>25.01</v>
      </c>
    </row>
    <row r="43" spans="2:61" ht="15" customHeight="1">
      <c r="B43" s="811" t="str">
        <f>IF(Peers!C47="", "", Peers!C47)</f>
        <v/>
      </c>
      <c r="C43" s="812"/>
      <c r="D43" s="813" t="str">
        <f>IF(Peers!E47="", "", Peers!E47)</f>
        <v/>
      </c>
      <c r="E43" s="814"/>
      <c r="F43" s="815"/>
      <c r="G43" s="311"/>
      <c r="H43" s="311"/>
      <c r="I43" s="311"/>
      <c r="J43" s="317"/>
      <c r="K43" s="312"/>
      <c r="L43" s="312"/>
      <c r="M43" s="312"/>
      <c r="N43" s="312"/>
      <c r="O43" s="312"/>
      <c r="P43" s="318">
        <f t="shared" si="2"/>
        <v>42055</v>
      </c>
      <c r="Q43" s="205">
        <f t="shared" si="0"/>
        <v>118.44415988292327</v>
      </c>
      <c r="R43" s="205"/>
      <c r="S43" s="319">
        <f t="shared" si="1"/>
        <v>102.53133806238463</v>
      </c>
      <c r="U43" s="318">
        <v>42055</v>
      </c>
      <c r="V43" s="794">
        <v>48948419</v>
      </c>
      <c r="W43" s="795"/>
      <c r="X43" s="482">
        <v>128.62</v>
      </c>
      <c r="Y43" s="482">
        <v>129.5</v>
      </c>
      <c r="Z43" s="482">
        <v>128.05000000000001</v>
      </c>
      <c r="AA43" s="319">
        <v>129.495</v>
      </c>
      <c r="AB43" s="220"/>
      <c r="AC43" s="318">
        <v>42055</v>
      </c>
      <c r="AD43" s="319">
        <v>2110.3000000000002</v>
      </c>
      <c r="AE43" s="220"/>
      <c r="AF43" s="320">
        <v>1242.4545900000001</v>
      </c>
      <c r="AG43" s="205">
        <v>10.286949999999999</v>
      </c>
      <c r="AH43" s="205">
        <v>26.951250000000002</v>
      </c>
      <c r="AI43" s="205">
        <v>54.678829999999998</v>
      </c>
      <c r="AJ43" s="205">
        <v>38.39</v>
      </c>
      <c r="AK43" s="205">
        <v>29.61</v>
      </c>
      <c r="AL43" s="205">
        <v>3.8929900000000002</v>
      </c>
      <c r="AM43" s="205">
        <v>12.94928</v>
      </c>
      <c r="AN43" s="205">
        <v>45.29</v>
      </c>
      <c r="AO43" s="205">
        <v>43.77</v>
      </c>
      <c r="AP43" s="205">
        <v>38.200000000000003</v>
      </c>
      <c r="AQ43" s="205">
        <v>24.2</v>
      </c>
      <c r="AR43" s="205">
        <v>32.268250000000002</v>
      </c>
      <c r="AS43" s="205">
        <v>10.35782</v>
      </c>
      <c r="AT43" s="205">
        <v>38.200000000000003</v>
      </c>
      <c r="AU43" s="205">
        <v>12.275829999999999</v>
      </c>
      <c r="AV43" s="205">
        <v>29.04</v>
      </c>
      <c r="AW43" s="205">
        <v>84.87</v>
      </c>
      <c r="AX43" s="205">
        <v>84.3</v>
      </c>
      <c r="AY43" s="205">
        <v>76.67</v>
      </c>
      <c r="AZ43" s="205">
        <v>68.25</v>
      </c>
      <c r="BA43" s="205">
        <v>59.8</v>
      </c>
      <c r="BB43" s="205">
        <v>58.35</v>
      </c>
      <c r="BC43" s="205">
        <v>48.97</v>
      </c>
      <c r="BD43" s="205">
        <v>43.854999999999997</v>
      </c>
      <c r="BE43" s="205">
        <v>41.97</v>
      </c>
      <c r="BF43" s="205">
        <v>34.56</v>
      </c>
      <c r="BG43" s="205">
        <v>34.409999999999997</v>
      </c>
      <c r="BH43" s="205"/>
      <c r="BI43" s="319">
        <v>25.21</v>
      </c>
    </row>
    <row r="44" spans="2:61" ht="15" customHeight="1">
      <c r="C44" s="325"/>
      <c r="D44" s="326"/>
      <c r="E44" s="311"/>
      <c r="F44" s="311"/>
      <c r="G44" s="311"/>
      <c r="H44" s="311"/>
      <c r="I44" s="311"/>
      <c r="J44" s="317"/>
      <c r="K44" s="312"/>
      <c r="L44" s="312"/>
      <c r="M44" s="312"/>
      <c r="N44" s="312"/>
      <c r="O44" s="312"/>
      <c r="P44" s="322">
        <f t="shared" si="2"/>
        <v>42058</v>
      </c>
      <c r="Q44" s="208">
        <f t="shared" si="0"/>
        <v>121.65005030641179</v>
      </c>
      <c r="R44" s="208"/>
      <c r="S44" s="323">
        <f t="shared" si="1"/>
        <v>102.50024293071615</v>
      </c>
      <c r="U44" s="322">
        <v>42058</v>
      </c>
      <c r="V44" s="791">
        <v>70974110</v>
      </c>
      <c r="W44" s="792"/>
      <c r="X44" s="480">
        <v>130.02000000000001</v>
      </c>
      <c r="Y44" s="480">
        <v>133</v>
      </c>
      <c r="Z44" s="480">
        <v>129.66</v>
      </c>
      <c r="AA44" s="323">
        <v>133</v>
      </c>
      <c r="AB44" s="220"/>
      <c r="AC44" s="322">
        <v>42058</v>
      </c>
      <c r="AD44" s="323">
        <v>2109.66</v>
      </c>
      <c r="AE44" s="220"/>
      <c r="AF44" s="324">
        <v>1232.3197700000001</v>
      </c>
      <c r="AG44" s="208">
        <v>10.090579999999999</v>
      </c>
      <c r="AH44" s="208">
        <v>26.9619</v>
      </c>
      <c r="AI44" s="208">
        <v>54.899979999999999</v>
      </c>
      <c r="AJ44" s="208">
        <v>38.19</v>
      </c>
      <c r="AK44" s="208">
        <v>29.63</v>
      </c>
      <c r="AL44" s="208">
        <v>3.8902799999999997</v>
      </c>
      <c r="AM44" s="208">
        <v>12.87421</v>
      </c>
      <c r="AN44" s="208">
        <v>44.63</v>
      </c>
      <c r="AO44" s="208">
        <v>43.78</v>
      </c>
      <c r="AP44" s="208">
        <v>38.51</v>
      </c>
      <c r="AQ44" s="208">
        <v>24.13</v>
      </c>
      <c r="AR44" s="208">
        <v>32.323999999999998</v>
      </c>
      <c r="AS44" s="208">
        <v>10.35782</v>
      </c>
      <c r="AT44" s="208">
        <v>38.51</v>
      </c>
      <c r="AU44" s="208">
        <v>12.13306</v>
      </c>
      <c r="AV44" s="208">
        <v>28.75</v>
      </c>
      <c r="AW44" s="208">
        <v>85.39</v>
      </c>
      <c r="AX44" s="208">
        <v>84.6</v>
      </c>
      <c r="AY44" s="208">
        <v>77.459999999999994</v>
      </c>
      <c r="AZ44" s="208">
        <v>68.253</v>
      </c>
      <c r="BA44" s="208">
        <v>59.35</v>
      </c>
      <c r="BB44" s="208">
        <v>58.3</v>
      </c>
      <c r="BC44" s="208">
        <v>48.77</v>
      </c>
      <c r="BD44" s="208">
        <v>44.15</v>
      </c>
      <c r="BE44" s="208">
        <v>41.85</v>
      </c>
      <c r="BF44" s="208">
        <v>34.39</v>
      </c>
      <c r="BG44" s="208">
        <v>33.76</v>
      </c>
      <c r="BH44" s="208"/>
      <c r="BI44" s="323">
        <v>25.17</v>
      </c>
    </row>
    <row r="45" spans="2:61" ht="15" customHeight="1">
      <c r="C45" s="325"/>
      <c r="D45" s="326"/>
      <c r="E45" s="311"/>
      <c r="F45" s="311"/>
      <c r="G45" s="311"/>
      <c r="H45" s="311"/>
      <c r="I45" s="311"/>
      <c r="J45" s="317"/>
      <c r="K45" s="312"/>
      <c r="L45" s="312"/>
      <c r="M45" s="312"/>
      <c r="N45" s="312"/>
      <c r="O45" s="312"/>
      <c r="P45" s="318">
        <f t="shared" si="2"/>
        <v>42059</v>
      </c>
      <c r="Q45" s="205">
        <f t="shared" si="0"/>
        <v>120.89088081953716</v>
      </c>
      <c r="R45" s="205"/>
      <c r="S45" s="319">
        <f t="shared" si="1"/>
        <v>102.78301428432613</v>
      </c>
      <c r="U45" s="318">
        <v>42059</v>
      </c>
      <c r="V45" s="794">
        <v>69228130</v>
      </c>
      <c r="W45" s="795"/>
      <c r="X45" s="482">
        <v>132.94</v>
      </c>
      <c r="Y45" s="482">
        <v>133.6</v>
      </c>
      <c r="Z45" s="482">
        <v>131.16999999999999</v>
      </c>
      <c r="AA45" s="319">
        <v>132.16999999999999</v>
      </c>
      <c r="AB45" s="220"/>
      <c r="AC45" s="318">
        <v>42059</v>
      </c>
      <c r="AD45" s="319">
        <v>2115.48</v>
      </c>
      <c r="AE45" s="220"/>
      <c r="AF45" s="320">
        <v>1235.31538</v>
      </c>
      <c r="AG45" s="205">
        <v>10.159409999999999</v>
      </c>
      <c r="AH45" s="205">
        <v>27.552569999999999</v>
      </c>
      <c r="AI45" s="205">
        <v>55.304540000000003</v>
      </c>
      <c r="AJ45" s="205">
        <v>38.49</v>
      </c>
      <c r="AK45" s="205">
        <v>29.63</v>
      </c>
      <c r="AL45" s="205">
        <v>3.9222600000000001</v>
      </c>
      <c r="AM45" s="205">
        <v>13.024889999999999</v>
      </c>
      <c r="AN45" s="205">
        <v>44.73</v>
      </c>
      <c r="AO45" s="205">
        <v>43.88</v>
      </c>
      <c r="AP45" s="205">
        <v>38.57</v>
      </c>
      <c r="AQ45" s="205">
        <v>24.45</v>
      </c>
      <c r="AR45" s="205">
        <v>32.535739999999997</v>
      </c>
      <c r="AS45" s="205">
        <v>10.25197</v>
      </c>
      <c r="AT45" s="205">
        <v>38.57</v>
      </c>
      <c r="AU45" s="205">
        <v>12.14466</v>
      </c>
      <c r="AV45" s="205">
        <v>29.02</v>
      </c>
      <c r="AW45" s="205">
        <v>85.5</v>
      </c>
      <c r="AX45" s="205">
        <v>84.57</v>
      </c>
      <c r="AY45" s="205">
        <v>77.900000000000006</v>
      </c>
      <c r="AZ45" s="205">
        <v>68.117999999999995</v>
      </c>
      <c r="BA45" s="205">
        <v>60.82</v>
      </c>
      <c r="BB45" s="205">
        <v>58.36</v>
      </c>
      <c r="BC45" s="205">
        <v>49.22</v>
      </c>
      <c r="BD45" s="205">
        <v>44.09</v>
      </c>
      <c r="BE45" s="205">
        <v>42.13</v>
      </c>
      <c r="BF45" s="205">
        <v>34.340000000000003</v>
      </c>
      <c r="BG45" s="205">
        <v>34.409999999999997</v>
      </c>
      <c r="BH45" s="205"/>
      <c r="BI45" s="319">
        <v>25.39</v>
      </c>
    </row>
    <row r="46" spans="2:61" ht="15" customHeight="1">
      <c r="C46" s="325"/>
      <c r="D46" s="326"/>
      <c r="E46" s="311"/>
      <c r="F46" s="311"/>
      <c r="G46" s="311"/>
      <c r="H46" s="311"/>
      <c r="I46" s="311"/>
      <c r="J46" s="317"/>
      <c r="K46" s="312"/>
      <c r="L46" s="312"/>
      <c r="M46" s="312"/>
      <c r="N46" s="312"/>
      <c r="O46" s="312"/>
      <c r="P46" s="322">
        <f t="shared" si="2"/>
        <v>42060</v>
      </c>
      <c r="Q46" s="208">
        <f t="shared" si="0"/>
        <v>117.79932315009603</v>
      </c>
      <c r="R46" s="208"/>
      <c r="S46" s="323">
        <f t="shared" si="1"/>
        <v>102.70430473229038</v>
      </c>
      <c r="U46" s="322">
        <v>42060</v>
      </c>
      <c r="V46" s="791">
        <v>74711746</v>
      </c>
      <c r="W46" s="792"/>
      <c r="X46" s="480">
        <v>131.56</v>
      </c>
      <c r="Y46" s="480">
        <v>131.6</v>
      </c>
      <c r="Z46" s="480">
        <v>128.15</v>
      </c>
      <c r="AA46" s="323">
        <v>128.79</v>
      </c>
      <c r="AB46" s="220"/>
      <c r="AC46" s="322">
        <v>42060</v>
      </c>
      <c r="AD46" s="323">
        <v>2113.86</v>
      </c>
      <c r="AE46" s="220"/>
      <c r="AF46" s="324">
        <v>1250.3173400000001</v>
      </c>
      <c r="AG46" s="208">
        <v>10.4696</v>
      </c>
      <c r="AH46" s="208">
        <v>27.579250000000002</v>
      </c>
      <c r="AI46" s="208">
        <v>55.761069999999997</v>
      </c>
      <c r="AJ46" s="208">
        <v>34.67</v>
      </c>
      <c r="AK46" s="208">
        <v>29.49</v>
      </c>
      <c r="AL46" s="208">
        <v>3.9827300000000001</v>
      </c>
      <c r="AM46" s="208">
        <v>13.00357</v>
      </c>
      <c r="AN46" s="208">
        <v>43.95</v>
      </c>
      <c r="AO46" s="208">
        <v>43.73</v>
      </c>
      <c r="AP46" s="208">
        <v>38.619999999999997</v>
      </c>
      <c r="AQ46" s="208">
        <v>24.5</v>
      </c>
      <c r="AR46" s="208">
        <v>32.531739999999999</v>
      </c>
      <c r="AS46" s="208">
        <v>10.49451</v>
      </c>
      <c r="AT46" s="208">
        <v>38.619999999999997</v>
      </c>
      <c r="AU46" s="208">
        <v>12.16682</v>
      </c>
      <c r="AV46" s="208">
        <v>28.91</v>
      </c>
      <c r="AW46" s="208">
        <v>85.46</v>
      </c>
      <c r="AX46" s="208">
        <v>83.57</v>
      </c>
      <c r="AY46" s="208">
        <v>77.900000000000006</v>
      </c>
      <c r="AZ46" s="208">
        <v>68.253</v>
      </c>
      <c r="BA46" s="208">
        <v>61.14</v>
      </c>
      <c r="BB46" s="208">
        <v>58.49</v>
      </c>
      <c r="BC46" s="208">
        <v>49.2</v>
      </c>
      <c r="BD46" s="208">
        <v>43.99</v>
      </c>
      <c r="BE46" s="208">
        <v>42.05</v>
      </c>
      <c r="BF46" s="208">
        <v>34.659999999999997</v>
      </c>
      <c r="BG46" s="208">
        <v>33.945</v>
      </c>
      <c r="BH46" s="208"/>
      <c r="BI46" s="323">
        <v>25.91</v>
      </c>
    </row>
    <row r="47" spans="2:61" ht="15" customHeight="1">
      <c r="C47" s="325"/>
      <c r="D47" s="326"/>
      <c r="E47" s="311"/>
      <c r="F47" s="311"/>
      <c r="G47" s="311"/>
      <c r="H47" s="311"/>
      <c r="I47" s="311"/>
      <c r="J47" s="317"/>
      <c r="K47" s="312"/>
      <c r="L47" s="312"/>
      <c r="M47" s="312"/>
      <c r="N47" s="312"/>
      <c r="O47" s="312"/>
      <c r="P47" s="318">
        <f t="shared" si="2"/>
        <v>42061</v>
      </c>
      <c r="Q47" s="205">
        <f t="shared" si="0"/>
        <v>119.28564895271197</v>
      </c>
      <c r="R47" s="205"/>
      <c r="S47" s="319">
        <f t="shared" si="1"/>
        <v>102.55271596540668</v>
      </c>
      <c r="U47" s="318">
        <v>42061</v>
      </c>
      <c r="V47" s="794">
        <v>91287529</v>
      </c>
      <c r="W47" s="795"/>
      <c r="X47" s="482">
        <v>128.785</v>
      </c>
      <c r="Y47" s="482">
        <v>130.87</v>
      </c>
      <c r="Z47" s="482">
        <v>126.61</v>
      </c>
      <c r="AA47" s="319">
        <v>130.41499999999999</v>
      </c>
      <c r="AB47" s="220"/>
      <c r="AC47" s="318">
        <v>42061</v>
      </c>
      <c r="AD47" s="319">
        <v>2110.7399999999998</v>
      </c>
      <c r="AE47" s="220"/>
      <c r="AF47" s="320">
        <v>1248.0031899999999</v>
      </c>
      <c r="AG47" s="205">
        <v>10.78055</v>
      </c>
      <c r="AH47" s="205">
        <v>28.020600000000002</v>
      </c>
      <c r="AI47" s="205">
        <v>55.456719999999997</v>
      </c>
      <c r="AJ47" s="205">
        <v>34.01</v>
      </c>
      <c r="AK47" s="205">
        <v>29.91</v>
      </c>
      <c r="AL47" s="205">
        <v>3.9641500000000001</v>
      </c>
      <c r="AM47" s="205">
        <v>12.88387</v>
      </c>
      <c r="AN47" s="205">
        <v>43.96</v>
      </c>
      <c r="AO47" s="205">
        <v>43.89</v>
      </c>
      <c r="AP47" s="205">
        <v>38.65</v>
      </c>
      <c r="AQ47" s="205">
        <v>24.11</v>
      </c>
      <c r="AR47" s="205">
        <v>32.504399999999997</v>
      </c>
      <c r="AS47" s="205">
        <v>10.3842</v>
      </c>
      <c r="AT47" s="205">
        <v>38.65</v>
      </c>
      <c r="AU47" s="205">
        <v>12.19961</v>
      </c>
      <c r="AV47" s="205">
        <v>28.82</v>
      </c>
      <c r="AW47" s="205">
        <v>85.17</v>
      </c>
      <c r="AX47" s="205">
        <v>83.8</v>
      </c>
      <c r="AY47" s="205">
        <v>78.03</v>
      </c>
      <c r="AZ47" s="205">
        <v>68.438000000000002</v>
      </c>
      <c r="BA47" s="205">
        <v>61.58</v>
      </c>
      <c r="BB47" s="205">
        <v>58.96</v>
      </c>
      <c r="BC47" s="205">
        <v>49.37</v>
      </c>
      <c r="BD47" s="205">
        <v>44.055</v>
      </c>
      <c r="BE47" s="205">
        <v>42.46</v>
      </c>
      <c r="BF47" s="205">
        <v>34.590000000000003</v>
      </c>
      <c r="BG47" s="205">
        <v>33.65</v>
      </c>
      <c r="BH47" s="205"/>
      <c r="BI47" s="319">
        <v>25.89</v>
      </c>
    </row>
    <row r="48" spans="2:61" ht="15" customHeight="1">
      <c r="C48" s="325"/>
      <c r="D48" s="326"/>
      <c r="E48" s="311"/>
      <c r="F48" s="311"/>
      <c r="G48" s="311"/>
      <c r="H48" s="311"/>
      <c r="I48" s="311"/>
      <c r="J48" s="317"/>
      <c r="K48" s="312"/>
      <c r="L48" s="312"/>
      <c r="M48" s="312"/>
      <c r="N48" s="312"/>
      <c r="O48" s="312"/>
      <c r="P48" s="322">
        <f t="shared" si="2"/>
        <v>42062</v>
      </c>
      <c r="Q48" s="208">
        <f t="shared" si="0"/>
        <v>117.49748467941097</v>
      </c>
      <c r="R48" s="208"/>
      <c r="S48" s="323">
        <f t="shared" si="1"/>
        <v>102.24953843163931</v>
      </c>
      <c r="U48" s="322">
        <v>42062</v>
      </c>
      <c r="V48" s="791">
        <v>62014847</v>
      </c>
      <c r="W48" s="792"/>
      <c r="X48" s="480">
        <v>130</v>
      </c>
      <c r="Y48" s="480">
        <v>130.57</v>
      </c>
      <c r="Z48" s="480">
        <v>128.24</v>
      </c>
      <c r="AA48" s="323">
        <v>128.46</v>
      </c>
      <c r="AB48" s="220"/>
      <c r="AC48" s="322">
        <v>42062</v>
      </c>
      <c r="AD48" s="323">
        <v>2104.5</v>
      </c>
      <c r="AE48" s="220"/>
      <c r="AF48" s="324">
        <v>1232.6614400000001</v>
      </c>
      <c r="AG48" s="208">
        <v>10.824210000000001</v>
      </c>
      <c r="AH48" s="208">
        <v>28.51595</v>
      </c>
      <c r="AI48" s="208">
        <v>56.137419999999999</v>
      </c>
      <c r="AJ48" s="208">
        <v>34.840000000000003</v>
      </c>
      <c r="AK48" s="208">
        <v>29.51</v>
      </c>
      <c r="AL48" s="208">
        <v>3.9148899999999998</v>
      </c>
      <c r="AM48" s="208">
        <v>12.93929</v>
      </c>
      <c r="AN48" s="208">
        <v>44.52</v>
      </c>
      <c r="AO48" s="208">
        <v>43.82</v>
      </c>
      <c r="AP48" s="208">
        <v>38.65</v>
      </c>
      <c r="AQ48" s="208">
        <v>23.91</v>
      </c>
      <c r="AR48" s="208">
        <v>32.478700000000003</v>
      </c>
      <c r="AS48" s="208">
        <v>10.3842</v>
      </c>
      <c r="AT48" s="208">
        <v>38.65</v>
      </c>
      <c r="AU48" s="208">
        <v>12.485390000000001</v>
      </c>
      <c r="AV48" s="208">
        <v>28.94</v>
      </c>
      <c r="AW48" s="208">
        <v>85.13</v>
      </c>
      <c r="AX48" s="208">
        <v>83.93</v>
      </c>
      <c r="AY48" s="208">
        <v>77.849999999999994</v>
      </c>
      <c r="AZ48" s="208">
        <v>67.828000000000003</v>
      </c>
      <c r="BA48" s="208">
        <v>61.28</v>
      </c>
      <c r="BB48" s="208">
        <v>58.54</v>
      </c>
      <c r="BC48" s="208">
        <v>49.45</v>
      </c>
      <c r="BD48" s="208">
        <v>43.85</v>
      </c>
      <c r="BE48" s="208">
        <v>43.3</v>
      </c>
      <c r="BF48" s="208">
        <v>34.32</v>
      </c>
      <c r="BG48" s="208">
        <v>33.25</v>
      </c>
      <c r="BH48" s="208"/>
      <c r="BI48" s="323">
        <v>25.99</v>
      </c>
    </row>
    <row r="49" spans="3:61" ht="15" customHeight="1">
      <c r="C49" s="325"/>
      <c r="D49" s="326"/>
      <c r="E49" s="311"/>
      <c r="F49" s="311"/>
      <c r="G49" s="311"/>
      <c r="H49" s="311"/>
      <c r="I49" s="311"/>
      <c r="J49" s="317"/>
      <c r="K49" s="312"/>
      <c r="L49" s="312"/>
      <c r="M49" s="312"/>
      <c r="N49" s="312"/>
      <c r="O49" s="312"/>
      <c r="P49" s="318">
        <f t="shared" si="2"/>
        <v>42065</v>
      </c>
      <c r="Q49" s="205">
        <f t="shared" si="0"/>
        <v>118.07372175980974</v>
      </c>
      <c r="R49" s="205"/>
      <c r="S49" s="319">
        <f t="shared" si="1"/>
        <v>102.87581381789914</v>
      </c>
      <c r="U49" s="318">
        <v>42065</v>
      </c>
      <c r="V49" s="794">
        <v>48096663</v>
      </c>
      <c r="W49" s="795"/>
      <c r="X49" s="482">
        <v>129.25</v>
      </c>
      <c r="Y49" s="482">
        <v>130.28</v>
      </c>
      <c r="Z49" s="482">
        <v>128.30000000000001</v>
      </c>
      <c r="AA49" s="319">
        <v>129.09</v>
      </c>
      <c r="AB49" s="220"/>
      <c r="AC49" s="318">
        <v>42065</v>
      </c>
      <c r="AD49" s="319">
        <v>2117.39</v>
      </c>
      <c r="AE49" s="220"/>
      <c r="AF49" s="320">
        <v>1291.3002799999999</v>
      </c>
      <c r="AG49" s="205">
        <v>11.053509999999999</v>
      </c>
      <c r="AH49" s="205">
        <v>27.846679999999999</v>
      </c>
      <c r="AI49" s="205">
        <v>54.900680000000001</v>
      </c>
      <c r="AJ49" s="205">
        <v>34.92</v>
      </c>
      <c r="AK49" s="205">
        <v>30.19</v>
      </c>
      <c r="AL49" s="205">
        <v>3.9268299999999998</v>
      </c>
      <c r="AM49" s="205">
        <v>12.837859999999999</v>
      </c>
      <c r="AN49" s="205">
        <v>44.96</v>
      </c>
      <c r="AO49" s="205">
        <v>44.03</v>
      </c>
      <c r="AP49" s="205">
        <v>38.58</v>
      </c>
      <c r="AQ49" s="205">
        <v>24.01</v>
      </c>
      <c r="AR49" s="205">
        <v>32.437159999999999</v>
      </c>
      <c r="AS49" s="205">
        <v>10.28237</v>
      </c>
      <c r="AT49" s="205">
        <v>38.58</v>
      </c>
      <c r="AU49" s="205">
        <v>12.6311</v>
      </c>
      <c r="AV49" s="205">
        <v>28.88</v>
      </c>
      <c r="AW49" s="205">
        <v>85.41</v>
      </c>
      <c r="AX49" s="205">
        <v>83.96</v>
      </c>
      <c r="AY49" s="205">
        <v>78.489999999999995</v>
      </c>
      <c r="AZ49" s="205">
        <v>69.572999999999993</v>
      </c>
      <c r="BA49" s="205">
        <v>61.77</v>
      </c>
      <c r="BB49" s="205">
        <v>58.58</v>
      </c>
      <c r="BC49" s="205">
        <v>49.47</v>
      </c>
      <c r="BD49" s="205">
        <v>43.88</v>
      </c>
      <c r="BE49" s="205">
        <v>43.2</v>
      </c>
      <c r="BF49" s="205">
        <v>34.770000000000003</v>
      </c>
      <c r="BG49" s="205">
        <v>34.06</v>
      </c>
      <c r="BH49" s="205"/>
      <c r="BI49" s="319">
        <v>26.11</v>
      </c>
    </row>
    <row r="50" spans="3:61" ht="15" customHeight="1">
      <c r="C50" s="325"/>
      <c r="D50" s="326"/>
      <c r="E50" s="311"/>
      <c r="F50" s="311"/>
      <c r="G50" s="311"/>
      <c r="H50" s="311"/>
      <c r="I50" s="311"/>
      <c r="J50" s="317"/>
      <c r="K50" s="312"/>
      <c r="L50" s="312"/>
      <c r="M50" s="312"/>
      <c r="N50" s="312"/>
      <c r="O50" s="312"/>
      <c r="P50" s="322">
        <f t="shared" si="2"/>
        <v>42066</v>
      </c>
      <c r="Q50" s="208">
        <f t="shared" si="0"/>
        <v>118.32068050855212</v>
      </c>
      <c r="R50" s="208"/>
      <c r="S50" s="323">
        <f t="shared" si="1"/>
        <v>102.40890098144011</v>
      </c>
      <c r="U50" s="322">
        <v>42066</v>
      </c>
      <c r="V50" s="791">
        <v>37816283</v>
      </c>
      <c r="W50" s="792"/>
      <c r="X50" s="480">
        <v>128.96</v>
      </c>
      <c r="Y50" s="480">
        <v>129.52000000000001</v>
      </c>
      <c r="Z50" s="480">
        <v>128.09</v>
      </c>
      <c r="AA50" s="323">
        <v>129.36000000000001</v>
      </c>
      <c r="AB50" s="220"/>
      <c r="AC50" s="322">
        <v>42066</v>
      </c>
      <c r="AD50" s="323">
        <v>2107.7800000000002</v>
      </c>
      <c r="AE50" s="220"/>
      <c r="AF50" s="324">
        <v>1292.5690999999999</v>
      </c>
      <c r="AG50" s="208">
        <v>10.986280000000001</v>
      </c>
      <c r="AH50" s="208">
        <v>27.972909999999999</v>
      </c>
      <c r="AI50" s="208">
        <v>55.239550000000001</v>
      </c>
      <c r="AJ50" s="208">
        <v>34.57</v>
      </c>
      <c r="AK50" s="208">
        <v>29.54</v>
      </c>
      <c r="AL50" s="208">
        <v>3.8878699999999999</v>
      </c>
      <c r="AM50" s="208">
        <v>12.78373</v>
      </c>
      <c r="AN50" s="208">
        <v>44.05</v>
      </c>
      <c r="AO50" s="208">
        <v>43.38</v>
      </c>
      <c r="AP50" s="208">
        <v>38.03</v>
      </c>
      <c r="AQ50" s="208">
        <v>23.88</v>
      </c>
      <c r="AR50" s="208">
        <v>32.66433</v>
      </c>
      <c r="AS50" s="208">
        <v>10.35857</v>
      </c>
      <c r="AT50" s="208">
        <v>38.03</v>
      </c>
      <c r="AU50" s="208">
        <v>12.59826</v>
      </c>
      <c r="AV50" s="208">
        <v>28.39</v>
      </c>
      <c r="AW50" s="208">
        <v>85.16</v>
      </c>
      <c r="AX50" s="208">
        <v>83.37</v>
      </c>
      <c r="AY50" s="208">
        <v>78.069999999999993</v>
      </c>
      <c r="AZ50" s="208">
        <v>68.825000000000003</v>
      </c>
      <c r="BA50" s="208">
        <v>61.97</v>
      </c>
      <c r="BB50" s="208">
        <v>58.34</v>
      </c>
      <c r="BC50" s="208">
        <v>49.55</v>
      </c>
      <c r="BD50" s="208">
        <v>43.28</v>
      </c>
      <c r="BE50" s="208">
        <v>42.95</v>
      </c>
      <c r="BF50" s="208">
        <v>34.56</v>
      </c>
      <c r="BG50" s="208">
        <v>34.094999999999999</v>
      </c>
      <c r="BH50" s="208"/>
      <c r="BI50" s="323">
        <v>25.86</v>
      </c>
    </row>
    <row r="51" spans="3:61" ht="15" customHeight="1">
      <c r="C51" s="325"/>
      <c r="D51" s="326"/>
      <c r="E51" s="311"/>
      <c r="F51" s="311"/>
      <c r="G51" s="311"/>
      <c r="H51" s="311"/>
      <c r="I51" s="311"/>
      <c r="J51" s="317"/>
      <c r="K51" s="312"/>
      <c r="L51" s="312"/>
      <c r="M51" s="312"/>
      <c r="N51" s="312"/>
      <c r="O51" s="312"/>
      <c r="P51" s="318">
        <f t="shared" si="2"/>
        <v>42067</v>
      </c>
      <c r="Q51" s="205">
        <f t="shared" si="0"/>
        <v>117.57065764200128</v>
      </c>
      <c r="R51" s="205"/>
      <c r="S51" s="319">
        <f t="shared" si="1"/>
        <v>101.95947915654457</v>
      </c>
      <c r="U51" s="318">
        <v>42067</v>
      </c>
      <c r="V51" s="794">
        <v>31666340</v>
      </c>
      <c r="W51" s="795"/>
      <c r="X51" s="482">
        <v>129.1</v>
      </c>
      <c r="Y51" s="482">
        <v>129.56</v>
      </c>
      <c r="Z51" s="482">
        <v>128.32</v>
      </c>
      <c r="AA51" s="319">
        <v>128.54</v>
      </c>
      <c r="AB51" s="220"/>
      <c r="AC51" s="318">
        <v>42067</v>
      </c>
      <c r="AD51" s="319">
        <v>2098.5300000000002</v>
      </c>
      <c r="AE51" s="220"/>
      <c r="AF51" s="320">
        <v>1305.29567</v>
      </c>
      <c r="AG51" s="205">
        <v>10.8393</v>
      </c>
      <c r="AH51" s="205">
        <v>27.76154</v>
      </c>
      <c r="AI51" s="205">
        <v>55.318379999999998</v>
      </c>
      <c r="AJ51" s="205">
        <v>34.19</v>
      </c>
      <c r="AK51" s="205">
        <v>29.33</v>
      </c>
      <c r="AL51" s="205">
        <v>3.85894</v>
      </c>
      <c r="AM51" s="205">
        <v>12.749779999999999</v>
      </c>
      <c r="AN51" s="205">
        <v>44.64</v>
      </c>
      <c r="AO51" s="205">
        <v>43.61</v>
      </c>
      <c r="AP51" s="205">
        <v>37.799999999999997</v>
      </c>
      <c r="AQ51" s="205">
        <v>23.21</v>
      </c>
      <c r="AR51" s="205">
        <v>32.566589999999998</v>
      </c>
      <c r="AS51" s="205">
        <v>10.4117</v>
      </c>
      <c r="AT51" s="205">
        <v>37.799999999999997</v>
      </c>
      <c r="AU51" s="205">
        <v>12.59915</v>
      </c>
      <c r="AV51" s="205">
        <v>28.2</v>
      </c>
      <c r="AW51" s="205">
        <v>84.35</v>
      </c>
      <c r="AX51" s="205">
        <v>82.58</v>
      </c>
      <c r="AY51" s="205">
        <v>78.12</v>
      </c>
      <c r="AZ51" s="205">
        <v>68.438000000000002</v>
      </c>
      <c r="BA51" s="205">
        <v>62.13</v>
      </c>
      <c r="BB51" s="205">
        <v>57.88</v>
      </c>
      <c r="BC51" s="205">
        <v>49.07</v>
      </c>
      <c r="BD51" s="205">
        <v>43.055</v>
      </c>
      <c r="BE51" s="205">
        <v>42.5</v>
      </c>
      <c r="BF51" s="205">
        <v>34.64</v>
      </c>
      <c r="BG51" s="205">
        <v>34.119999999999997</v>
      </c>
      <c r="BH51" s="205"/>
      <c r="BI51" s="319">
        <v>25.66</v>
      </c>
    </row>
    <row r="52" spans="3:61" ht="15" customHeight="1">
      <c r="C52" s="325"/>
      <c r="D52" s="326"/>
      <c r="E52" s="311"/>
      <c r="F52" s="311"/>
      <c r="G52" s="311"/>
      <c r="H52" s="311"/>
      <c r="I52" s="311"/>
      <c r="J52" s="317"/>
      <c r="K52" s="312"/>
      <c r="L52" s="312"/>
      <c r="M52" s="312"/>
      <c r="N52" s="312"/>
      <c r="O52" s="312"/>
      <c r="P52" s="322">
        <f t="shared" si="2"/>
        <v>42068</v>
      </c>
      <c r="Q52" s="208">
        <f t="shared" si="0"/>
        <v>115.62242751303393</v>
      </c>
      <c r="R52" s="208"/>
      <c r="S52" s="323">
        <f t="shared" si="1"/>
        <v>102.08143037605674</v>
      </c>
      <c r="U52" s="322">
        <v>42068</v>
      </c>
      <c r="V52" s="791">
        <v>56517146</v>
      </c>
      <c r="W52" s="792"/>
      <c r="X52" s="480">
        <v>128.58000000000001</v>
      </c>
      <c r="Y52" s="480">
        <v>128.75</v>
      </c>
      <c r="Z52" s="480">
        <v>125.76</v>
      </c>
      <c r="AA52" s="323">
        <v>126.41</v>
      </c>
      <c r="AB52" s="220"/>
      <c r="AC52" s="322">
        <v>42068</v>
      </c>
      <c r="AD52" s="323">
        <v>2101.04</v>
      </c>
      <c r="AE52" s="220"/>
      <c r="AF52" s="324">
        <v>1289.8544199999999</v>
      </c>
      <c r="AG52" s="208">
        <v>10.891489999999999</v>
      </c>
      <c r="AH52" s="208">
        <v>27.83419</v>
      </c>
      <c r="AI52" s="208">
        <v>54.96848</v>
      </c>
      <c r="AJ52" s="208">
        <v>34</v>
      </c>
      <c r="AK52" s="208">
        <v>29.3</v>
      </c>
      <c r="AL52" s="208">
        <v>3.8812899999999999</v>
      </c>
      <c r="AM52" s="208">
        <v>12.791029999999999</v>
      </c>
      <c r="AN52" s="208">
        <v>44.03</v>
      </c>
      <c r="AO52" s="208">
        <v>43.8</v>
      </c>
      <c r="AP52" s="208">
        <v>38.545000000000002</v>
      </c>
      <c r="AQ52" s="208">
        <v>23.15</v>
      </c>
      <c r="AR52" s="208">
        <v>32.628599999999999</v>
      </c>
      <c r="AS52" s="208">
        <v>10.31517</v>
      </c>
      <c r="AT52" s="208">
        <v>38.545000000000002</v>
      </c>
      <c r="AU52" s="208">
        <v>12.485429999999999</v>
      </c>
      <c r="AV52" s="208">
        <v>28.01</v>
      </c>
      <c r="AW52" s="208">
        <v>84.63</v>
      </c>
      <c r="AX52" s="208">
        <v>83.57</v>
      </c>
      <c r="AY52" s="208">
        <v>78.319999999999993</v>
      </c>
      <c r="AZ52" s="208">
        <v>68.533000000000001</v>
      </c>
      <c r="BA52" s="208">
        <v>62</v>
      </c>
      <c r="BB52" s="208">
        <v>57.98</v>
      </c>
      <c r="BC52" s="208">
        <v>48.92</v>
      </c>
      <c r="BD52" s="208">
        <v>43.11</v>
      </c>
      <c r="BE52" s="208">
        <v>42.4</v>
      </c>
      <c r="BF52" s="208">
        <v>34.47</v>
      </c>
      <c r="BG52" s="208">
        <v>33.729999999999997</v>
      </c>
      <c r="BH52" s="208"/>
      <c r="BI52" s="323">
        <v>25.82</v>
      </c>
    </row>
    <row r="53" spans="3:61" ht="15" customHeight="1">
      <c r="C53" s="325"/>
      <c r="D53" s="326"/>
      <c r="E53" s="311"/>
      <c r="F53" s="311"/>
      <c r="G53" s="311"/>
      <c r="H53" s="311"/>
      <c r="I53" s="311"/>
      <c r="J53" s="317"/>
      <c r="K53" s="312"/>
      <c r="L53" s="312"/>
      <c r="M53" s="312"/>
      <c r="N53" s="312"/>
      <c r="O53" s="312"/>
      <c r="P53" s="318">
        <f t="shared" si="2"/>
        <v>42069</v>
      </c>
      <c r="Q53" s="205">
        <f t="shared" si="0"/>
        <v>115.79621329918595</v>
      </c>
      <c r="R53" s="205"/>
      <c r="S53" s="319">
        <f t="shared" si="1"/>
        <v>100.63453503060929</v>
      </c>
      <c r="U53" s="318">
        <v>42069</v>
      </c>
      <c r="V53" s="794">
        <v>72842060</v>
      </c>
      <c r="W53" s="795"/>
      <c r="X53" s="482">
        <v>128.4</v>
      </c>
      <c r="Y53" s="482">
        <v>129.37</v>
      </c>
      <c r="Z53" s="482">
        <v>126.26</v>
      </c>
      <c r="AA53" s="319">
        <v>126.6</v>
      </c>
      <c r="AB53" s="220"/>
      <c r="AC53" s="318">
        <v>42069</v>
      </c>
      <c r="AD53" s="319">
        <v>2071.2600000000002</v>
      </c>
      <c r="AE53" s="220"/>
      <c r="AF53" s="320">
        <v>1297.6144400000001</v>
      </c>
      <c r="AG53" s="205">
        <v>10.653980000000001</v>
      </c>
      <c r="AH53" s="205">
        <v>27.594480000000001</v>
      </c>
      <c r="AI53" s="205">
        <v>54.352229999999999</v>
      </c>
      <c r="AJ53" s="205">
        <v>33.18</v>
      </c>
      <c r="AK53" s="205">
        <v>28.925000000000001</v>
      </c>
      <c r="AL53" s="205">
        <v>3.7898300000000003</v>
      </c>
      <c r="AM53" s="205">
        <v>12.51652</v>
      </c>
      <c r="AN53" s="205">
        <v>42.89</v>
      </c>
      <c r="AO53" s="205">
        <v>42.38</v>
      </c>
      <c r="AP53" s="205">
        <v>38.200000000000003</v>
      </c>
      <c r="AQ53" s="205">
        <v>23.57</v>
      </c>
      <c r="AR53" s="205">
        <v>33.076990000000002</v>
      </c>
      <c r="AS53" s="205">
        <v>10.239929999999999</v>
      </c>
      <c r="AT53" s="205">
        <v>38.200000000000003</v>
      </c>
      <c r="AU53" s="205">
        <v>12.651949999999999</v>
      </c>
      <c r="AV53" s="205">
        <v>27.65</v>
      </c>
      <c r="AW53" s="205">
        <v>82.66</v>
      </c>
      <c r="AX53" s="205">
        <v>82.59</v>
      </c>
      <c r="AY53" s="205">
        <v>78.14</v>
      </c>
      <c r="AZ53" s="205">
        <v>67.334999999999994</v>
      </c>
      <c r="BA53" s="205">
        <v>60.89</v>
      </c>
      <c r="BB53" s="205">
        <v>56.84</v>
      </c>
      <c r="BC53" s="205">
        <v>48.29</v>
      </c>
      <c r="BD53" s="205">
        <v>42.36</v>
      </c>
      <c r="BE53" s="205">
        <v>41.52</v>
      </c>
      <c r="BF53" s="205">
        <v>33.97</v>
      </c>
      <c r="BG53" s="205">
        <v>33.19</v>
      </c>
      <c r="BH53" s="205"/>
      <c r="BI53" s="319">
        <v>25.42</v>
      </c>
    </row>
    <row r="54" spans="3:61" ht="15" customHeight="1">
      <c r="C54" s="325"/>
      <c r="D54" s="326"/>
      <c r="E54" s="311"/>
      <c r="F54" s="311"/>
      <c r="G54" s="311"/>
      <c r="H54" s="311"/>
      <c r="I54" s="311"/>
      <c r="J54" s="317"/>
      <c r="K54" s="312"/>
      <c r="L54" s="312"/>
      <c r="M54" s="312"/>
      <c r="N54" s="312"/>
      <c r="O54" s="312"/>
      <c r="P54" s="322">
        <f t="shared" si="2"/>
        <v>42072</v>
      </c>
      <c r="Q54" s="208">
        <f t="shared" si="0"/>
        <v>116.29013079667064</v>
      </c>
      <c r="R54" s="208"/>
      <c r="S54" s="323">
        <f t="shared" si="1"/>
        <v>101.0314838208143</v>
      </c>
      <c r="U54" s="322">
        <v>42072</v>
      </c>
      <c r="V54" s="791">
        <v>88528487</v>
      </c>
      <c r="W54" s="792"/>
      <c r="X54" s="480">
        <v>127.96</v>
      </c>
      <c r="Y54" s="480">
        <v>129.57</v>
      </c>
      <c r="Z54" s="480">
        <v>125.06</v>
      </c>
      <c r="AA54" s="323">
        <v>127.14</v>
      </c>
      <c r="AB54" s="220"/>
      <c r="AC54" s="322">
        <v>42072</v>
      </c>
      <c r="AD54" s="323">
        <v>2079.4299999999998</v>
      </c>
      <c r="AE54" s="220"/>
      <c r="AF54" s="324">
        <v>1271.7177099999999</v>
      </c>
      <c r="AG54" s="208">
        <v>9.8745799999999999</v>
      </c>
      <c r="AH54" s="208">
        <v>27.064789999999999</v>
      </c>
      <c r="AI54" s="208">
        <v>53.824109999999997</v>
      </c>
      <c r="AJ54" s="208">
        <v>32.950000000000003</v>
      </c>
      <c r="AK54" s="208">
        <v>29.36</v>
      </c>
      <c r="AL54" s="208">
        <v>3.8281499999999999</v>
      </c>
      <c r="AM54" s="208">
        <v>12.54618</v>
      </c>
      <c r="AN54" s="208">
        <v>42.85</v>
      </c>
      <c r="AO54" s="208">
        <v>42.69</v>
      </c>
      <c r="AP54" s="208">
        <v>38.44</v>
      </c>
      <c r="AQ54" s="208">
        <v>23.92</v>
      </c>
      <c r="AR54" s="208">
        <v>32.793439999999997</v>
      </c>
      <c r="AS54" s="208">
        <v>10.11863</v>
      </c>
      <c r="AT54" s="208">
        <v>38.44</v>
      </c>
      <c r="AU54" s="208">
        <v>12.491759999999999</v>
      </c>
      <c r="AV54" s="208">
        <v>27.86</v>
      </c>
      <c r="AW54" s="208">
        <v>83.09</v>
      </c>
      <c r="AX54" s="208">
        <v>82.88</v>
      </c>
      <c r="AY54" s="208">
        <v>78.569999999999993</v>
      </c>
      <c r="AZ54" s="208">
        <v>67.855000000000004</v>
      </c>
      <c r="BA54" s="208">
        <v>61.5</v>
      </c>
      <c r="BB54" s="208">
        <v>57.26</v>
      </c>
      <c r="BC54" s="208">
        <v>48.23</v>
      </c>
      <c r="BD54" s="208">
        <v>42.85</v>
      </c>
      <c r="BE54" s="208">
        <v>41.39</v>
      </c>
      <c r="BF54" s="208">
        <v>34.03</v>
      </c>
      <c r="BG54" s="208">
        <v>32.72</v>
      </c>
      <c r="BH54" s="208"/>
      <c r="BI54" s="323">
        <v>25.64</v>
      </c>
    </row>
    <row r="55" spans="3:61" ht="15" customHeight="1">
      <c r="C55" s="325"/>
      <c r="D55" s="326"/>
      <c r="E55" s="311"/>
      <c r="F55" s="311"/>
      <c r="G55" s="311"/>
      <c r="H55" s="311"/>
      <c r="I55" s="311"/>
      <c r="J55" s="317"/>
      <c r="K55" s="312"/>
      <c r="L55" s="312"/>
      <c r="M55" s="312"/>
      <c r="N55" s="312"/>
      <c r="O55" s="312"/>
      <c r="P55" s="318">
        <f t="shared" si="2"/>
        <v>42073</v>
      </c>
      <c r="Q55" s="205">
        <f t="shared" si="0"/>
        <v>113.88456965151377</v>
      </c>
      <c r="R55" s="205"/>
      <c r="S55" s="319">
        <f t="shared" si="1"/>
        <v>99.317850549023433</v>
      </c>
      <c r="U55" s="318">
        <v>42073</v>
      </c>
      <c r="V55" s="794">
        <v>68856582</v>
      </c>
      <c r="W55" s="795"/>
      <c r="X55" s="482">
        <v>126.41</v>
      </c>
      <c r="Y55" s="482">
        <v>127.22</v>
      </c>
      <c r="Z55" s="482">
        <v>123.8</v>
      </c>
      <c r="AA55" s="319">
        <v>124.51</v>
      </c>
      <c r="AB55" s="220"/>
      <c r="AC55" s="318">
        <v>42073</v>
      </c>
      <c r="AD55" s="319">
        <v>2044.16</v>
      </c>
      <c r="AE55" s="220"/>
      <c r="AF55" s="320">
        <v>1262.4826800000001</v>
      </c>
      <c r="AG55" s="205">
        <v>9.7890499999999996</v>
      </c>
      <c r="AH55" s="205">
        <v>26.80932</v>
      </c>
      <c r="AI55" s="205">
        <v>53.484490000000001</v>
      </c>
      <c r="AJ55" s="205">
        <v>32.67</v>
      </c>
      <c r="AK55" s="205">
        <v>28.66</v>
      </c>
      <c r="AL55" s="205">
        <v>3.7484299999999999</v>
      </c>
      <c r="AM55" s="205">
        <v>12.26657</v>
      </c>
      <c r="AN55" s="205">
        <v>42.18</v>
      </c>
      <c r="AO55" s="205">
        <v>41.82</v>
      </c>
      <c r="AP55" s="205">
        <v>37.94</v>
      </c>
      <c r="AQ55" s="205">
        <v>23.38</v>
      </c>
      <c r="AR55" s="205">
        <v>32.968440000000001</v>
      </c>
      <c r="AS55" s="205">
        <v>10.227270000000001</v>
      </c>
      <c r="AT55" s="205">
        <v>37.94</v>
      </c>
      <c r="AU55" s="205">
        <v>12.475210000000001</v>
      </c>
      <c r="AV55" s="205">
        <v>26.95</v>
      </c>
      <c r="AW55" s="205">
        <v>81.540000000000006</v>
      </c>
      <c r="AX55" s="205">
        <v>82.07</v>
      </c>
      <c r="AY55" s="205">
        <v>78.77</v>
      </c>
      <c r="AZ55" s="205">
        <v>66.3</v>
      </c>
      <c r="BA55" s="205">
        <v>59.96</v>
      </c>
      <c r="BB55" s="205">
        <v>56.58</v>
      </c>
      <c r="BC55" s="205">
        <v>47.51</v>
      </c>
      <c r="BD55" s="205">
        <v>42.03</v>
      </c>
      <c r="BE55" s="205">
        <v>40.69</v>
      </c>
      <c r="BF55" s="205">
        <v>33.78</v>
      </c>
      <c r="BG55" s="205">
        <v>31.7</v>
      </c>
      <c r="BH55" s="205"/>
      <c r="BI55" s="319">
        <v>25.17</v>
      </c>
    </row>
    <row r="56" spans="3:61" ht="15" customHeight="1">
      <c r="C56" s="325"/>
      <c r="D56" s="326"/>
      <c r="E56" s="311"/>
      <c r="F56" s="311"/>
      <c r="G56" s="311"/>
      <c r="H56" s="311"/>
      <c r="I56" s="311"/>
      <c r="J56" s="317"/>
      <c r="K56" s="312"/>
      <c r="L56" s="312"/>
      <c r="M56" s="312"/>
      <c r="N56" s="312"/>
      <c r="O56" s="312"/>
      <c r="P56" s="322">
        <f t="shared" si="2"/>
        <v>42074</v>
      </c>
      <c r="Q56" s="208">
        <f t="shared" si="0"/>
        <v>111.80828683801336</v>
      </c>
      <c r="R56" s="208"/>
      <c r="S56" s="323">
        <f t="shared" si="1"/>
        <v>99.127392867554192</v>
      </c>
      <c r="U56" s="322">
        <v>42074</v>
      </c>
      <c r="V56" s="791">
        <v>68938974</v>
      </c>
      <c r="W56" s="792"/>
      <c r="X56" s="480">
        <v>124.75</v>
      </c>
      <c r="Y56" s="480">
        <v>124.77</v>
      </c>
      <c r="Z56" s="480">
        <v>122.11</v>
      </c>
      <c r="AA56" s="323">
        <v>122.24</v>
      </c>
      <c r="AB56" s="220"/>
      <c r="AC56" s="322">
        <v>42074</v>
      </c>
      <c r="AD56" s="323">
        <v>2040.24</v>
      </c>
      <c r="AE56" s="220"/>
      <c r="AF56" s="324">
        <v>1301.7981400000001</v>
      </c>
      <c r="AG56" s="208">
        <v>9.8950999999999993</v>
      </c>
      <c r="AH56" s="208">
        <v>26.820129999999999</v>
      </c>
      <c r="AI56" s="208">
        <v>52.90211</v>
      </c>
      <c r="AJ56" s="208">
        <v>32.61</v>
      </c>
      <c r="AK56" s="208">
        <v>28.26</v>
      </c>
      <c r="AL56" s="208">
        <v>3.8820999999999999</v>
      </c>
      <c r="AM56" s="208">
        <v>12.46081</v>
      </c>
      <c r="AN56" s="208">
        <v>42.24</v>
      </c>
      <c r="AO56" s="208">
        <v>41.47</v>
      </c>
      <c r="AP56" s="208">
        <v>37.814999999999998</v>
      </c>
      <c r="AQ56" s="208">
        <v>23.43</v>
      </c>
      <c r="AR56" s="208">
        <v>32.815849999999998</v>
      </c>
      <c r="AS56" s="208">
        <v>10.154529999999999</v>
      </c>
      <c r="AT56" s="208">
        <v>37.814999999999998</v>
      </c>
      <c r="AU56" s="208">
        <v>12.403230000000001</v>
      </c>
      <c r="AV56" s="208">
        <v>25.72</v>
      </c>
      <c r="AW56" s="208">
        <v>81.39</v>
      </c>
      <c r="AX56" s="208">
        <v>80.69</v>
      </c>
      <c r="AY56" s="208">
        <v>79.290000000000006</v>
      </c>
      <c r="AZ56" s="208">
        <v>66.188000000000002</v>
      </c>
      <c r="BA56" s="208">
        <v>60.24</v>
      </c>
      <c r="BB56" s="208">
        <v>56.06</v>
      </c>
      <c r="BC56" s="208">
        <v>47.68</v>
      </c>
      <c r="BD56" s="208">
        <v>41.98</v>
      </c>
      <c r="BE56" s="208">
        <v>40.1</v>
      </c>
      <c r="BF56" s="208">
        <v>33.630000000000003</v>
      </c>
      <c r="BG56" s="208">
        <v>32.33</v>
      </c>
      <c r="BH56" s="208"/>
      <c r="BI56" s="323">
        <v>25.19</v>
      </c>
    </row>
    <row r="57" spans="3:61" ht="15" customHeight="1">
      <c r="C57" s="325"/>
      <c r="D57" s="326"/>
      <c r="E57" s="311"/>
      <c r="F57" s="311"/>
      <c r="G57" s="311"/>
      <c r="H57" s="311"/>
      <c r="I57" s="311"/>
      <c r="J57" s="317"/>
      <c r="K57" s="312"/>
      <c r="L57" s="312"/>
      <c r="M57" s="312"/>
      <c r="N57" s="312"/>
      <c r="O57" s="312"/>
      <c r="P57" s="318">
        <f t="shared" si="2"/>
        <v>42075</v>
      </c>
      <c r="Q57" s="205">
        <f t="shared" si="0"/>
        <v>113.82968992957103</v>
      </c>
      <c r="R57" s="205"/>
      <c r="S57" s="319">
        <f t="shared" si="1"/>
        <v>100.37654261004762</v>
      </c>
      <c r="U57" s="318">
        <v>42075</v>
      </c>
      <c r="V57" s="794">
        <v>48362719</v>
      </c>
      <c r="W57" s="795"/>
      <c r="X57" s="482">
        <v>122.31</v>
      </c>
      <c r="Y57" s="482">
        <v>124.9</v>
      </c>
      <c r="Z57" s="482">
        <v>121.63</v>
      </c>
      <c r="AA57" s="319">
        <v>124.45</v>
      </c>
      <c r="AB57" s="220"/>
      <c r="AC57" s="318">
        <v>42075</v>
      </c>
      <c r="AD57" s="319">
        <v>2065.9499999999998</v>
      </c>
      <c r="AE57" s="220"/>
      <c r="AF57" s="320">
        <v>1286.55387</v>
      </c>
      <c r="AG57" s="205">
        <v>9.9377899999999997</v>
      </c>
      <c r="AH57" s="205">
        <v>26.880610000000001</v>
      </c>
      <c r="AI57" s="205">
        <v>53.080350000000003</v>
      </c>
      <c r="AJ57" s="205">
        <v>32.72</v>
      </c>
      <c r="AK57" s="205">
        <v>28.24</v>
      </c>
      <c r="AL57" s="205">
        <v>3.9317000000000002</v>
      </c>
      <c r="AM57" s="205">
        <v>12.66323</v>
      </c>
      <c r="AN57" s="205">
        <v>42.34</v>
      </c>
      <c r="AO57" s="205">
        <v>41.62</v>
      </c>
      <c r="AP57" s="205">
        <v>37.405000000000001</v>
      </c>
      <c r="AQ57" s="205">
        <v>23.57</v>
      </c>
      <c r="AR57" s="205">
        <v>32.973550000000003</v>
      </c>
      <c r="AS57" s="205">
        <v>10.256729999999999</v>
      </c>
      <c r="AT57" s="205">
        <v>37.405000000000001</v>
      </c>
      <c r="AU57" s="205">
        <v>12.57724</v>
      </c>
      <c r="AV57" s="205">
        <v>26.17</v>
      </c>
      <c r="AW57" s="205">
        <v>82.09</v>
      </c>
      <c r="AX57" s="205">
        <v>81.900000000000006</v>
      </c>
      <c r="AY57" s="205">
        <v>80.400000000000006</v>
      </c>
      <c r="AZ57" s="205">
        <v>67.394999999999996</v>
      </c>
      <c r="BA57" s="205">
        <v>61.37</v>
      </c>
      <c r="BB57" s="205">
        <v>56.17</v>
      </c>
      <c r="BC57" s="205">
        <v>48.73</v>
      </c>
      <c r="BD57" s="205">
        <v>41.02</v>
      </c>
      <c r="BE57" s="205">
        <v>40.57</v>
      </c>
      <c r="BF57" s="205">
        <v>34</v>
      </c>
      <c r="BG57" s="205">
        <v>30.8</v>
      </c>
      <c r="BH57" s="205"/>
      <c r="BI57" s="319">
        <v>25.4</v>
      </c>
    </row>
    <row r="58" spans="3:61" ht="15" customHeight="1">
      <c r="C58" s="325"/>
      <c r="D58" s="326"/>
      <c r="E58" s="311"/>
      <c r="F58" s="311"/>
      <c r="G58" s="311"/>
      <c r="H58" s="311"/>
      <c r="I58" s="311"/>
      <c r="J58" s="317"/>
      <c r="K58" s="312"/>
      <c r="L58" s="312"/>
      <c r="M58" s="312"/>
      <c r="N58" s="312"/>
      <c r="O58" s="312"/>
      <c r="P58" s="322">
        <f t="shared" si="2"/>
        <v>42076</v>
      </c>
      <c r="Q58" s="208">
        <f t="shared" si="0"/>
        <v>113.04308058172505</v>
      </c>
      <c r="R58" s="208"/>
      <c r="S58" s="323">
        <f t="shared" si="1"/>
        <v>99.766786512486647</v>
      </c>
      <c r="U58" s="322">
        <v>42076</v>
      </c>
      <c r="V58" s="791">
        <v>51827283</v>
      </c>
      <c r="W58" s="792"/>
      <c r="X58" s="480">
        <v>124.4</v>
      </c>
      <c r="Y58" s="480">
        <v>125.3951</v>
      </c>
      <c r="Z58" s="480">
        <v>122.58</v>
      </c>
      <c r="AA58" s="323">
        <v>123.59</v>
      </c>
      <c r="AB58" s="220"/>
      <c r="AC58" s="322">
        <v>42076</v>
      </c>
      <c r="AD58" s="323">
        <v>2053.4</v>
      </c>
      <c r="AE58" s="220"/>
      <c r="AF58" s="324">
        <v>1281.22829</v>
      </c>
      <c r="AG58" s="208">
        <v>9.7919599999999996</v>
      </c>
      <c r="AH58" s="208">
        <v>26.577059999999999</v>
      </c>
      <c r="AI58" s="208">
        <v>52.321950000000001</v>
      </c>
      <c r="AJ58" s="208">
        <v>32.43</v>
      </c>
      <c r="AK58" s="208">
        <v>27.94</v>
      </c>
      <c r="AL58" s="208">
        <v>3.89778</v>
      </c>
      <c r="AM58" s="208">
        <v>12.59573</v>
      </c>
      <c r="AN58" s="208">
        <v>42.14</v>
      </c>
      <c r="AO58" s="208">
        <v>42.38</v>
      </c>
      <c r="AP58" s="208">
        <v>36.814999999999998</v>
      </c>
      <c r="AQ58" s="208">
        <v>23.43</v>
      </c>
      <c r="AR58" s="208">
        <v>33.013109999999998</v>
      </c>
      <c r="AS58" s="208">
        <v>10.171580000000001</v>
      </c>
      <c r="AT58" s="208">
        <v>36.814999999999998</v>
      </c>
      <c r="AU58" s="208">
        <v>12.60411</v>
      </c>
      <c r="AV58" s="208">
        <v>26</v>
      </c>
      <c r="AW58" s="208">
        <v>81.83</v>
      </c>
      <c r="AX58" s="208">
        <v>81.900000000000006</v>
      </c>
      <c r="AY58" s="208">
        <v>80.5</v>
      </c>
      <c r="AZ58" s="208">
        <v>66.257000000000005</v>
      </c>
      <c r="BA58" s="208">
        <v>61</v>
      </c>
      <c r="BB58" s="208">
        <v>56.2</v>
      </c>
      <c r="BC58" s="208">
        <v>48.84</v>
      </c>
      <c r="BD58" s="208">
        <v>41.38</v>
      </c>
      <c r="BE58" s="208">
        <v>39.909999999999997</v>
      </c>
      <c r="BF58" s="208">
        <v>34</v>
      </c>
      <c r="BG58" s="208">
        <v>30.93</v>
      </c>
      <c r="BH58" s="208"/>
      <c r="BI58" s="323">
        <v>25.04</v>
      </c>
    </row>
    <row r="59" spans="3:61" ht="15" customHeight="1">
      <c r="C59" s="325"/>
      <c r="D59" s="326"/>
      <c r="E59" s="311"/>
      <c r="F59" s="311"/>
      <c r="G59" s="311"/>
      <c r="H59" s="311"/>
      <c r="I59" s="311"/>
      <c r="J59" s="317"/>
      <c r="K59" s="312"/>
      <c r="L59" s="312"/>
      <c r="M59" s="312"/>
      <c r="N59" s="312"/>
      <c r="O59" s="312"/>
      <c r="P59" s="318">
        <f t="shared" si="2"/>
        <v>42079</v>
      </c>
      <c r="Q59" s="205">
        <f t="shared" si="0"/>
        <v>114.28702094576056</v>
      </c>
      <c r="R59" s="205"/>
      <c r="S59" s="319">
        <f t="shared" si="1"/>
        <v>101.11699543290256</v>
      </c>
      <c r="U59" s="318">
        <v>42079</v>
      </c>
      <c r="V59" s="794">
        <v>35874300</v>
      </c>
      <c r="W59" s="795"/>
      <c r="X59" s="482">
        <v>123.88</v>
      </c>
      <c r="Y59" s="482">
        <v>124.95</v>
      </c>
      <c r="Z59" s="482">
        <v>122.87</v>
      </c>
      <c r="AA59" s="319">
        <v>124.95</v>
      </c>
      <c r="AB59" s="220"/>
      <c r="AC59" s="318">
        <v>42079</v>
      </c>
      <c r="AD59" s="319">
        <v>2081.19</v>
      </c>
      <c r="AE59" s="220"/>
      <c r="AF59" s="320">
        <v>1300.67777</v>
      </c>
      <c r="AG59" s="205">
        <v>9.7125400000000006</v>
      </c>
      <c r="AH59" s="205">
        <v>25.558209999999999</v>
      </c>
      <c r="AI59" s="205">
        <v>52.734960000000001</v>
      </c>
      <c r="AJ59" s="205">
        <v>32.380000000000003</v>
      </c>
      <c r="AK59" s="205">
        <v>28.3</v>
      </c>
      <c r="AL59" s="205">
        <v>3.9077099999999998</v>
      </c>
      <c r="AM59" s="205">
        <v>12.86858</v>
      </c>
      <c r="AN59" s="205">
        <v>42.19</v>
      </c>
      <c r="AO59" s="205">
        <v>43.41</v>
      </c>
      <c r="AP59" s="205">
        <v>37.159999999999997</v>
      </c>
      <c r="AQ59" s="205">
        <v>23.66</v>
      </c>
      <c r="AR59" s="205">
        <v>32.833480000000002</v>
      </c>
      <c r="AS59" s="205">
        <v>10.055020000000001</v>
      </c>
      <c r="AT59" s="205">
        <v>37.159999999999997</v>
      </c>
      <c r="AU59" s="205">
        <v>12.58548</v>
      </c>
      <c r="AV59" s="205">
        <v>26.18</v>
      </c>
      <c r="AW59" s="205">
        <v>83.56</v>
      </c>
      <c r="AX59" s="205">
        <v>83.29</v>
      </c>
      <c r="AY59" s="205">
        <v>77.069999999999993</v>
      </c>
      <c r="AZ59" s="205">
        <v>67.254999999999995</v>
      </c>
      <c r="BA59" s="205">
        <v>61.85</v>
      </c>
      <c r="BB59" s="205">
        <v>57.12</v>
      </c>
      <c r="BC59" s="205">
        <v>49.27</v>
      </c>
      <c r="BD59" s="205">
        <v>41.56</v>
      </c>
      <c r="BE59" s="205">
        <v>40.29</v>
      </c>
      <c r="BF59" s="205">
        <v>34.44</v>
      </c>
      <c r="BG59" s="205">
        <v>30.83</v>
      </c>
      <c r="BH59" s="205"/>
      <c r="BI59" s="319">
        <v>25.45</v>
      </c>
    </row>
    <row r="60" spans="3:61" ht="15" customHeight="1">
      <c r="C60" s="325"/>
      <c r="D60" s="326"/>
      <c r="E60" s="311"/>
      <c r="F60" s="311"/>
      <c r="G60" s="311"/>
      <c r="H60" s="311"/>
      <c r="I60" s="311"/>
      <c r="J60" s="317"/>
      <c r="K60" s="312"/>
      <c r="L60" s="312"/>
      <c r="M60" s="312"/>
      <c r="N60" s="312"/>
      <c r="O60" s="312"/>
      <c r="P60" s="322">
        <f t="shared" si="2"/>
        <v>42080</v>
      </c>
      <c r="Q60" s="208">
        <f t="shared" si="0"/>
        <v>116.19866459343274</v>
      </c>
      <c r="R60" s="208"/>
      <c r="S60" s="323">
        <f t="shared" si="1"/>
        <v>100.78126518316979</v>
      </c>
      <c r="U60" s="322">
        <v>42080</v>
      </c>
      <c r="V60" s="791">
        <v>51023104</v>
      </c>
      <c r="W60" s="792"/>
      <c r="X60" s="480">
        <v>125.9</v>
      </c>
      <c r="Y60" s="480">
        <v>127.32</v>
      </c>
      <c r="Z60" s="480">
        <v>125.65</v>
      </c>
      <c r="AA60" s="323">
        <v>127.04</v>
      </c>
      <c r="AB60" s="220"/>
      <c r="AC60" s="322">
        <v>42080</v>
      </c>
      <c r="AD60" s="323">
        <v>2074.2800000000002</v>
      </c>
      <c r="AE60" s="220"/>
      <c r="AF60" s="324">
        <v>1324.8491100000001</v>
      </c>
      <c r="AG60" s="208">
        <v>9.72668</v>
      </c>
      <c r="AH60" s="208">
        <v>26.647449999999999</v>
      </c>
      <c r="AI60" s="208">
        <v>53.277169999999998</v>
      </c>
      <c r="AJ60" s="208">
        <v>32.43</v>
      </c>
      <c r="AK60" s="208">
        <v>28.15</v>
      </c>
      <c r="AL60" s="208">
        <v>3.8046600000000002</v>
      </c>
      <c r="AM60" s="208">
        <v>12.775029999999999</v>
      </c>
      <c r="AN60" s="208">
        <v>42.74</v>
      </c>
      <c r="AO60" s="208">
        <v>42.87</v>
      </c>
      <c r="AP60" s="208">
        <v>36.78</v>
      </c>
      <c r="AQ60" s="208">
        <v>23.5</v>
      </c>
      <c r="AR60" s="208">
        <v>33.463760000000001</v>
      </c>
      <c r="AS60" s="208">
        <v>10.06531</v>
      </c>
      <c r="AT60" s="208">
        <v>36.78</v>
      </c>
      <c r="AU60" s="208">
        <v>12.837730000000001</v>
      </c>
      <c r="AV60" s="208">
        <v>25.96</v>
      </c>
      <c r="AW60" s="208">
        <v>82.85</v>
      </c>
      <c r="AX60" s="208">
        <v>82.62</v>
      </c>
      <c r="AY60" s="208">
        <v>74.680000000000007</v>
      </c>
      <c r="AZ60" s="208">
        <v>66.125</v>
      </c>
      <c r="BA60" s="208">
        <v>61.61</v>
      </c>
      <c r="BB60" s="208">
        <v>56.47</v>
      </c>
      <c r="BC60" s="208">
        <v>48.95</v>
      </c>
      <c r="BD60" s="208">
        <v>41.695</v>
      </c>
      <c r="BE60" s="208">
        <v>40.51</v>
      </c>
      <c r="BF60" s="208">
        <v>34.17</v>
      </c>
      <c r="BG60" s="208">
        <v>30.59</v>
      </c>
      <c r="BH60" s="208"/>
      <c r="BI60" s="323">
        <v>25.31</v>
      </c>
    </row>
    <row r="61" spans="3:61" ht="15" customHeight="1">
      <c r="C61" s="325"/>
      <c r="D61" s="326"/>
      <c r="E61" s="311"/>
      <c r="F61" s="311"/>
      <c r="G61" s="311"/>
      <c r="H61" s="311"/>
      <c r="I61" s="311"/>
      <c r="J61" s="317"/>
      <c r="K61" s="312"/>
      <c r="L61" s="312"/>
      <c r="M61" s="312"/>
      <c r="N61" s="312"/>
      <c r="O61" s="312"/>
      <c r="P61" s="318">
        <f t="shared" si="2"/>
        <v>42081</v>
      </c>
      <c r="Q61" s="205">
        <f t="shared" si="0"/>
        <v>117.50663129973475</v>
      </c>
      <c r="R61" s="205"/>
      <c r="S61" s="319">
        <f t="shared" si="1"/>
        <v>102.00660771547956</v>
      </c>
      <c r="U61" s="318">
        <v>42081</v>
      </c>
      <c r="V61" s="794">
        <v>65270945</v>
      </c>
      <c r="W61" s="795"/>
      <c r="X61" s="482">
        <v>127</v>
      </c>
      <c r="Y61" s="482">
        <v>129.16</v>
      </c>
      <c r="Z61" s="482">
        <v>126.37</v>
      </c>
      <c r="AA61" s="319">
        <v>128.47</v>
      </c>
      <c r="AB61" s="220"/>
      <c r="AC61" s="318">
        <v>42081</v>
      </c>
      <c r="AD61" s="319">
        <v>2099.5</v>
      </c>
      <c r="AE61" s="220"/>
      <c r="AF61" s="320">
        <v>1335.20481</v>
      </c>
      <c r="AG61" s="205">
        <v>9.6049600000000002</v>
      </c>
      <c r="AH61" s="205">
        <v>28.18648</v>
      </c>
      <c r="AI61" s="205">
        <v>53.390430000000002</v>
      </c>
      <c r="AJ61" s="205">
        <v>33.03</v>
      </c>
      <c r="AK61" s="205">
        <v>28.15</v>
      </c>
      <c r="AL61" s="205">
        <v>3.8521200000000002</v>
      </c>
      <c r="AM61" s="205">
        <v>12.9201</v>
      </c>
      <c r="AN61" s="205">
        <v>42.73</v>
      </c>
      <c r="AO61" s="205">
        <v>44.13</v>
      </c>
      <c r="AP61" s="205">
        <v>37.299999999999997</v>
      </c>
      <c r="AQ61" s="205">
        <v>23.77</v>
      </c>
      <c r="AR61" s="205">
        <v>34.170940000000002</v>
      </c>
      <c r="AS61" s="205">
        <v>10.27735</v>
      </c>
      <c r="AT61" s="205">
        <v>37.299999999999997</v>
      </c>
      <c r="AU61" s="205">
        <v>12.878159999999999</v>
      </c>
      <c r="AV61" s="205">
        <v>26.47</v>
      </c>
      <c r="AW61" s="205">
        <v>83.75</v>
      </c>
      <c r="AX61" s="205">
        <v>82.53</v>
      </c>
      <c r="AY61" s="205">
        <v>76.010000000000005</v>
      </c>
      <c r="AZ61" s="205">
        <v>66.918000000000006</v>
      </c>
      <c r="BA61" s="205">
        <v>61.75</v>
      </c>
      <c r="BB61" s="205">
        <v>57.65</v>
      </c>
      <c r="BC61" s="205">
        <v>49.54</v>
      </c>
      <c r="BD61" s="205">
        <v>42.5</v>
      </c>
      <c r="BE61" s="205">
        <v>40.6</v>
      </c>
      <c r="BF61" s="205">
        <v>34.380000000000003</v>
      </c>
      <c r="BG61" s="205">
        <v>30.89</v>
      </c>
      <c r="BH61" s="205"/>
      <c r="BI61" s="319">
        <v>25.64</v>
      </c>
    </row>
    <row r="62" spans="3:61" ht="15" customHeight="1">
      <c r="C62" s="325"/>
      <c r="D62" s="326"/>
      <c r="E62" s="311"/>
      <c r="F62" s="311"/>
      <c r="G62" s="311"/>
      <c r="H62" s="311"/>
      <c r="I62" s="311"/>
      <c r="J62" s="317"/>
      <c r="K62" s="312"/>
      <c r="L62" s="312"/>
      <c r="M62" s="312"/>
      <c r="N62" s="312"/>
      <c r="O62" s="312"/>
      <c r="P62" s="322">
        <f t="shared" si="2"/>
        <v>42082</v>
      </c>
      <c r="Q62" s="208">
        <f t="shared" si="0"/>
        <v>116.61483581816519</v>
      </c>
      <c r="R62" s="208"/>
      <c r="S62" s="323">
        <f t="shared" si="1"/>
        <v>101.50957147021671</v>
      </c>
      <c r="U62" s="322">
        <v>42082</v>
      </c>
      <c r="V62" s="791">
        <v>45809490</v>
      </c>
      <c r="W62" s="792"/>
      <c r="X62" s="480">
        <v>128.75</v>
      </c>
      <c r="Y62" s="480">
        <v>129.24510000000001</v>
      </c>
      <c r="Z62" s="480">
        <v>127.4</v>
      </c>
      <c r="AA62" s="323">
        <v>127.495</v>
      </c>
      <c r="AB62" s="220"/>
      <c r="AC62" s="322">
        <v>42082</v>
      </c>
      <c r="AD62" s="323">
        <v>2089.27</v>
      </c>
      <c r="AE62" s="220"/>
      <c r="AF62" s="324">
        <v>1309.74019</v>
      </c>
      <c r="AG62" s="208">
        <v>9.6964000000000006</v>
      </c>
      <c r="AH62" s="208">
        <v>27.958320000000001</v>
      </c>
      <c r="AI62" s="208">
        <v>53.547879999999999</v>
      </c>
      <c r="AJ62" s="208">
        <v>32.840000000000003</v>
      </c>
      <c r="AK62" s="208">
        <v>28.26</v>
      </c>
      <c r="AL62" s="208">
        <v>3.8690099999999998</v>
      </c>
      <c r="AM62" s="208">
        <v>12.97105</v>
      </c>
      <c r="AN62" s="208">
        <v>42.73</v>
      </c>
      <c r="AO62" s="208">
        <v>44.16</v>
      </c>
      <c r="AP62" s="208">
        <v>36.700000000000003</v>
      </c>
      <c r="AQ62" s="208">
        <v>23.65</v>
      </c>
      <c r="AR62" s="208">
        <v>34.085830000000001</v>
      </c>
      <c r="AS62" s="208">
        <v>10.152850000000001</v>
      </c>
      <c r="AT62" s="208">
        <v>36.700000000000003</v>
      </c>
      <c r="AU62" s="208">
        <v>12.937239999999999</v>
      </c>
      <c r="AV62" s="208">
        <v>26.21</v>
      </c>
      <c r="AW62" s="208">
        <v>83.38</v>
      </c>
      <c r="AX62" s="208">
        <v>81.52</v>
      </c>
      <c r="AY62" s="208">
        <v>74.510000000000005</v>
      </c>
      <c r="AZ62" s="208">
        <v>66.81</v>
      </c>
      <c r="BA62" s="208">
        <v>61.2</v>
      </c>
      <c r="BB62" s="208">
        <v>58.21</v>
      </c>
      <c r="BC62" s="208">
        <v>49.3</v>
      </c>
      <c r="BD62" s="208">
        <v>42.284999999999997</v>
      </c>
      <c r="BE62" s="208">
        <v>40.020000000000003</v>
      </c>
      <c r="BF62" s="208">
        <v>34.15</v>
      </c>
      <c r="BG62" s="208">
        <v>30.74</v>
      </c>
      <c r="BH62" s="208"/>
      <c r="BI62" s="323">
        <v>25.33</v>
      </c>
    </row>
    <row r="63" spans="3:61" ht="15" customHeight="1">
      <c r="C63" s="325"/>
      <c r="D63" s="326"/>
      <c r="E63" s="311"/>
      <c r="F63" s="311"/>
      <c r="G63" s="311"/>
      <c r="H63" s="311"/>
      <c r="I63" s="311"/>
      <c r="J63" s="317"/>
      <c r="K63" s="312"/>
      <c r="L63" s="312"/>
      <c r="M63" s="312"/>
      <c r="N63" s="312"/>
      <c r="O63" s="312"/>
      <c r="P63" s="318">
        <f t="shared" si="2"/>
        <v>42083</v>
      </c>
      <c r="Q63" s="205">
        <f t="shared" si="0"/>
        <v>115.15594987652062</v>
      </c>
      <c r="R63" s="205"/>
      <c r="S63" s="319">
        <f t="shared" si="1"/>
        <v>102.42444854727432</v>
      </c>
      <c r="U63" s="318">
        <v>42083</v>
      </c>
      <c r="V63" s="794">
        <v>68695136</v>
      </c>
      <c r="W63" s="795"/>
      <c r="X63" s="482">
        <v>128.25</v>
      </c>
      <c r="Y63" s="482">
        <v>128.4</v>
      </c>
      <c r="Z63" s="482">
        <v>125.16</v>
      </c>
      <c r="AA63" s="319">
        <v>125.9</v>
      </c>
      <c r="AB63" s="220"/>
      <c r="AC63" s="318">
        <v>42083</v>
      </c>
      <c r="AD63" s="319">
        <v>2108.1</v>
      </c>
      <c r="AE63" s="220"/>
      <c r="AF63" s="320">
        <v>1316.1680100000001</v>
      </c>
      <c r="AG63" s="205">
        <v>9.5158500000000004</v>
      </c>
      <c r="AH63" s="205">
        <v>28.00517</v>
      </c>
      <c r="AI63" s="205">
        <v>53.761510000000001</v>
      </c>
      <c r="AJ63" s="205">
        <v>33.28</v>
      </c>
      <c r="AK63" s="205">
        <v>28.44</v>
      </c>
      <c r="AL63" s="205">
        <v>3.8669599999999997</v>
      </c>
      <c r="AM63" s="205">
        <v>13.061500000000001</v>
      </c>
      <c r="AN63" s="205">
        <v>43.95</v>
      </c>
      <c r="AO63" s="205">
        <v>44.41</v>
      </c>
      <c r="AP63" s="205">
        <v>37.32</v>
      </c>
      <c r="AQ63" s="205">
        <v>23.68</v>
      </c>
      <c r="AR63" s="205">
        <v>34.732410000000002</v>
      </c>
      <c r="AS63" s="205">
        <v>10.1637</v>
      </c>
      <c r="AT63" s="205">
        <v>37.32</v>
      </c>
      <c r="AU63" s="205">
        <v>13.06686</v>
      </c>
      <c r="AV63" s="205">
        <v>26.7</v>
      </c>
      <c r="AW63" s="205">
        <v>84.74</v>
      </c>
      <c r="AX63" s="205">
        <v>83.24</v>
      </c>
      <c r="AY63" s="205">
        <v>74.34</v>
      </c>
      <c r="AZ63" s="205">
        <v>67.41</v>
      </c>
      <c r="BA63" s="205">
        <v>61.75</v>
      </c>
      <c r="BB63" s="205">
        <v>58.58</v>
      </c>
      <c r="BC63" s="205">
        <v>49.56</v>
      </c>
      <c r="BD63" s="205">
        <v>42.88</v>
      </c>
      <c r="BE63" s="205">
        <v>40.65</v>
      </c>
      <c r="BF63" s="205">
        <v>34.25</v>
      </c>
      <c r="BG63" s="205">
        <v>31.31</v>
      </c>
      <c r="BH63" s="205"/>
      <c r="BI63" s="319">
        <v>25.4</v>
      </c>
    </row>
    <row r="64" spans="3:61" ht="15" customHeight="1">
      <c r="C64" s="325"/>
      <c r="D64" s="326"/>
      <c r="E64" s="311"/>
      <c r="F64" s="311"/>
      <c r="G64" s="311"/>
      <c r="H64" s="311"/>
      <c r="I64" s="311"/>
      <c r="J64" s="317"/>
      <c r="K64" s="312"/>
      <c r="L64" s="312"/>
      <c r="M64" s="312"/>
      <c r="N64" s="312"/>
      <c r="O64" s="312"/>
      <c r="P64" s="322">
        <f t="shared" si="2"/>
        <v>42086</v>
      </c>
      <c r="Q64" s="208">
        <f t="shared" si="0"/>
        <v>116.35415713893715</v>
      </c>
      <c r="R64" s="208"/>
      <c r="S64" s="323">
        <f t="shared" si="1"/>
        <v>102.24565154018075</v>
      </c>
      <c r="U64" s="322">
        <v>42086</v>
      </c>
      <c r="V64" s="791">
        <v>37709674</v>
      </c>
      <c r="W64" s="792"/>
      <c r="X64" s="480">
        <v>127.12</v>
      </c>
      <c r="Y64" s="480">
        <v>127.85</v>
      </c>
      <c r="Z64" s="480">
        <v>126.52</v>
      </c>
      <c r="AA64" s="323">
        <v>127.21</v>
      </c>
      <c r="AB64" s="220"/>
      <c r="AC64" s="322">
        <v>42086</v>
      </c>
      <c r="AD64" s="323">
        <v>2104.42</v>
      </c>
      <c r="AE64" s="220"/>
      <c r="AF64" s="324">
        <v>1323.57718</v>
      </c>
      <c r="AG64" s="208">
        <v>9.5108700000000006</v>
      </c>
      <c r="AH64" s="208">
        <v>27.926200000000001</v>
      </c>
      <c r="AI64" s="208">
        <v>54.134039999999999</v>
      </c>
      <c r="AJ64" s="208">
        <v>33.450000000000003</v>
      </c>
      <c r="AK64" s="208">
        <v>28.405000000000001</v>
      </c>
      <c r="AL64" s="208">
        <v>3.91038</v>
      </c>
      <c r="AM64" s="208">
        <v>13.03157</v>
      </c>
      <c r="AN64" s="208">
        <v>44.23</v>
      </c>
      <c r="AO64" s="208">
        <v>44.25</v>
      </c>
      <c r="AP64" s="208">
        <v>36.634999999999998</v>
      </c>
      <c r="AQ64" s="208">
        <v>23.85</v>
      </c>
      <c r="AR64" s="208">
        <v>35.172820000000002</v>
      </c>
      <c r="AS64" s="208">
        <v>10.191689999999999</v>
      </c>
      <c r="AT64" s="208">
        <v>36.634999999999998</v>
      </c>
      <c r="AU64" s="208">
        <v>13.02805</v>
      </c>
      <c r="AV64" s="208">
        <v>26.25</v>
      </c>
      <c r="AW64" s="208">
        <v>84.86</v>
      </c>
      <c r="AX64" s="208">
        <v>83.31</v>
      </c>
      <c r="AY64" s="208">
        <v>74.42</v>
      </c>
      <c r="AZ64" s="208">
        <v>67.08</v>
      </c>
      <c r="BA64" s="208">
        <v>61.14</v>
      </c>
      <c r="BB64" s="208">
        <v>58.73</v>
      </c>
      <c r="BC64" s="208">
        <v>49.64</v>
      </c>
      <c r="BD64" s="208">
        <v>42.854999999999997</v>
      </c>
      <c r="BE64" s="208">
        <v>40.619999999999997</v>
      </c>
      <c r="BF64" s="208">
        <v>35.049999999999997</v>
      </c>
      <c r="BG64" s="208">
        <v>31.2</v>
      </c>
      <c r="BH64" s="208"/>
      <c r="BI64" s="323">
        <v>25.47</v>
      </c>
    </row>
    <row r="65" spans="3:61" ht="15" customHeight="1">
      <c r="C65" s="325"/>
      <c r="D65" s="326"/>
      <c r="E65" s="311"/>
      <c r="F65" s="311"/>
      <c r="G65" s="311"/>
      <c r="H65" s="311"/>
      <c r="I65" s="311"/>
      <c r="J65" s="317"/>
      <c r="K65" s="312"/>
      <c r="L65" s="312"/>
      <c r="M65" s="312"/>
      <c r="N65" s="312"/>
      <c r="O65" s="312"/>
      <c r="P65" s="318">
        <f t="shared" si="2"/>
        <v>42087</v>
      </c>
      <c r="Q65" s="205">
        <f t="shared" si="0"/>
        <v>115.87853288210006</v>
      </c>
      <c r="R65" s="205"/>
      <c r="S65" s="319">
        <f t="shared" si="1"/>
        <v>101.61791856962394</v>
      </c>
      <c r="U65" s="318">
        <v>42087</v>
      </c>
      <c r="V65" s="794">
        <v>32842304</v>
      </c>
      <c r="W65" s="795"/>
      <c r="X65" s="482">
        <v>127.23</v>
      </c>
      <c r="Y65" s="482">
        <v>128.04</v>
      </c>
      <c r="Z65" s="482">
        <v>126.56</v>
      </c>
      <c r="AA65" s="319">
        <v>126.69</v>
      </c>
      <c r="AB65" s="220"/>
      <c r="AC65" s="318">
        <v>42087</v>
      </c>
      <c r="AD65" s="319">
        <v>2091.5</v>
      </c>
      <c r="AE65" s="220"/>
      <c r="AF65" s="320">
        <v>1336.81122</v>
      </c>
      <c r="AG65" s="205">
        <v>9.5436300000000003</v>
      </c>
      <c r="AH65" s="205">
        <v>27.63015</v>
      </c>
      <c r="AI65" s="205">
        <v>54.7042</v>
      </c>
      <c r="AJ65" s="205">
        <v>33.31</v>
      </c>
      <c r="AK65" s="205">
        <v>28</v>
      </c>
      <c r="AL65" s="205">
        <v>3.9093599999999999</v>
      </c>
      <c r="AM65" s="205">
        <v>13.03345</v>
      </c>
      <c r="AN65" s="205">
        <v>43.7</v>
      </c>
      <c r="AO65" s="205">
        <v>43.71</v>
      </c>
      <c r="AP65" s="205">
        <v>35.85</v>
      </c>
      <c r="AQ65" s="205">
        <v>23.4</v>
      </c>
      <c r="AR65" s="205">
        <v>35.188429999999997</v>
      </c>
      <c r="AS65" s="205">
        <v>10.211270000000001</v>
      </c>
      <c r="AT65" s="205">
        <v>35.85</v>
      </c>
      <c r="AU65" s="205">
        <v>12.93975</v>
      </c>
      <c r="AV65" s="205">
        <v>25.81</v>
      </c>
      <c r="AW65" s="205">
        <v>83.92</v>
      </c>
      <c r="AX65" s="205">
        <v>83.05</v>
      </c>
      <c r="AY65" s="205">
        <v>73.599999999999994</v>
      </c>
      <c r="AZ65" s="205">
        <v>67.099999999999994</v>
      </c>
      <c r="BA65" s="205">
        <v>60.46</v>
      </c>
      <c r="BB65" s="205">
        <v>58.63</v>
      </c>
      <c r="BC65" s="205">
        <v>49.41</v>
      </c>
      <c r="BD65" s="205">
        <v>42.9</v>
      </c>
      <c r="BE65" s="205">
        <v>40.47</v>
      </c>
      <c r="BF65" s="205">
        <v>34.520000000000003</v>
      </c>
      <c r="BG65" s="205">
        <v>30.79</v>
      </c>
      <c r="BH65" s="205"/>
      <c r="BI65" s="319">
        <v>25.27</v>
      </c>
    </row>
    <row r="66" spans="3:61" ht="15" customHeight="1">
      <c r="C66" s="325"/>
      <c r="D66" s="326"/>
      <c r="E66" s="311"/>
      <c r="F66" s="311"/>
      <c r="G66" s="311"/>
      <c r="H66" s="311"/>
      <c r="I66" s="311"/>
      <c r="J66" s="317"/>
      <c r="K66" s="312"/>
      <c r="L66" s="312"/>
      <c r="M66" s="312"/>
      <c r="N66" s="312"/>
      <c r="O66" s="312"/>
      <c r="P66" s="322">
        <f t="shared" si="2"/>
        <v>42088</v>
      </c>
      <c r="Q66" s="208">
        <f t="shared" si="0"/>
        <v>112.85100155492545</v>
      </c>
      <c r="R66" s="208"/>
      <c r="S66" s="323">
        <f t="shared" si="1"/>
        <v>100.13847050821107</v>
      </c>
      <c r="U66" s="322">
        <v>42088</v>
      </c>
      <c r="V66" s="791">
        <v>51655177</v>
      </c>
      <c r="W66" s="792"/>
      <c r="X66" s="480">
        <v>126.54</v>
      </c>
      <c r="Y66" s="480">
        <v>126.82</v>
      </c>
      <c r="Z66" s="480">
        <v>123.38</v>
      </c>
      <c r="AA66" s="323">
        <v>123.38</v>
      </c>
      <c r="AB66" s="220"/>
      <c r="AC66" s="322">
        <v>42088</v>
      </c>
      <c r="AD66" s="323">
        <v>2061.0500000000002</v>
      </c>
      <c r="AE66" s="220"/>
      <c r="AF66" s="324">
        <v>1350.31917</v>
      </c>
      <c r="AG66" s="208">
        <v>9.2768700000000006</v>
      </c>
      <c r="AH66" s="208">
        <v>27.38683</v>
      </c>
      <c r="AI66" s="208">
        <v>54.194629999999997</v>
      </c>
      <c r="AJ66" s="208">
        <v>32.200000000000003</v>
      </c>
      <c r="AK66" s="208">
        <v>27.46</v>
      </c>
      <c r="AL66" s="208">
        <v>3.8698600000000001</v>
      </c>
      <c r="AM66" s="208">
        <v>12.964510000000001</v>
      </c>
      <c r="AN66" s="208">
        <v>42.67</v>
      </c>
      <c r="AO66" s="208">
        <v>42.93</v>
      </c>
      <c r="AP66" s="208">
        <v>35.744999999999997</v>
      </c>
      <c r="AQ66" s="208">
        <v>22.71</v>
      </c>
      <c r="AR66" s="208">
        <v>35.176969999999997</v>
      </c>
      <c r="AS66" s="208">
        <v>10.202780000000001</v>
      </c>
      <c r="AT66" s="208">
        <v>35.744999999999997</v>
      </c>
      <c r="AU66" s="208">
        <v>12.940339999999999</v>
      </c>
      <c r="AV66" s="208">
        <v>25.68</v>
      </c>
      <c r="AW66" s="208">
        <v>83.01</v>
      </c>
      <c r="AX66" s="208">
        <v>81.319999999999993</v>
      </c>
      <c r="AY66" s="208">
        <v>72.03</v>
      </c>
      <c r="AZ66" s="208">
        <v>65.73</v>
      </c>
      <c r="BA66" s="208">
        <v>59.61</v>
      </c>
      <c r="BB66" s="208">
        <v>58.26</v>
      </c>
      <c r="BC66" s="208">
        <v>48.73</v>
      </c>
      <c r="BD66" s="208">
        <v>41.46</v>
      </c>
      <c r="BE66" s="208">
        <v>40.450000000000003</v>
      </c>
      <c r="BF66" s="208">
        <v>34.299999999999997</v>
      </c>
      <c r="BG66" s="208">
        <v>29.89</v>
      </c>
      <c r="BH66" s="208"/>
      <c r="BI66" s="323">
        <v>24.91</v>
      </c>
    </row>
    <row r="67" spans="3:61" ht="15" customHeight="1">
      <c r="C67" s="325"/>
      <c r="D67" s="326"/>
      <c r="E67" s="311"/>
      <c r="F67" s="311"/>
      <c r="G67" s="311"/>
      <c r="H67" s="311"/>
      <c r="I67" s="311"/>
      <c r="J67" s="317"/>
      <c r="K67" s="312"/>
      <c r="L67" s="312"/>
      <c r="M67" s="312"/>
      <c r="N67" s="312"/>
      <c r="O67" s="312"/>
      <c r="P67" s="318">
        <f t="shared" si="2"/>
        <v>42089</v>
      </c>
      <c r="Q67" s="205">
        <f t="shared" si="0"/>
        <v>113.63761090277143</v>
      </c>
      <c r="R67" s="205"/>
      <c r="S67" s="319">
        <f t="shared" si="1"/>
        <v>99.900398406374507</v>
      </c>
      <c r="U67" s="318">
        <v>42089</v>
      </c>
      <c r="V67" s="794">
        <v>47572869</v>
      </c>
      <c r="W67" s="795"/>
      <c r="X67" s="482">
        <v>122.76</v>
      </c>
      <c r="Y67" s="482">
        <v>124.88</v>
      </c>
      <c r="Z67" s="482">
        <v>122.6</v>
      </c>
      <c r="AA67" s="319">
        <v>124.24</v>
      </c>
      <c r="AB67" s="220"/>
      <c r="AC67" s="318">
        <v>42089</v>
      </c>
      <c r="AD67" s="319">
        <v>2056.15</v>
      </c>
      <c r="AE67" s="220"/>
      <c r="AF67" s="320">
        <v>1285.70524</v>
      </c>
      <c r="AG67" s="205">
        <v>9.2874300000000005</v>
      </c>
      <c r="AH67" s="205">
        <v>26.511980000000001</v>
      </c>
      <c r="AI67" s="205">
        <v>53.74447</v>
      </c>
      <c r="AJ67" s="205">
        <v>32.01</v>
      </c>
      <c r="AK67" s="205">
        <v>27.09</v>
      </c>
      <c r="AL67" s="205">
        <v>3.7621599999999997</v>
      </c>
      <c r="AM67" s="205">
        <v>12.78037</v>
      </c>
      <c r="AN67" s="205">
        <v>42.62</v>
      </c>
      <c r="AO67" s="205">
        <v>42.99</v>
      </c>
      <c r="AP67" s="205">
        <v>35.549999999999997</v>
      </c>
      <c r="AQ67" s="205">
        <v>22.31</v>
      </c>
      <c r="AR67" s="205">
        <v>35.177579999999999</v>
      </c>
      <c r="AS67" s="205">
        <v>10.20669</v>
      </c>
      <c r="AT67" s="205">
        <v>35.549999999999997</v>
      </c>
      <c r="AU67" s="205">
        <v>12.79528</v>
      </c>
      <c r="AV67" s="205">
        <v>25.81</v>
      </c>
      <c r="AW67" s="205">
        <v>82.15</v>
      </c>
      <c r="AX67" s="205">
        <v>81.89</v>
      </c>
      <c r="AY67" s="205">
        <v>71.760000000000005</v>
      </c>
      <c r="AZ67" s="205">
        <v>65.59</v>
      </c>
      <c r="BA67" s="205">
        <v>59.54</v>
      </c>
      <c r="BB67" s="205">
        <v>57.6</v>
      </c>
      <c r="BC67" s="205">
        <v>48.42</v>
      </c>
      <c r="BD67" s="205">
        <v>41.21</v>
      </c>
      <c r="BE67" s="205">
        <v>40.35</v>
      </c>
      <c r="BF67" s="205">
        <v>34.159999999999997</v>
      </c>
      <c r="BG67" s="205">
        <v>30.08</v>
      </c>
      <c r="BH67" s="205"/>
      <c r="BI67" s="319">
        <v>24.8</v>
      </c>
    </row>
    <row r="68" spans="3:61" ht="15" customHeight="1">
      <c r="C68" s="325"/>
      <c r="D68" s="326"/>
      <c r="E68" s="311"/>
      <c r="F68" s="311"/>
      <c r="G68" s="311"/>
      <c r="H68" s="311"/>
      <c r="I68" s="311"/>
      <c r="J68" s="317"/>
      <c r="K68" s="312"/>
      <c r="L68" s="312"/>
      <c r="M68" s="312"/>
      <c r="N68" s="312"/>
      <c r="O68" s="312"/>
      <c r="P68" s="322">
        <f t="shared" si="2"/>
        <v>42090</v>
      </c>
      <c r="Q68" s="208">
        <f t="shared" si="0"/>
        <v>112.73209549071619</v>
      </c>
      <c r="R68" s="208"/>
      <c r="S68" s="323">
        <f t="shared" si="1"/>
        <v>100.1370129239141</v>
      </c>
      <c r="U68" s="322">
        <v>42090</v>
      </c>
      <c r="V68" s="791">
        <v>39546151</v>
      </c>
      <c r="W68" s="792"/>
      <c r="X68" s="480">
        <v>124.57</v>
      </c>
      <c r="Y68" s="480">
        <v>124.7</v>
      </c>
      <c r="Z68" s="480">
        <v>122.91</v>
      </c>
      <c r="AA68" s="323">
        <v>123.25</v>
      </c>
      <c r="AB68" s="220"/>
      <c r="AC68" s="322">
        <v>42090</v>
      </c>
      <c r="AD68" s="323">
        <v>2061.02</v>
      </c>
      <c r="AE68" s="220"/>
      <c r="AF68" s="324">
        <v>1287.06773</v>
      </c>
      <c r="AG68" s="208">
        <v>9.4530100000000008</v>
      </c>
      <c r="AH68" s="208">
        <v>26.825279999999999</v>
      </c>
      <c r="AI68" s="208">
        <v>53.348550000000003</v>
      </c>
      <c r="AJ68" s="208">
        <v>31.49</v>
      </c>
      <c r="AK68" s="208">
        <v>27.13</v>
      </c>
      <c r="AL68" s="208">
        <v>3.7143100000000002</v>
      </c>
      <c r="AM68" s="208">
        <v>12.728669999999999</v>
      </c>
      <c r="AN68" s="208">
        <v>42.71</v>
      </c>
      <c r="AO68" s="208">
        <v>42.64</v>
      </c>
      <c r="AP68" s="208">
        <v>35.1</v>
      </c>
      <c r="AQ68" s="208">
        <v>22.29</v>
      </c>
      <c r="AR68" s="208">
        <v>35.691510000000001</v>
      </c>
      <c r="AS68" s="208">
        <v>9.9384499999999996</v>
      </c>
      <c r="AT68" s="208">
        <v>35.1</v>
      </c>
      <c r="AU68" s="208">
        <v>13.23011</v>
      </c>
      <c r="AV68" s="208">
        <v>25.17</v>
      </c>
      <c r="AW68" s="208">
        <v>82.31</v>
      </c>
      <c r="AX68" s="208">
        <v>81.349999999999994</v>
      </c>
      <c r="AY68" s="208">
        <v>71.650000000000006</v>
      </c>
      <c r="AZ68" s="208">
        <v>65.540000000000006</v>
      </c>
      <c r="BA68" s="208">
        <v>59.55</v>
      </c>
      <c r="BB68" s="208">
        <v>57.75</v>
      </c>
      <c r="BC68" s="208">
        <v>48.56</v>
      </c>
      <c r="BD68" s="208">
        <v>40.97</v>
      </c>
      <c r="BE68" s="208">
        <v>40.08</v>
      </c>
      <c r="BF68" s="208">
        <v>34.53</v>
      </c>
      <c r="BG68" s="208">
        <v>32</v>
      </c>
      <c r="BH68" s="208"/>
      <c r="BI68" s="323">
        <v>24.86</v>
      </c>
    </row>
    <row r="69" spans="3:61" ht="15" customHeight="1">
      <c r="C69" s="325"/>
      <c r="D69" s="326"/>
      <c r="E69" s="311"/>
      <c r="F69" s="311"/>
      <c r="G69" s="311"/>
      <c r="H69" s="311"/>
      <c r="I69" s="311"/>
      <c r="J69" s="317"/>
      <c r="K69" s="312"/>
      <c r="L69" s="312"/>
      <c r="M69" s="312"/>
      <c r="N69" s="312"/>
      <c r="O69" s="312"/>
      <c r="P69" s="318">
        <f t="shared" si="2"/>
        <v>42093</v>
      </c>
      <c r="Q69" s="205">
        <f t="shared" si="0"/>
        <v>115.58584103173877</v>
      </c>
      <c r="R69" s="205"/>
      <c r="S69" s="319">
        <f t="shared" si="1"/>
        <v>101.36235545622387</v>
      </c>
      <c r="U69" s="318">
        <v>42093</v>
      </c>
      <c r="V69" s="794">
        <v>47099670</v>
      </c>
      <c r="W69" s="795"/>
      <c r="X69" s="482">
        <v>124.05</v>
      </c>
      <c r="Y69" s="482">
        <v>126.4</v>
      </c>
      <c r="Z69" s="482">
        <v>124</v>
      </c>
      <c r="AA69" s="319">
        <v>126.37</v>
      </c>
      <c r="AB69" s="220"/>
      <c r="AC69" s="318">
        <v>42093</v>
      </c>
      <c r="AD69" s="319">
        <v>2086.2399999999998</v>
      </c>
      <c r="AE69" s="220"/>
      <c r="AF69" s="320">
        <v>1289.4487300000001</v>
      </c>
      <c r="AG69" s="205">
        <v>8.7994299999999992</v>
      </c>
      <c r="AH69" s="205">
        <v>26.7408</v>
      </c>
      <c r="AI69" s="205">
        <v>53.094949999999997</v>
      </c>
      <c r="AJ69" s="205">
        <v>31.57</v>
      </c>
      <c r="AK69" s="205">
        <v>27.65</v>
      </c>
      <c r="AL69" s="205">
        <v>3.81297</v>
      </c>
      <c r="AM69" s="205">
        <v>12.75567</v>
      </c>
      <c r="AN69" s="205">
        <v>43.57</v>
      </c>
      <c r="AO69" s="205">
        <v>43.44</v>
      </c>
      <c r="AP69" s="205">
        <v>35.380000000000003</v>
      </c>
      <c r="AQ69" s="205">
        <v>22.53</v>
      </c>
      <c r="AR69" s="205">
        <v>35.561390000000003</v>
      </c>
      <c r="AS69" s="205">
        <v>10.068720000000001</v>
      </c>
      <c r="AT69" s="205">
        <v>35.380000000000003</v>
      </c>
      <c r="AU69" s="205">
        <v>13.14343</v>
      </c>
      <c r="AV69" s="205">
        <v>25.52</v>
      </c>
      <c r="AW69" s="205">
        <v>82.72</v>
      </c>
      <c r="AX69" s="205">
        <v>82.53</v>
      </c>
      <c r="AY69" s="205">
        <v>72.58</v>
      </c>
      <c r="AZ69" s="205">
        <v>65.66</v>
      </c>
      <c r="BA69" s="205">
        <v>60.96</v>
      </c>
      <c r="BB69" s="205">
        <v>58.34</v>
      </c>
      <c r="BC69" s="205">
        <v>49.12</v>
      </c>
      <c r="BD69" s="205">
        <v>40.96</v>
      </c>
      <c r="BE69" s="205">
        <v>40.51</v>
      </c>
      <c r="BF69" s="205">
        <v>35</v>
      </c>
      <c r="BG69" s="205">
        <v>31.46</v>
      </c>
      <c r="BH69" s="205"/>
      <c r="BI69" s="319">
        <v>25.12</v>
      </c>
    </row>
    <row r="70" spans="3:61" ht="15" customHeight="1">
      <c r="C70" s="325"/>
      <c r="D70" s="326"/>
      <c r="E70" s="311"/>
      <c r="F70" s="311"/>
      <c r="G70" s="311"/>
      <c r="H70" s="311"/>
      <c r="I70" s="311"/>
      <c r="J70" s="317"/>
      <c r="K70" s="312"/>
      <c r="L70" s="312"/>
      <c r="M70" s="312"/>
      <c r="N70" s="312"/>
      <c r="O70" s="312"/>
      <c r="P70" s="322">
        <f t="shared" si="2"/>
        <v>42094</v>
      </c>
      <c r="Q70" s="208">
        <f t="shared" si="0"/>
        <v>113.81139668892347</v>
      </c>
      <c r="R70" s="208"/>
      <c r="S70" s="323">
        <f t="shared" si="1"/>
        <v>100.47079972791759</v>
      </c>
      <c r="U70" s="322">
        <v>42094</v>
      </c>
      <c r="V70" s="791">
        <v>42090553</v>
      </c>
      <c r="W70" s="792"/>
      <c r="X70" s="480">
        <v>126.09</v>
      </c>
      <c r="Y70" s="480">
        <v>126.49</v>
      </c>
      <c r="Z70" s="480">
        <v>124.355</v>
      </c>
      <c r="AA70" s="323">
        <v>124.43</v>
      </c>
      <c r="AB70" s="220"/>
      <c r="AC70" s="322">
        <v>42094</v>
      </c>
      <c r="AD70" s="323">
        <v>2067.89</v>
      </c>
      <c r="AE70" s="220"/>
      <c r="AF70" s="324">
        <v>1299.7321199999999</v>
      </c>
      <c r="AG70" s="208">
        <v>8.9051899999999993</v>
      </c>
      <c r="AH70" s="208">
        <v>26.59441</v>
      </c>
      <c r="AI70" s="208">
        <v>53.12576</v>
      </c>
      <c r="AJ70" s="208">
        <v>31.16</v>
      </c>
      <c r="AK70" s="208">
        <v>27.524999999999999</v>
      </c>
      <c r="AL70" s="208">
        <v>3.7762599999999997</v>
      </c>
      <c r="AM70" s="208">
        <v>12.55545</v>
      </c>
      <c r="AN70" s="208">
        <v>44.14</v>
      </c>
      <c r="AO70" s="208">
        <v>43.15</v>
      </c>
      <c r="AP70" s="208">
        <v>35.46</v>
      </c>
      <c r="AQ70" s="208">
        <v>22.58</v>
      </c>
      <c r="AR70" s="208">
        <v>35.414760000000001</v>
      </c>
      <c r="AS70" s="208">
        <v>10.079029999999999</v>
      </c>
      <c r="AT70" s="208">
        <v>35.46</v>
      </c>
      <c r="AU70" s="208">
        <v>13.14714</v>
      </c>
      <c r="AV70" s="208">
        <v>25.56</v>
      </c>
      <c r="AW70" s="208">
        <v>81.94</v>
      </c>
      <c r="AX70" s="208">
        <v>82.25</v>
      </c>
      <c r="AY70" s="208">
        <v>71.47</v>
      </c>
      <c r="AZ70" s="208">
        <v>65.41</v>
      </c>
      <c r="BA70" s="208">
        <v>60.58</v>
      </c>
      <c r="BB70" s="208">
        <v>57.48</v>
      </c>
      <c r="BC70" s="208">
        <v>48.63</v>
      </c>
      <c r="BD70" s="208">
        <v>40.655000000000001</v>
      </c>
      <c r="BE70" s="208">
        <v>40.549999999999997</v>
      </c>
      <c r="BF70" s="208">
        <v>34.79</v>
      </c>
      <c r="BG70" s="208">
        <v>31.27</v>
      </c>
      <c r="BH70" s="208"/>
      <c r="BI70" s="323">
        <v>24.81</v>
      </c>
    </row>
    <row r="71" spans="3:61" ht="15" customHeight="1">
      <c r="C71" s="325"/>
      <c r="D71" s="326"/>
      <c r="E71" s="311"/>
      <c r="F71" s="311"/>
      <c r="G71" s="311"/>
      <c r="H71" s="311"/>
      <c r="I71" s="311"/>
      <c r="J71" s="317"/>
      <c r="K71" s="312"/>
      <c r="L71" s="312"/>
      <c r="M71" s="312"/>
      <c r="N71" s="312"/>
      <c r="O71" s="312"/>
      <c r="P71" s="318">
        <f t="shared" si="2"/>
        <v>42095</v>
      </c>
      <c r="Q71" s="205">
        <f t="shared" si="0"/>
        <v>113.6467575230952</v>
      </c>
      <c r="R71" s="205"/>
      <c r="S71" s="319">
        <f t="shared" si="1"/>
        <v>100.07239335341562</v>
      </c>
      <c r="U71" s="318">
        <v>42095</v>
      </c>
      <c r="V71" s="794">
        <v>40621437</v>
      </c>
      <c r="W71" s="795"/>
      <c r="X71" s="482">
        <v>124.82</v>
      </c>
      <c r="Y71" s="482">
        <v>125.12</v>
      </c>
      <c r="Z71" s="482">
        <v>123.1</v>
      </c>
      <c r="AA71" s="319">
        <v>124.25</v>
      </c>
      <c r="AB71" s="220"/>
      <c r="AC71" s="318">
        <v>42095</v>
      </c>
      <c r="AD71" s="319">
        <v>2059.69</v>
      </c>
      <c r="AE71" s="220"/>
      <c r="AF71" s="320">
        <v>1295.6505099999999</v>
      </c>
      <c r="AG71" s="205">
        <v>8.9162400000000002</v>
      </c>
      <c r="AH71" s="205">
        <v>27.07113</v>
      </c>
      <c r="AI71" s="205">
        <v>53.355670000000003</v>
      </c>
      <c r="AJ71" s="205">
        <v>31.29</v>
      </c>
      <c r="AK71" s="205">
        <v>27.25</v>
      </c>
      <c r="AL71" s="205">
        <v>3.7525200000000001</v>
      </c>
      <c r="AM71" s="205">
        <v>12.601929999999999</v>
      </c>
      <c r="AN71" s="205">
        <v>44.01</v>
      </c>
      <c r="AO71" s="205">
        <v>42.94</v>
      </c>
      <c r="AP71" s="205">
        <v>35.270000000000003</v>
      </c>
      <c r="AQ71" s="205">
        <v>22.5</v>
      </c>
      <c r="AR71" s="205">
        <v>34.962339999999998</v>
      </c>
      <c r="AS71" s="205">
        <v>10.01824</v>
      </c>
      <c r="AT71" s="205">
        <v>35.270000000000003</v>
      </c>
      <c r="AU71" s="205">
        <v>13.179919999999999</v>
      </c>
      <c r="AV71" s="205">
        <v>25.47</v>
      </c>
      <c r="AW71" s="205">
        <v>82.32</v>
      </c>
      <c r="AX71" s="205">
        <v>80.709999999999994</v>
      </c>
      <c r="AY71" s="205">
        <v>70.98</v>
      </c>
      <c r="AZ71" s="205">
        <v>65.180000000000007</v>
      </c>
      <c r="BA71" s="205">
        <v>59.95</v>
      </c>
      <c r="BB71" s="205">
        <v>56.86</v>
      </c>
      <c r="BC71" s="205">
        <v>48.92</v>
      </c>
      <c r="BD71" s="205">
        <v>40.72</v>
      </c>
      <c r="BE71" s="205">
        <v>40.68</v>
      </c>
      <c r="BF71" s="205">
        <v>34.33</v>
      </c>
      <c r="BG71" s="205">
        <v>30.81</v>
      </c>
      <c r="BH71" s="205"/>
      <c r="BI71" s="319">
        <v>24.84</v>
      </c>
    </row>
    <row r="72" spans="3:61" ht="15" customHeight="1">
      <c r="C72" s="325"/>
      <c r="D72" s="326"/>
      <c r="E72" s="311"/>
      <c r="F72" s="311"/>
      <c r="G72" s="311"/>
      <c r="H72" s="311"/>
      <c r="I72" s="311"/>
      <c r="J72" s="317"/>
      <c r="K72" s="312"/>
      <c r="L72" s="312"/>
      <c r="M72" s="312"/>
      <c r="N72" s="312"/>
      <c r="O72" s="312"/>
      <c r="P72" s="322">
        <f t="shared" si="2"/>
        <v>42096</v>
      </c>
      <c r="Q72" s="208">
        <f t="shared" si="0"/>
        <v>114.62544589774078</v>
      </c>
      <c r="R72" s="208"/>
      <c r="S72" s="323">
        <f t="shared" si="1"/>
        <v>100.42561461471189</v>
      </c>
      <c r="U72" s="322">
        <v>42096</v>
      </c>
      <c r="V72" s="791">
        <v>32220131</v>
      </c>
      <c r="W72" s="792"/>
      <c r="X72" s="480">
        <v>125.03</v>
      </c>
      <c r="Y72" s="480">
        <v>125.56</v>
      </c>
      <c r="Z72" s="480">
        <v>124.19</v>
      </c>
      <c r="AA72" s="323">
        <v>125.32</v>
      </c>
      <c r="AB72" s="220"/>
      <c r="AC72" s="322">
        <v>42096</v>
      </c>
      <c r="AD72" s="323">
        <v>2066.96</v>
      </c>
      <c r="AE72" s="220"/>
      <c r="AF72" s="324">
        <v>1315.5601200000001</v>
      </c>
      <c r="AG72" s="208">
        <v>9.0201100000000007</v>
      </c>
      <c r="AH72" s="208">
        <v>27.867349999999998</v>
      </c>
      <c r="AI72" s="208">
        <v>53.209539999999997</v>
      </c>
      <c r="AJ72" s="208">
        <v>31.4</v>
      </c>
      <c r="AK72" s="208">
        <v>27.13</v>
      </c>
      <c r="AL72" s="208">
        <v>3.8732799999999998</v>
      </c>
      <c r="AM72" s="208">
        <v>12.65221</v>
      </c>
      <c r="AN72" s="208">
        <v>43.97</v>
      </c>
      <c r="AO72" s="208">
        <v>42.62</v>
      </c>
      <c r="AP72" s="208">
        <v>35.625</v>
      </c>
      <c r="AQ72" s="208">
        <v>22.58</v>
      </c>
      <c r="AR72" s="208">
        <v>36.003680000000003</v>
      </c>
      <c r="AS72" s="208">
        <v>10.18041</v>
      </c>
      <c r="AT72" s="208">
        <v>35.625</v>
      </c>
      <c r="AU72" s="208">
        <v>13.119199999999999</v>
      </c>
      <c r="AV72" s="208">
        <v>25.53</v>
      </c>
      <c r="AW72" s="208">
        <v>82.43</v>
      </c>
      <c r="AX72" s="208">
        <v>80.73</v>
      </c>
      <c r="AY72" s="208">
        <v>71.39</v>
      </c>
      <c r="AZ72" s="208">
        <v>65.290000000000006</v>
      </c>
      <c r="BA72" s="208">
        <v>60.52</v>
      </c>
      <c r="BB72" s="208">
        <v>57.1</v>
      </c>
      <c r="BC72" s="208">
        <v>49.47</v>
      </c>
      <c r="BD72" s="208">
        <v>40.29</v>
      </c>
      <c r="BE72" s="208">
        <v>40.68</v>
      </c>
      <c r="BF72" s="208">
        <v>34.380000000000003</v>
      </c>
      <c r="BG72" s="208">
        <v>30.81</v>
      </c>
      <c r="BH72" s="208"/>
      <c r="BI72" s="323">
        <v>24.94</v>
      </c>
    </row>
    <row r="73" spans="3:61" ht="15" customHeight="1">
      <c r="C73" s="325"/>
      <c r="D73" s="326"/>
      <c r="E73" s="311"/>
      <c r="F73" s="311"/>
      <c r="G73" s="311"/>
      <c r="H73" s="311"/>
      <c r="I73" s="311"/>
      <c r="J73" s="317"/>
      <c r="K73" s="312"/>
      <c r="L73" s="312"/>
      <c r="M73" s="312"/>
      <c r="N73" s="312"/>
      <c r="O73" s="312"/>
      <c r="P73" s="318">
        <f t="shared" si="2"/>
        <v>42100</v>
      </c>
      <c r="Q73" s="205">
        <f t="shared" si="0"/>
        <v>116.48220982347021</v>
      </c>
      <c r="R73" s="205"/>
      <c r="S73" s="319">
        <f t="shared" si="1"/>
        <v>101.08930133126033</v>
      </c>
      <c r="U73" s="318">
        <v>42100</v>
      </c>
      <c r="V73" s="794">
        <v>37193975</v>
      </c>
      <c r="W73" s="795"/>
      <c r="X73" s="482">
        <v>124.47</v>
      </c>
      <c r="Y73" s="482">
        <v>127.51</v>
      </c>
      <c r="Z73" s="482">
        <v>124.33</v>
      </c>
      <c r="AA73" s="319">
        <v>127.35</v>
      </c>
      <c r="AB73" s="220"/>
      <c r="AC73" s="318">
        <v>42100</v>
      </c>
      <c r="AD73" s="319">
        <v>2080.62</v>
      </c>
      <c r="AE73" s="220"/>
      <c r="AF73" s="320">
        <v>1353.34193</v>
      </c>
      <c r="AG73" s="205">
        <v>9.3574300000000008</v>
      </c>
      <c r="AH73" s="205">
        <v>29.22786</v>
      </c>
      <c r="AI73" s="205">
        <v>53.12097</v>
      </c>
      <c r="AJ73" s="205">
        <v>31.83</v>
      </c>
      <c r="AK73" s="205">
        <v>27.22</v>
      </c>
      <c r="AL73" s="205">
        <v>3.8732799999999998</v>
      </c>
      <c r="AM73" s="205">
        <v>12.65221</v>
      </c>
      <c r="AN73" s="205">
        <v>44.72</v>
      </c>
      <c r="AO73" s="205">
        <v>42.96</v>
      </c>
      <c r="AP73" s="205">
        <v>36.03</v>
      </c>
      <c r="AQ73" s="205">
        <v>22.7</v>
      </c>
      <c r="AR73" s="205">
        <v>37.310110000000002</v>
      </c>
      <c r="AS73" s="205">
        <v>10.18041</v>
      </c>
      <c r="AT73" s="205">
        <v>36.03</v>
      </c>
      <c r="AU73" s="205">
        <v>13.22283</v>
      </c>
      <c r="AV73" s="205">
        <v>26.14</v>
      </c>
      <c r="AW73" s="205">
        <v>83.04</v>
      </c>
      <c r="AX73" s="205">
        <v>80.989999999999995</v>
      </c>
      <c r="AY73" s="205">
        <v>72</v>
      </c>
      <c r="AZ73" s="205">
        <v>65.2</v>
      </c>
      <c r="BA73" s="205">
        <v>60.47</v>
      </c>
      <c r="BB73" s="205">
        <v>57.18</v>
      </c>
      <c r="BC73" s="205">
        <v>49.63</v>
      </c>
      <c r="BD73" s="205">
        <v>41.545000000000002</v>
      </c>
      <c r="BE73" s="205">
        <v>41.17</v>
      </c>
      <c r="BF73" s="205">
        <v>34.479999999999997</v>
      </c>
      <c r="BG73" s="205">
        <v>31.04</v>
      </c>
      <c r="BH73" s="205"/>
      <c r="BI73" s="319">
        <v>25.18</v>
      </c>
    </row>
    <row r="74" spans="3:61" ht="15" customHeight="1">
      <c r="C74" s="325"/>
      <c r="D74" s="326"/>
      <c r="E74" s="311"/>
      <c r="F74" s="311"/>
      <c r="G74" s="311"/>
      <c r="H74" s="311"/>
      <c r="I74" s="311"/>
      <c r="J74" s="317"/>
      <c r="K74" s="312"/>
      <c r="L74" s="312"/>
      <c r="M74" s="312"/>
      <c r="N74" s="312"/>
      <c r="O74" s="312"/>
      <c r="P74" s="322">
        <f t="shared" si="2"/>
        <v>42101</v>
      </c>
      <c r="Q74" s="208">
        <f t="shared" si="0"/>
        <v>115.25656270008233</v>
      </c>
      <c r="R74" s="208"/>
      <c r="S74" s="323">
        <f t="shared" si="1"/>
        <v>100.88086677679526</v>
      </c>
      <c r="U74" s="322">
        <v>42101</v>
      </c>
      <c r="V74" s="791">
        <v>35012268</v>
      </c>
      <c r="W74" s="792"/>
      <c r="X74" s="480">
        <v>127.64</v>
      </c>
      <c r="Y74" s="480">
        <v>128.12180000000001</v>
      </c>
      <c r="Z74" s="480">
        <v>125.98</v>
      </c>
      <c r="AA74" s="323">
        <v>126.01</v>
      </c>
      <c r="AB74" s="220"/>
      <c r="AC74" s="322">
        <v>42101</v>
      </c>
      <c r="AD74" s="323">
        <v>2076.33</v>
      </c>
      <c r="AE74" s="220"/>
      <c r="AF74" s="324">
        <v>1335.48912</v>
      </c>
      <c r="AG74" s="208">
        <v>9.3369599999999995</v>
      </c>
      <c r="AH74" s="208">
        <v>29.01322</v>
      </c>
      <c r="AI74" s="208">
        <v>53.163789999999999</v>
      </c>
      <c r="AJ74" s="208">
        <v>31.42</v>
      </c>
      <c r="AK74" s="208">
        <v>27.39</v>
      </c>
      <c r="AL74" s="208">
        <v>3.9389099999999999</v>
      </c>
      <c r="AM74" s="208">
        <v>12.891220000000001</v>
      </c>
      <c r="AN74" s="208">
        <v>45.4</v>
      </c>
      <c r="AO74" s="208">
        <v>42.96</v>
      </c>
      <c r="AP74" s="208">
        <v>35.805</v>
      </c>
      <c r="AQ74" s="208">
        <v>23.42</v>
      </c>
      <c r="AR74" s="208">
        <v>37.077060000000003</v>
      </c>
      <c r="AS74" s="208">
        <v>10.225110000000001</v>
      </c>
      <c r="AT74" s="208">
        <v>35.805</v>
      </c>
      <c r="AU74" s="208">
        <v>13.243</v>
      </c>
      <c r="AV74" s="208">
        <v>26.18</v>
      </c>
      <c r="AW74" s="208">
        <v>82.39</v>
      </c>
      <c r="AX74" s="208">
        <v>80.5</v>
      </c>
      <c r="AY74" s="208">
        <v>71.67</v>
      </c>
      <c r="AZ74" s="208">
        <v>65.8</v>
      </c>
      <c r="BA74" s="208">
        <v>60.85</v>
      </c>
      <c r="BB74" s="208">
        <v>57.43</v>
      </c>
      <c r="BC74" s="208">
        <v>49.27</v>
      </c>
      <c r="BD74" s="208">
        <v>41.53</v>
      </c>
      <c r="BE74" s="208">
        <v>41.01</v>
      </c>
      <c r="BF74" s="208">
        <v>34.54</v>
      </c>
      <c r="BG74" s="208">
        <v>31.26</v>
      </c>
      <c r="BH74" s="208"/>
      <c r="BI74" s="323">
        <v>25.02</v>
      </c>
    </row>
    <row r="75" spans="3:61" ht="15" customHeight="1">
      <c r="C75" s="325"/>
      <c r="D75" s="326"/>
      <c r="E75" s="311"/>
      <c r="F75" s="311"/>
      <c r="G75" s="311"/>
      <c r="H75" s="311"/>
      <c r="I75" s="311"/>
      <c r="J75" s="317"/>
      <c r="K75" s="312"/>
      <c r="L75" s="312"/>
      <c r="M75" s="312"/>
      <c r="N75" s="312"/>
      <c r="O75" s="312"/>
      <c r="P75" s="318">
        <f t="shared" si="2"/>
        <v>42102</v>
      </c>
      <c r="Q75" s="205">
        <f t="shared" ref="Q75:Q138" si="3">IF($AA75 = "", "", $AA75/$AA$10*100)</f>
        <v>114.88155126680691</v>
      </c>
      <c r="R75" s="205"/>
      <c r="S75" s="319">
        <f t="shared" ref="S75:S138" si="4">IF($AD75 = "", "", $AD75/$AD$10*100)</f>
        <v>101.15149159459725</v>
      </c>
      <c r="U75" s="318">
        <v>42102</v>
      </c>
      <c r="V75" s="794">
        <v>37329243</v>
      </c>
      <c r="W75" s="795"/>
      <c r="X75" s="482">
        <v>125.85</v>
      </c>
      <c r="Y75" s="482">
        <v>126.4</v>
      </c>
      <c r="Z75" s="482">
        <v>124.97</v>
      </c>
      <c r="AA75" s="319">
        <v>125.6</v>
      </c>
      <c r="AB75" s="220"/>
      <c r="AC75" s="318">
        <v>42102</v>
      </c>
      <c r="AD75" s="319">
        <v>2081.9</v>
      </c>
      <c r="AE75" s="220"/>
      <c r="AF75" s="320">
        <v>1350.9933799999999</v>
      </c>
      <c r="AG75" s="205">
        <v>9.3380200000000002</v>
      </c>
      <c r="AH75" s="205">
        <v>29.389690000000002</v>
      </c>
      <c r="AI75" s="205">
        <v>52.614750000000001</v>
      </c>
      <c r="AJ75" s="205">
        <v>31.52</v>
      </c>
      <c r="AK75" s="205">
        <v>27.55</v>
      </c>
      <c r="AL75" s="205">
        <v>3.8926799999999999</v>
      </c>
      <c r="AM75" s="205">
        <v>12.782690000000001</v>
      </c>
      <c r="AN75" s="205">
        <v>45.62</v>
      </c>
      <c r="AO75" s="205">
        <v>43.11</v>
      </c>
      <c r="AP75" s="205">
        <v>35.82</v>
      </c>
      <c r="AQ75" s="205">
        <v>23.34</v>
      </c>
      <c r="AR75" s="205">
        <v>37.268630000000002</v>
      </c>
      <c r="AS75" s="205">
        <v>10.193910000000001</v>
      </c>
      <c r="AT75" s="205">
        <v>35.82</v>
      </c>
      <c r="AU75" s="205">
        <v>13.273300000000001</v>
      </c>
      <c r="AV75" s="205">
        <v>26.23</v>
      </c>
      <c r="AW75" s="205">
        <v>82.77</v>
      </c>
      <c r="AX75" s="205">
        <v>81.03</v>
      </c>
      <c r="AY75" s="205">
        <v>71.739999999999995</v>
      </c>
      <c r="AZ75" s="205">
        <v>66.5</v>
      </c>
      <c r="BA75" s="205">
        <v>61.05</v>
      </c>
      <c r="BB75" s="205">
        <v>57.15</v>
      </c>
      <c r="BC75" s="205">
        <v>49.13</v>
      </c>
      <c r="BD75" s="205">
        <v>41.42</v>
      </c>
      <c r="BE75" s="205">
        <v>40.89</v>
      </c>
      <c r="BF75" s="205">
        <v>34.64</v>
      </c>
      <c r="BG75" s="205">
        <v>31.31</v>
      </c>
      <c r="BH75" s="205"/>
      <c r="BI75" s="319">
        <v>25.01</v>
      </c>
    </row>
    <row r="76" spans="3:61" ht="15" customHeight="1">
      <c r="C76" s="325"/>
      <c r="D76" s="326"/>
      <c r="E76" s="311"/>
      <c r="F76" s="311"/>
      <c r="G76" s="311"/>
      <c r="H76" s="311"/>
      <c r="I76" s="311"/>
      <c r="J76" s="317"/>
      <c r="K76" s="312"/>
      <c r="L76" s="312"/>
      <c r="M76" s="312"/>
      <c r="N76" s="312"/>
      <c r="O76" s="312"/>
      <c r="P76" s="322">
        <f t="shared" ref="P76:P139" si="5">IF(U76="", "", U76)</f>
        <v>42103</v>
      </c>
      <c r="Q76" s="208">
        <f t="shared" si="3"/>
        <v>115.7596268178908</v>
      </c>
      <c r="R76" s="208"/>
      <c r="S76" s="323">
        <f t="shared" si="4"/>
        <v>101.60237100378973</v>
      </c>
      <c r="U76" s="322">
        <v>42103</v>
      </c>
      <c r="V76" s="791">
        <v>32483974</v>
      </c>
      <c r="W76" s="792"/>
      <c r="X76" s="480">
        <v>125.85</v>
      </c>
      <c r="Y76" s="480">
        <v>126.58</v>
      </c>
      <c r="Z76" s="480">
        <v>124.66</v>
      </c>
      <c r="AA76" s="323">
        <v>126.56</v>
      </c>
      <c r="AB76" s="220"/>
      <c r="AC76" s="322">
        <v>42103</v>
      </c>
      <c r="AD76" s="323">
        <v>2091.1799999999998</v>
      </c>
      <c r="AE76" s="220"/>
      <c r="AF76" s="324">
        <v>1354.41211</v>
      </c>
      <c r="AG76" s="208">
        <v>9.5544899999999995</v>
      </c>
      <c r="AH76" s="208">
        <v>30.064789999999999</v>
      </c>
      <c r="AI76" s="208">
        <v>54.066890000000001</v>
      </c>
      <c r="AJ76" s="208">
        <v>31.55</v>
      </c>
      <c r="AK76" s="208">
        <v>27.625</v>
      </c>
      <c r="AL76" s="208">
        <v>3.8938199999999998</v>
      </c>
      <c r="AM76" s="208">
        <v>12.89195</v>
      </c>
      <c r="AN76" s="208">
        <v>45.89</v>
      </c>
      <c r="AO76" s="208">
        <v>43.2</v>
      </c>
      <c r="AP76" s="208">
        <v>35.74</v>
      </c>
      <c r="AQ76" s="208">
        <v>23.67</v>
      </c>
      <c r="AR76" s="208">
        <v>37.303759999999997</v>
      </c>
      <c r="AS76" s="208">
        <v>10.20865</v>
      </c>
      <c r="AT76" s="208">
        <v>35.74</v>
      </c>
      <c r="AU76" s="208">
        <v>13.19877</v>
      </c>
      <c r="AV76" s="208">
        <v>25.95</v>
      </c>
      <c r="AW76" s="208">
        <v>82.89</v>
      </c>
      <c r="AX76" s="208">
        <v>80.84</v>
      </c>
      <c r="AY76" s="208">
        <v>71.930000000000007</v>
      </c>
      <c r="AZ76" s="208">
        <v>66.44</v>
      </c>
      <c r="BA76" s="208">
        <v>61.47</v>
      </c>
      <c r="BB76" s="208">
        <v>57.43</v>
      </c>
      <c r="BC76" s="208">
        <v>49.01</v>
      </c>
      <c r="BD76" s="208">
        <v>41.48</v>
      </c>
      <c r="BE76" s="208">
        <v>41.05</v>
      </c>
      <c r="BF76" s="208">
        <v>35.03</v>
      </c>
      <c r="BG76" s="208">
        <v>31.24</v>
      </c>
      <c r="BH76" s="208"/>
      <c r="BI76" s="323">
        <v>25.73</v>
      </c>
    </row>
    <row r="77" spans="3:61" ht="15" customHeight="1">
      <c r="C77" s="325"/>
      <c r="D77" s="326"/>
      <c r="E77" s="311"/>
      <c r="F77" s="311"/>
      <c r="G77" s="311"/>
      <c r="H77" s="311"/>
      <c r="I77" s="311"/>
      <c r="J77" s="317"/>
      <c r="K77" s="312"/>
      <c r="L77" s="312"/>
      <c r="M77" s="312"/>
      <c r="N77" s="312"/>
      <c r="O77" s="312"/>
      <c r="P77" s="318">
        <f t="shared" si="5"/>
        <v>42104</v>
      </c>
      <c r="Q77" s="205">
        <f t="shared" si="3"/>
        <v>116.25354431537546</v>
      </c>
      <c r="R77" s="205"/>
      <c r="S77" s="319">
        <f t="shared" si="4"/>
        <v>102.13098824215334</v>
      </c>
      <c r="U77" s="318">
        <v>42104</v>
      </c>
      <c r="V77" s="794">
        <v>40187953</v>
      </c>
      <c r="W77" s="795"/>
      <c r="X77" s="482">
        <v>125.95</v>
      </c>
      <c r="Y77" s="482">
        <v>127.21</v>
      </c>
      <c r="Z77" s="482">
        <v>125.26</v>
      </c>
      <c r="AA77" s="319">
        <v>127.1</v>
      </c>
      <c r="AB77" s="220"/>
      <c r="AC77" s="318">
        <v>42104</v>
      </c>
      <c r="AD77" s="319">
        <v>2102.06</v>
      </c>
      <c r="AE77" s="220"/>
      <c r="AF77" s="320">
        <v>1362.0989099999999</v>
      </c>
      <c r="AG77" s="205">
        <v>9.5362899999999993</v>
      </c>
      <c r="AH77" s="205">
        <v>30.587209999999999</v>
      </c>
      <c r="AI77" s="205">
        <v>54.026879999999998</v>
      </c>
      <c r="AJ77" s="205">
        <v>32.11</v>
      </c>
      <c r="AK77" s="205">
        <v>28.04</v>
      </c>
      <c r="AL77" s="205">
        <v>4.0525000000000002</v>
      </c>
      <c r="AM77" s="205">
        <v>12.84244</v>
      </c>
      <c r="AN77" s="205">
        <v>44.86</v>
      </c>
      <c r="AO77" s="205">
        <v>43.51</v>
      </c>
      <c r="AP77" s="205">
        <v>35.47</v>
      </c>
      <c r="AQ77" s="205">
        <v>23.77</v>
      </c>
      <c r="AR77" s="205">
        <v>37.174579999999999</v>
      </c>
      <c r="AS77" s="205">
        <v>10.116860000000001</v>
      </c>
      <c r="AT77" s="205">
        <v>35.47</v>
      </c>
      <c r="AU77" s="205">
        <v>13.091570000000001</v>
      </c>
      <c r="AV77" s="205">
        <v>25.83</v>
      </c>
      <c r="AW77" s="205">
        <v>83.35</v>
      </c>
      <c r="AX77" s="205">
        <v>80.650000000000006</v>
      </c>
      <c r="AY77" s="205">
        <v>72.23</v>
      </c>
      <c r="AZ77" s="205">
        <v>66.34</v>
      </c>
      <c r="BA77" s="205">
        <v>61.7</v>
      </c>
      <c r="BB77" s="205">
        <v>57.25</v>
      </c>
      <c r="BC77" s="205">
        <v>49.22</v>
      </c>
      <c r="BD77" s="205">
        <v>41.72</v>
      </c>
      <c r="BE77" s="205">
        <v>40.880000000000003</v>
      </c>
      <c r="BF77" s="205">
        <v>35.44</v>
      </c>
      <c r="BG77" s="205">
        <v>31.93</v>
      </c>
      <c r="BH77" s="205"/>
      <c r="BI77" s="319">
        <v>28.51</v>
      </c>
    </row>
    <row r="78" spans="3:61" ht="15" customHeight="1">
      <c r="C78" s="325"/>
      <c r="D78" s="326"/>
      <c r="E78" s="311"/>
      <c r="F78" s="311"/>
      <c r="G78" s="311"/>
      <c r="H78" s="311"/>
      <c r="I78" s="311"/>
      <c r="J78" s="317"/>
      <c r="K78" s="312"/>
      <c r="L78" s="312"/>
      <c r="M78" s="312"/>
      <c r="N78" s="312"/>
      <c r="O78" s="312"/>
      <c r="P78" s="322">
        <f t="shared" si="5"/>
        <v>42107</v>
      </c>
      <c r="Q78" s="208">
        <f t="shared" si="3"/>
        <v>116.0248788072807</v>
      </c>
      <c r="R78" s="208"/>
      <c r="S78" s="323">
        <f t="shared" si="4"/>
        <v>101.66310368282964</v>
      </c>
      <c r="U78" s="322">
        <v>42107</v>
      </c>
      <c r="V78" s="791">
        <v>36365123</v>
      </c>
      <c r="W78" s="792"/>
      <c r="X78" s="480">
        <v>128.37</v>
      </c>
      <c r="Y78" s="480">
        <v>128.57</v>
      </c>
      <c r="Z78" s="480">
        <v>126.61</v>
      </c>
      <c r="AA78" s="323">
        <v>126.85</v>
      </c>
      <c r="AB78" s="220"/>
      <c r="AC78" s="322">
        <v>42107</v>
      </c>
      <c r="AD78" s="323">
        <v>2092.4299999999998</v>
      </c>
      <c r="AE78" s="220"/>
      <c r="AF78" s="324">
        <v>1342.8729699999999</v>
      </c>
      <c r="AG78" s="208">
        <v>9.6228700000000007</v>
      </c>
      <c r="AH78" s="208">
        <v>30.524830000000001</v>
      </c>
      <c r="AI78" s="208">
        <v>53.932830000000003</v>
      </c>
      <c r="AJ78" s="208">
        <v>32.700000000000003</v>
      </c>
      <c r="AK78" s="208">
        <v>27.98</v>
      </c>
      <c r="AL78" s="208">
        <v>4.0878300000000003</v>
      </c>
      <c r="AM78" s="208">
        <v>12.98362</v>
      </c>
      <c r="AN78" s="208">
        <v>44.14</v>
      </c>
      <c r="AO78" s="208">
        <v>43.08</v>
      </c>
      <c r="AP78" s="208">
        <v>35.409999999999997</v>
      </c>
      <c r="AQ78" s="208">
        <v>23.6</v>
      </c>
      <c r="AR78" s="208">
        <v>37.245280000000001</v>
      </c>
      <c r="AS78" s="208">
        <v>10.14742</v>
      </c>
      <c r="AT78" s="208">
        <v>35.409999999999997</v>
      </c>
      <c r="AU78" s="208">
        <v>12.98761</v>
      </c>
      <c r="AV78" s="208">
        <v>25.95</v>
      </c>
      <c r="AW78" s="208">
        <v>83.43</v>
      </c>
      <c r="AX78" s="208">
        <v>80.290000000000006</v>
      </c>
      <c r="AY78" s="208">
        <v>71.959999999999994</v>
      </c>
      <c r="AZ78" s="208">
        <v>65.61</v>
      </c>
      <c r="BA78" s="208">
        <v>62.07</v>
      </c>
      <c r="BB78" s="208">
        <v>56.73</v>
      </c>
      <c r="BC78" s="208">
        <v>49.04</v>
      </c>
      <c r="BD78" s="208">
        <v>41.76</v>
      </c>
      <c r="BE78" s="208">
        <v>40.700000000000003</v>
      </c>
      <c r="BF78" s="208">
        <v>35.090000000000003</v>
      </c>
      <c r="BG78" s="208">
        <v>31.73</v>
      </c>
      <c r="BH78" s="208"/>
      <c r="BI78" s="323">
        <v>27.63</v>
      </c>
    </row>
    <row r="79" spans="3:61" ht="15" customHeight="1">
      <c r="C79" s="325"/>
      <c r="D79" s="326"/>
      <c r="E79" s="311"/>
      <c r="F79" s="311"/>
      <c r="G79" s="311"/>
      <c r="H79" s="311"/>
      <c r="I79" s="311"/>
      <c r="J79" s="317"/>
      <c r="K79" s="312"/>
      <c r="L79" s="312"/>
      <c r="M79" s="312"/>
      <c r="N79" s="312"/>
      <c r="O79" s="312"/>
      <c r="P79" s="318" t="str">
        <f t="shared" si="5"/>
        <v/>
      </c>
      <c r="Q79" s="205" t="str">
        <f t="shared" si="3"/>
        <v/>
      </c>
      <c r="R79" s="205"/>
      <c r="S79" s="319" t="str">
        <f t="shared" si="4"/>
        <v/>
      </c>
      <c r="U79" s="318"/>
      <c r="V79" s="794"/>
      <c r="W79" s="795"/>
      <c r="X79" s="482"/>
      <c r="Y79" s="482"/>
      <c r="Z79" s="482"/>
      <c r="AA79" s="319"/>
      <c r="AB79" s="220"/>
      <c r="AC79" s="318"/>
      <c r="AD79" s="319"/>
      <c r="AE79" s="220"/>
      <c r="AF79" s="320"/>
      <c r="AG79" s="205"/>
      <c r="AH79" s="205"/>
      <c r="AI79" s="205"/>
      <c r="AJ79" s="205"/>
      <c r="AK79" s="205"/>
      <c r="AL79" s="205"/>
      <c r="AM79" s="205"/>
      <c r="AN79" s="205"/>
      <c r="AO79" s="205"/>
      <c r="AP79" s="205"/>
      <c r="AQ79" s="205"/>
      <c r="AR79" s="205"/>
      <c r="AS79" s="205"/>
      <c r="AT79" s="205"/>
      <c r="AU79" s="205"/>
      <c r="AV79" s="205"/>
      <c r="AW79" s="205"/>
      <c r="AX79" s="205"/>
      <c r="AY79" s="205"/>
      <c r="AZ79" s="205"/>
      <c r="BA79" s="205"/>
      <c r="BB79" s="205"/>
      <c r="BC79" s="205"/>
      <c r="BD79" s="205"/>
      <c r="BE79" s="205"/>
      <c r="BF79" s="205"/>
      <c r="BG79" s="205"/>
      <c r="BH79" s="205"/>
      <c r="BI79" s="319"/>
    </row>
    <row r="80" spans="3:61" ht="15" customHeight="1">
      <c r="C80" s="325"/>
      <c r="D80" s="326"/>
      <c r="E80" s="311"/>
      <c r="F80" s="311"/>
      <c r="G80" s="311"/>
      <c r="H80" s="311"/>
      <c r="I80" s="311"/>
      <c r="J80" s="317"/>
      <c r="K80" s="312"/>
      <c r="L80" s="312"/>
      <c r="M80" s="312"/>
      <c r="N80" s="312"/>
      <c r="O80" s="312"/>
      <c r="P80" s="322" t="str">
        <f t="shared" si="5"/>
        <v/>
      </c>
      <c r="Q80" s="208" t="str">
        <f t="shared" si="3"/>
        <v/>
      </c>
      <c r="R80" s="208"/>
      <c r="S80" s="323" t="str">
        <f t="shared" si="4"/>
        <v/>
      </c>
      <c r="U80" s="322"/>
      <c r="V80" s="791"/>
      <c r="W80" s="792"/>
      <c r="X80" s="480"/>
      <c r="Y80" s="480"/>
      <c r="Z80" s="480"/>
      <c r="AA80" s="323"/>
      <c r="AB80" s="220"/>
      <c r="AC80" s="322"/>
      <c r="AD80" s="323"/>
      <c r="AE80" s="220"/>
      <c r="AF80" s="324"/>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323"/>
    </row>
    <row r="81" spans="3:61" ht="15" customHeight="1">
      <c r="C81" s="325"/>
      <c r="D81" s="326"/>
      <c r="E81" s="311"/>
      <c r="F81" s="311"/>
      <c r="G81" s="311"/>
      <c r="H81" s="311"/>
      <c r="I81" s="311"/>
      <c r="J81" s="317"/>
      <c r="K81" s="312"/>
      <c r="L81" s="312"/>
      <c r="M81" s="312"/>
      <c r="N81" s="312"/>
      <c r="O81" s="312"/>
      <c r="P81" s="318" t="str">
        <f t="shared" si="5"/>
        <v/>
      </c>
      <c r="Q81" s="205" t="str">
        <f t="shared" si="3"/>
        <v/>
      </c>
      <c r="R81" s="205"/>
      <c r="S81" s="319" t="str">
        <f t="shared" si="4"/>
        <v/>
      </c>
      <c r="U81" s="318"/>
      <c r="V81" s="794"/>
      <c r="W81" s="795"/>
      <c r="X81" s="482"/>
      <c r="Y81" s="482"/>
      <c r="Z81" s="482"/>
      <c r="AA81" s="319"/>
      <c r="AB81" s="220"/>
      <c r="AC81" s="318"/>
      <c r="AD81" s="319"/>
      <c r="AE81" s="220"/>
      <c r="AF81" s="320"/>
      <c r="AG81" s="205"/>
      <c r="AH81" s="205"/>
      <c r="AI81" s="205"/>
      <c r="AJ81" s="205"/>
      <c r="AK81" s="205"/>
      <c r="AL81" s="205"/>
      <c r="AM81" s="205"/>
      <c r="AN81" s="205"/>
      <c r="AO81" s="205"/>
      <c r="AP81" s="205"/>
      <c r="AQ81" s="205"/>
      <c r="AR81" s="205"/>
      <c r="AS81" s="205"/>
      <c r="AT81" s="205"/>
      <c r="AU81" s="205"/>
      <c r="AV81" s="205"/>
      <c r="AW81" s="205"/>
      <c r="AX81" s="205"/>
      <c r="AY81" s="205"/>
      <c r="AZ81" s="205"/>
      <c r="BA81" s="205"/>
      <c r="BB81" s="205"/>
      <c r="BC81" s="205"/>
      <c r="BD81" s="205"/>
      <c r="BE81" s="205"/>
      <c r="BF81" s="205"/>
      <c r="BG81" s="205"/>
      <c r="BH81" s="205"/>
      <c r="BI81" s="319"/>
    </row>
    <row r="82" spans="3:61" ht="15" customHeight="1">
      <c r="C82" s="325"/>
      <c r="D82" s="326"/>
      <c r="E82" s="311"/>
      <c r="F82" s="311"/>
      <c r="G82" s="311"/>
      <c r="H82" s="311"/>
      <c r="I82" s="311"/>
      <c r="J82" s="317"/>
      <c r="K82" s="312"/>
      <c r="L82" s="312"/>
      <c r="M82" s="312"/>
      <c r="N82" s="312"/>
      <c r="O82" s="312"/>
      <c r="P82" s="322" t="str">
        <f t="shared" si="5"/>
        <v/>
      </c>
      <c r="Q82" s="208" t="str">
        <f t="shared" si="3"/>
        <v/>
      </c>
      <c r="R82" s="208"/>
      <c r="S82" s="323" t="str">
        <f t="shared" si="4"/>
        <v/>
      </c>
      <c r="T82" s="317"/>
      <c r="U82" s="322"/>
      <c r="V82" s="791"/>
      <c r="W82" s="792"/>
      <c r="X82" s="480"/>
      <c r="Y82" s="480"/>
      <c r="Z82" s="480"/>
      <c r="AA82" s="323"/>
      <c r="AB82" s="220"/>
      <c r="AC82" s="322"/>
      <c r="AD82" s="323"/>
      <c r="AE82" s="220"/>
      <c r="AF82" s="324"/>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323"/>
    </row>
    <row r="83" spans="3:61" ht="15" customHeight="1">
      <c r="C83" s="325"/>
      <c r="D83" s="326"/>
      <c r="E83" s="311"/>
      <c r="F83" s="311"/>
      <c r="G83" s="311"/>
      <c r="H83" s="311"/>
      <c r="I83" s="311"/>
      <c r="J83" s="317"/>
      <c r="K83" s="312"/>
      <c r="L83" s="312"/>
      <c r="M83" s="312"/>
      <c r="N83" s="312"/>
      <c r="O83" s="312"/>
      <c r="P83" s="318" t="str">
        <f t="shared" si="5"/>
        <v/>
      </c>
      <c r="Q83" s="205" t="str">
        <f t="shared" si="3"/>
        <v/>
      </c>
      <c r="R83" s="205"/>
      <c r="S83" s="319" t="str">
        <f t="shared" si="4"/>
        <v/>
      </c>
      <c r="U83" s="318"/>
      <c r="V83" s="794"/>
      <c r="W83" s="795"/>
      <c r="X83" s="482"/>
      <c r="Y83" s="482"/>
      <c r="Z83" s="482"/>
      <c r="AA83" s="319"/>
      <c r="AB83" s="220"/>
      <c r="AC83" s="318"/>
      <c r="AD83" s="319"/>
      <c r="AE83" s="220"/>
      <c r="AF83" s="320"/>
      <c r="AG83" s="205"/>
      <c r="AH83" s="205"/>
      <c r="AI83" s="205"/>
      <c r="AJ83" s="205"/>
      <c r="AK83" s="205"/>
      <c r="AL83" s="205"/>
      <c r="AM83" s="205"/>
      <c r="AN83" s="205"/>
      <c r="AO83" s="205"/>
      <c r="AP83" s="205"/>
      <c r="AQ83" s="205"/>
      <c r="AR83" s="205"/>
      <c r="AS83" s="205"/>
      <c r="AT83" s="205"/>
      <c r="AU83" s="205"/>
      <c r="AV83" s="205"/>
      <c r="AW83" s="205"/>
      <c r="AX83" s="205"/>
      <c r="AY83" s="205"/>
      <c r="AZ83" s="205"/>
      <c r="BA83" s="205"/>
      <c r="BB83" s="205"/>
      <c r="BC83" s="205"/>
      <c r="BD83" s="205"/>
      <c r="BE83" s="205"/>
      <c r="BF83" s="205"/>
      <c r="BG83" s="205"/>
      <c r="BH83" s="205"/>
      <c r="BI83" s="319"/>
    </row>
    <row r="84" spans="3:61" ht="15" customHeight="1">
      <c r="C84" s="325"/>
      <c r="D84" s="326"/>
      <c r="E84" s="311"/>
      <c r="F84" s="311"/>
      <c r="G84" s="311"/>
      <c r="H84" s="311"/>
      <c r="I84" s="311"/>
      <c r="J84" s="317"/>
      <c r="K84" s="312"/>
      <c r="L84" s="312"/>
      <c r="M84" s="312"/>
      <c r="N84" s="312"/>
      <c r="O84" s="312"/>
      <c r="P84" s="322" t="str">
        <f t="shared" si="5"/>
        <v/>
      </c>
      <c r="Q84" s="208" t="str">
        <f t="shared" si="3"/>
        <v/>
      </c>
      <c r="R84" s="208"/>
      <c r="S84" s="323" t="str">
        <f t="shared" si="4"/>
        <v/>
      </c>
      <c r="U84" s="322"/>
      <c r="V84" s="791"/>
      <c r="W84" s="792"/>
      <c r="X84" s="480"/>
      <c r="Y84" s="480"/>
      <c r="Z84" s="480"/>
      <c r="AA84" s="323"/>
      <c r="AB84" s="220"/>
      <c r="AC84" s="322"/>
      <c r="AD84" s="323"/>
      <c r="AE84" s="220"/>
      <c r="AF84" s="324"/>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323"/>
    </row>
    <row r="85" spans="3:61" ht="15" customHeight="1">
      <c r="C85" s="325"/>
      <c r="D85" s="326"/>
      <c r="E85" s="311"/>
      <c r="F85" s="311"/>
      <c r="G85" s="311"/>
      <c r="H85" s="311"/>
      <c r="I85" s="311"/>
      <c r="J85" s="317"/>
      <c r="K85" s="312"/>
      <c r="L85" s="312"/>
      <c r="M85" s="312"/>
      <c r="N85" s="312"/>
      <c r="O85" s="312"/>
      <c r="P85" s="318" t="str">
        <f t="shared" si="5"/>
        <v/>
      </c>
      <c r="Q85" s="205" t="str">
        <f t="shared" si="3"/>
        <v/>
      </c>
      <c r="R85" s="205"/>
      <c r="S85" s="319" t="str">
        <f t="shared" si="4"/>
        <v/>
      </c>
      <c r="U85" s="318"/>
      <c r="V85" s="794"/>
      <c r="W85" s="795"/>
      <c r="X85" s="482"/>
      <c r="Y85" s="482"/>
      <c r="Z85" s="482"/>
      <c r="AA85" s="319"/>
      <c r="AB85" s="220"/>
      <c r="AC85" s="318"/>
      <c r="AD85" s="319"/>
      <c r="AE85" s="220"/>
      <c r="AF85" s="320"/>
      <c r="AG85" s="205"/>
      <c r="AH85" s="205"/>
      <c r="AI85" s="205"/>
      <c r="AJ85" s="205"/>
      <c r="AK85" s="205"/>
      <c r="AL85" s="205"/>
      <c r="AM85" s="205"/>
      <c r="AN85" s="205"/>
      <c r="AO85" s="205"/>
      <c r="AP85" s="205"/>
      <c r="AQ85" s="205"/>
      <c r="AR85" s="205"/>
      <c r="AS85" s="205"/>
      <c r="AT85" s="205"/>
      <c r="AU85" s="205"/>
      <c r="AV85" s="205"/>
      <c r="AW85" s="205"/>
      <c r="AX85" s="205"/>
      <c r="AY85" s="205"/>
      <c r="AZ85" s="205"/>
      <c r="BA85" s="205"/>
      <c r="BB85" s="205"/>
      <c r="BC85" s="205"/>
      <c r="BD85" s="205"/>
      <c r="BE85" s="205"/>
      <c r="BF85" s="205"/>
      <c r="BG85" s="205"/>
      <c r="BH85" s="205"/>
      <c r="BI85" s="319"/>
    </row>
    <row r="86" spans="3:61" ht="15" customHeight="1">
      <c r="C86" s="325"/>
      <c r="D86" s="326"/>
      <c r="E86" s="311"/>
      <c r="F86" s="311"/>
      <c r="G86" s="311"/>
      <c r="H86" s="311"/>
      <c r="I86" s="311"/>
      <c r="J86" s="317"/>
      <c r="K86" s="312"/>
      <c r="L86" s="312"/>
      <c r="M86" s="312"/>
      <c r="N86" s="312"/>
      <c r="O86" s="312"/>
      <c r="P86" s="322" t="str">
        <f t="shared" si="5"/>
        <v/>
      </c>
      <c r="Q86" s="208" t="str">
        <f t="shared" si="3"/>
        <v/>
      </c>
      <c r="R86" s="208"/>
      <c r="S86" s="323" t="str">
        <f t="shared" si="4"/>
        <v/>
      </c>
      <c r="U86" s="322"/>
      <c r="V86" s="791"/>
      <c r="W86" s="792"/>
      <c r="X86" s="480"/>
      <c r="Y86" s="480"/>
      <c r="Z86" s="480"/>
      <c r="AA86" s="323"/>
      <c r="AB86" s="220"/>
      <c r="AC86" s="322"/>
      <c r="AD86" s="323"/>
      <c r="AE86" s="220"/>
      <c r="AF86" s="324"/>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323"/>
    </row>
    <row r="87" spans="3:61" ht="15" customHeight="1">
      <c r="C87" s="325"/>
      <c r="D87" s="326"/>
      <c r="E87" s="311"/>
      <c r="F87" s="311"/>
      <c r="G87" s="311"/>
      <c r="H87" s="311"/>
      <c r="I87" s="311"/>
      <c r="J87" s="317"/>
      <c r="K87" s="312"/>
      <c r="L87" s="312"/>
      <c r="M87" s="312"/>
      <c r="N87" s="312"/>
      <c r="O87" s="312"/>
      <c r="P87" s="318" t="str">
        <f t="shared" si="5"/>
        <v/>
      </c>
      <c r="Q87" s="205" t="str">
        <f t="shared" si="3"/>
        <v/>
      </c>
      <c r="R87" s="205"/>
      <c r="S87" s="319" t="str">
        <f t="shared" si="4"/>
        <v/>
      </c>
      <c r="U87" s="318"/>
      <c r="V87" s="794"/>
      <c r="W87" s="795"/>
      <c r="X87" s="482"/>
      <c r="Y87" s="482"/>
      <c r="Z87" s="482"/>
      <c r="AA87" s="319"/>
      <c r="AB87" s="220"/>
      <c r="AC87" s="318"/>
      <c r="AD87" s="319"/>
      <c r="AE87" s="220"/>
      <c r="AF87" s="320"/>
      <c r="AG87" s="205"/>
      <c r="AH87" s="205"/>
      <c r="AI87" s="205"/>
      <c r="AJ87" s="205"/>
      <c r="AK87" s="205"/>
      <c r="AL87" s="205"/>
      <c r="AM87" s="205"/>
      <c r="AN87" s="205"/>
      <c r="AO87" s="205"/>
      <c r="AP87" s="205"/>
      <c r="AQ87" s="205"/>
      <c r="AR87" s="205"/>
      <c r="AS87" s="205"/>
      <c r="AT87" s="205"/>
      <c r="AU87" s="205"/>
      <c r="AV87" s="205"/>
      <c r="AW87" s="205"/>
      <c r="AX87" s="205"/>
      <c r="AY87" s="205"/>
      <c r="AZ87" s="205"/>
      <c r="BA87" s="205"/>
      <c r="BB87" s="205"/>
      <c r="BC87" s="205"/>
      <c r="BD87" s="205"/>
      <c r="BE87" s="205"/>
      <c r="BF87" s="205"/>
      <c r="BG87" s="205"/>
      <c r="BH87" s="205"/>
      <c r="BI87" s="319"/>
    </row>
    <row r="88" spans="3:61" ht="15" customHeight="1">
      <c r="C88" s="325"/>
      <c r="D88" s="326"/>
      <c r="E88" s="311"/>
      <c r="F88" s="311"/>
      <c r="G88" s="311"/>
      <c r="H88" s="311"/>
      <c r="I88" s="311"/>
      <c r="J88" s="317"/>
      <c r="K88" s="312"/>
      <c r="L88" s="312"/>
      <c r="M88" s="312"/>
      <c r="N88" s="312"/>
      <c r="O88" s="312"/>
      <c r="P88" s="322" t="str">
        <f t="shared" si="5"/>
        <v/>
      </c>
      <c r="Q88" s="208" t="str">
        <f t="shared" si="3"/>
        <v/>
      </c>
      <c r="R88" s="208"/>
      <c r="S88" s="323" t="str">
        <f t="shared" si="4"/>
        <v/>
      </c>
      <c r="U88" s="322"/>
      <c r="V88" s="791"/>
      <c r="W88" s="792"/>
      <c r="X88" s="480"/>
      <c r="Y88" s="480"/>
      <c r="Z88" s="480"/>
      <c r="AA88" s="323"/>
      <c r="AB88" s="220"/>
      <c r="AC88" s="322"/>
      <c r="AD88" s="323"/>
      <c r="AE88" s="220"/>
      <c r="AF88" s="324"/>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323"/>
    </row>
    <row r="89" spans="3:61" ht="15" customHeight="1">
      <c r="C89" s="325"/>
      <c r="D89" s="326"/>
      <c r="E89" s="311"/>
      <c r="F89" s="311"/>
      <c r="G89" s="311"/>
      <c r="H89" s="311"/>
      <c r="I89" s="311"/>
      <c r="J89" s="317"/>
      <c r="K89" s="312"/>
      <c r="L89" s="312"/>
      <c r="M89" s="312"/>
      <c r="N89" s="312"/>
      <c r="O89" s="312"/>
      <c r="P89" s="318" t="str">
        <f t="shared" si="5"/>
        <v/>
      </c>
      <c r="Q89" s="205" t="str">
        <f t="shared" si="3"/>
        <v/>
      </c>
      <c r="R89" s="205"/>
      <c r="S89" s="319" t="str">
        <f t="shared" si="4"/>
        <v/>
      </c>
      <c r="U89" s="318"/>
      <c r="V89" s="794"/>
      <c r="W89" s="795"/>
      <c r="X89" s="482"/>
      <c r="Y89" s="482"/>
      <c r="Z89" s="482"/>
      <c r="AA89" s="319"/>
      <c r="AB89" s="220"/>
      <c r="AC89" s="318"/>
      <c r="AD89" s="319"/>
      <c r="AE89" s="220"/>
      <c r="AF89" s="320"/>
      <c r="AG89" s="205"/>
      <c r="AH89" s="205"/>
      <c r="AI89" s="205"/>
      <c r="AJ89" s="205"/>
      <c r="AK89" s="205"/>
      <c r="AL89" s="205"/>
      <c r="AM89" s="205"/>
      <c r="AN89" s="205"/>
      <c r="AO89" s="205"/>
      <c r="AP89" s="205"/>
      <c r="AQ89" s="205"/>
      <c r="AR89" s="205"/>
      <c r="AS89" s="205"/>
      <c r="AT89" s="205"/>
      <c r="AU89" s="205"/>
      <c r="AV89" s="205"/>
      <c r="AW89" s="205"/>
      <c r="AX89" s="205"/>
      <c r="AY89" s="205"/>
      <c r="AZ89" s="205"/>
      <c r="BA89" s="205"/>
      <c r="BB89" s="205"/>
      <c r="BC89" s="205"/>
      <c r="BD89" s="205"/>
      <c r="BE89" s="205"/>
      <c r="BF89" s="205"/>
      <c r="BG89" s="205"/>
      <c r="BH89" s="205"/>
      <c r="BI89" s="319"/>
    </row>
    <row r="90" spans="3:61" ht="15" customHeight="1">
      <c r="C90" s="325"/>
      <c r="D90" s="326"/>
      <c r="E90" s="311"/>
      <c r="F90" s="311"/>
      <c r="G90" s="311"/>
      <c r="H90" s="311"/>
      <c r="I90" s="311"/>
      <c r="J90" s="317"/>
      <c r="K90" s="312"/>
      <c r="L90" s="312"/>
      <c r="M90" s="312"/>
      <c r="N90" s="312"/>
      <c r="O90" s="312"/>
      <c r="P90" s="322" t="str">
        <f t="shared" si="5"/>
        <v/>
      </c>
      <c r="Q90" s="208" t="str">
        <f t="shared" si="3"/>
        <v/>
      </c>
      <c r="R90" s="208"/>
      <c r="S90" s="323" t="str">
        <f t="shared" si="4"/>
        <v/>
      </c>
      <c r="U90" s="322"/>
      <c r="V90" s="791"/>
      <c r="W90" s="792"/>
      <c r="X90" s="480"/>
      <c r="Y90" s="480"/>
      <c r="Z90" s="480"/>
      <c r="AA90" s="323"/>
      <c r="AB90" s="220"/>
      <c r="AC90" s="322"/>
      <c r="AD90" s="323"/>
      <c r="AE90" s="220"/>
      <c r="AF90" s="324"/>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323"/>
    </row>
    <row r="91" spans="3:61" ht="15" customHeight="1">
      <c r="C91" s="325"/>
      <c r="D91" s="326"/>
      <c r="E91" s="311"/>
      <c r="F91" s="311"/>
      <c r="G91" s="311"/>
      <c r="H91" s="311"/>
      <c r="I91" s="311"/>
      <c r="J91" s="317"/>
      <c r="K91" s="312"/>
      <c r="L91" s="312"/>
      <c r="M91" s="312"/>
      <c r="N91" s="312"/>
      <c r="O91" s="312"/>
      <c r="P91" s="318" t="str">
        <f t="shared" si="5"/>
        <v/>
      </c>
      <c r="Q91" s="205" t="str">
        <f t="shared" si="3"/>
        <v/>
      </c>
      <c r="R91" s="205"/>
      <c r="S91" s="319" t="str">
        <f t="shared" si="4"/>
        <v/>
      </c>
      <c r="U91" s="318"/>
      <c r="V91" s="794"/>
      <c r="W91" s="795"/>
      <c r="X91" s="482"/>
      <c r="Y91" s="482"/>
      <c r="Z91" s="482"/>
      <c r="AA91" s="319"/>
      <c r="AB91" s="220"/>
      <c r="AC91" s="318"/>
      <c r="AD91" s="319"/>
      <c r="AE91" s="220"/>
      <c r="AF91" s="320"/>
      <c r="AG91" s="205"/>
      <c r="AH91" s="205"/>
      <c r="AI91" s="205"/>
      <c r="AJ91" s="205"/>
      <c r="AK91" s="205"/>
      <c r="AL91" s="205"/>
      <c r="AM91" s="205"/>
      <c r="AN91" s="205"/>
      <c r="AO91" s="205"/>
      <c r="AP91" s="205"/>
      <c r="AQ91" s="205"/>
      <c r="AR91" s="205"/>
      <c r="AS91" s="205"/>
      <c r="AT91" s="205"/>
      <c r="AU91" s="205"/>
      <c r="AV91" s="205"/>
      <c r="AW91" s="205"/>
      <c r="AX91" s="205"/>
      <c r="AY91" s="205"/>
      <c r="AZ91" s="205"/>
      <c r="BA91" s="205"/>
      <c r="BB91" s="205"/>
      <c r="BC91" s="205"/>
      <c r="BD91" s="205"/>
      <c r="BE91" s="205"/>
      <c r="BF91" s="205"/>
      <c r="BG91" s="205"/>
      <c r="BH91" s="205"/>
      <c r="BI91" s="319"/>
    </row>
    <row r="92" spans="3:61" ht="15" customHeight="1">
      <c r="C92" s="325"/>
      <c r="D92" s="326"/>
      <c r="E92" s="311"/>
      <c r="F92" s="311"/>
      <c r="G92" s="311"/>
      <c r="H92" s="311"/>
      <c r="I92" s="311"/>
      <c r="J92" s="317"/>
      <c r="K92" s="312"/>
      <c r="L92" s="312"/>
      <c r="M92" s="312"/>
      <c r="N92" s="312"/>
      <c r="O92" s="312"/>
      <c r="P92" s="322" t="str">
        <f t="shared" si="5"/>
        <v/>
      </c>
      <c r="Q92" s="208" t="str">
        <f t="shared" si="3"/>
        <v/>
      </c>
      <c r="R92" s="208"/>
      <c r="S92" s="323" t="str">
        <f t="shared" si="4"/>
        <v/>
      </c>
      <c r="U92" s="322"/>
      <c r="V92" s="791"/>
      <c r="W92" s="792"/>
      <c r="X92" s="480"/>
      <c r="Y92" s="480"/>
      <c r="Z92" s="480"/>
      <c r="AA92" s="323"/>
      <c r="AB92" s="220"/>
      <c r="AC92" s="322"/>
      <c r="AD92" s="323"/>
      <c r="AE92" s="220"/>
      <c r="AF92" s="324"/>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323"/>
    </row>
    <row r="93" spans="3:61" ht="15" customHeight="1">
      <c r="C93" s="325"/>
      <c r="D93" s="326"/>
      <c r="E93" s="311"/>
      <c r="F93" s="311"/>
      <c r="G93" s="311"/>
      <c r="H93" s="311"/>
      <c r="I93" s="311"/>
      <c r="J93" s="317"/>
      <c r="K93" s="312"/>
      <c r="L93" s="312"/>
      <c r="M93" s="312"/>
      <c r="N93" s="312"/>
      <c r="O93" s="312"/>
      <c r="P93" s="318" t="str">
        <f t="shared" si="5"/>
        <v/>
      </c>
      <c r="Q93" s="205" t="str">
        <f t="shared" si="3"/>
        <v/>
      </c>
      <c r="R93" s="205"/>
      <c r="S93" s="319" t="str">
        <f t="shared" si="4"/>
        <v/>
      </c>
      <c r="U93" s="318"/>
      <c r="V93" s="794"/>
      <c r="W93" s="795"/>
      <c r="X93" s="482"/>
      <c r="Y93" s="482"/>
      <c r="Z93" s="482"/>
      <c r="AA93" s="319"/>
      <c r="AB93" s="220"/>
      <c r="AC93" s="318"/>
      <c r="AD93" s="319"/>
      <c r="AE93" s="220"/>
      <c r="AF93" s="320"/>
      <c r="AG93" s="205"/>
      <c r="AH93" s="205"/>
      <c r="AI93" s="205"/>
      <c r="AJ93" s="205"/>
      <c r="AK93" s="205"/>
      <c r="AL93" s="205"/>
      <c r="AM93" s="205"/>
      <c r="AN93" s="205"/>
      <c r="AO93" s="205"/>
      <c r="AP93" s="205"/>
      <c r="AQ93" s="205"/>
      <c r="AR93" s="205"/>
      <c r="AS93" s="205"/>
      <c r="AT93" s="205"/>
      <c r="AU93" s="205"/>
      <c r="AV93" s="205"/>
      <c r="AW93" s="205"/>
      <c r="AX93" s="205"/>
      <c r="AY93" s="205"/>
      <c r="AZ93" s="205"/>
      <c r="BA93" s="205"/>
      <c r="BB93" s="205"/>
      <c r="BC93" s="205"/>
      <c r="BD93" s="205"/>
      <c r="BE93" s="205"/>
      <c r="BF93" s="205"/>
      <c r="BG93" s="205"/>
      <c r="BH93" s="205"/>
      <c r="BI93" s="319"/>
    </row>
    <row r="94" spans="3:61" ht="15" customHeight="1">
      <c r="C94" s="325"/>
      <c r="D94" s="326"/>
      <c r="E94" s="311"/>
      <c r="F94" s="311"/>
      <c r="G94" s="311"/>
      <c r="H94" s="311"/>
      <c r="I94" s="311"/>
      <c r="J94" s="317"/>
      <c r="K94" s="312"/>
      <c r="L94" s="312"/>
      <c r="M94" s="312"/>
      <c r="N94" s="312"/>
      <c r="O94" s="312"/>
      <c r="P94" s="322" t="str">
        <f t="shared" si="5"/>
        <v/>
      </c>
      <c r="Q94" s="208" t="str">
        <f t="shared" si="3"/>
        <v/>
      </c>
      <c r="R94" s="208"/>
      <c r="S94" s="323" t="str">
        <f t="shared" si="4"/>
        <v/>
      </c>
      <c r="U94" s="322"/>
      <c r="V94" s="791"/>
      <c r="W94" s="792"/>
      <c r="X94" s="480"/>
      <c r="Y94" s="480"/>
      <c r="Z94" s="480"/>
      <c r="AA94" s="323"/>
      <c r="AB94" s="220"/>
      <c r="AC94" s="322"/>
      <c r="AD94" s="323"/>
      <c r="AE94" s="220"/>
      <c r="AF94" s="324"/>
      <c r="AG94" s="208"/>
      <c r="AH94" s="208"/>
      <c r="AI94" s="208"/>
      <c r="AJ94" s="208"/>
      <c r="AK94" s="208"/>
      <c r="AL94" s="208"/>
      <c r="AM94" s="208"/>
      <c r="AN94" s="208"/>
      <c r="AO94" s="208"/>
      <c r="AP94" s="208"/>
      <c r="AQ94" s="208"/>
      <c r="AR94" s="208"/>
      <c r="AS94" s="208"/>
      <c r="AT94" s="208"/>
      <c r="AU94" s="208"/>
      <c r="AV94" s="208"/>
      <c r="AW94" s="208"/>
      <c r="AX94" s="208"/>
      <c r="AY94" s="208"/>
      <c r="AZ94" s="208"/>
      <c r="BA94" s="208"/>
      <c r="BB94" s="208"/>
      <c r="BC94" s="208"/>
      <c r="BD94" s="208"/>
      <c r="BE94" s="208"/>
      <c r="BF94" s="208"/>
      <c r="BG94" s="208"/>
      <c r="BH94" s="208"/>
      <c r="BI94" s="323"/>
    </row>
    <row r="95" spans="3:61" ht="15" customHeight="1">
      <c r="C95" s="325"/>
      <c r="D95" s="326"/>
      <c r="E95" s="311"/>
      <c r="F95" s="311"/>
      <c r="G95" s="311"/>
      <c r="H95" s="311"/>
      <c r="I95" s="311"/>
      <c r="J95" s="317"/>
      <c r="K95" s="312"/>
      <c r="L95" s="312"/>
      <c r="M95" s="312"/>
      <c r="N95" s="312"/>
      <c r="O95" s="312"/>
      <c r="P95" s="318" t="str">
        <f t="shared" si="5"/>
        <v/>
      </c>
      <c r="Q95" s="205" t="str">
        <f t="shared" si="3"/>
        <v/>
      </c>
      <c r="R95" s="205"/>
      <c r="S95" s="319" t="str">
        <f t="shared" si="4"/>
        <v/>
      </c>
      <c r="U95" s="318"/>
      <c r="V95" s="794"/>
      <c r="W95" s="795"/>
      <c r="X95" s="482"/>
      <c r="Y95" s="482"/>
      <c r="Z95" s="482"/>
      <c r="AA95" s="319"/>
      <c r="AB95" s="220"/>
      <c r="AC95" s="318"/>
      <c r="AD95" s="319"/>
      <c r="AE95" s="220"/>
      <c r="AF95" s="320"/>
      <c r="AG95" s="205"/>
      <c r="AH95" s="205"/>
      <c r="AI95" s="205"/>
      <c r="AJ95" s="205"/>
      <c r="AK95" s="205"/>
      <c r="AL95" s="205"/>
      <c r="AM95" s="205"/>
      <c r="AN95" s="205"/>
      <c r="AO95" s="205"/>
      <c r="AP95" s="205"/>
      <c r="AQ95" s="205"/>
      <c r="AR95" s="205"/>
      <c r="AS95" s="205"/>
      <c r="AT95" s="205"/>
      <c r="AU95" s="205"/>
      <c r="AV95" s="205"/>
      <c r="AW95" s="205"/>
      <c r="AX95" s="205"/>
      <c r="AY95" s="205"/>
      <c r="AZ95" s="205"/>
      <c r="BA95" s="205"/>
      <c r="BB95" s="205"/>
      <c r="BC95" s="205"/>
      <c r="BD95" s="205"/>
      <c r="BE95" s="205"/>
      <c r="BF95" s="205"/>
      <c r="BG95" s="205"/>
      <c r="BH95" s="205"/>
      <c r="BI95" s="319"/>
    </row>
    <row r="96" spans="3:61" ht="15" customHeight="1">
      <c r="C96" s="325"/>
      <c r="D96" s="326"/>
      <c r="E96" s="311"/>
      <c r="F96" s="311"/>
      <c r="G96" s="311"/>
      <c r="H96" s="311"/>
      <c r="I96" s="311"/>
      <c r="J96" s="317"/>
      <c r="K96" s="312"/>
      <c r="L96" s="312"/>
      <c r="M96" s="312"/>
      <c r="N96" s="312"/>
      <c r="O96" s="312"/>
      <c r="P96" s="322" t="str">
        <f t="shared" si="5"/>
        <v/>
      </c>
      <c r="Q96" s="208" t="str">
        <f t="shared" si="3"/>
        <v/>
      </c>
      <c r="R96" s="208"/>
      <c r="S96" s="323" t="str">
        <f t="shared" si="4"/>
        <v/>
      </c>
      <c r="U96" s="322"/>
      <c r="V96" s="791"/>
      <c r="W96" s="792"/>
      <c r="X96" s="480"/>
      <c r="Y96" s="480"/>
      <c r="Z96" s="480"/>
      <c r="AA96" s="323"/>
      <c r="AB96" s="220"/>
      <c r="AC96" s="322"/>
      <c r="AD96" s="323"/>
      <c r="AE96" s="220"/>
      <c r="AF96" s="324"/>
      <c r="AG96" s="208"/>
      <c r="AH96" s="208"/>
      <c r="AI96" s="208"/>
      <c r="AJ96" s="208"/>
      <c r="AK96" s="208"/>
      <c r="AL96" s="208"/>
      <c r="AM96" s="208"/>
      <c r="AN96" s="208"/>
      <c r="AO96" s="208"/>
      <c r="AP96" s="208"/>
      <c r="AQ96" s="208"/>
      <c r="AR96" s="208"/>
      <c r="AS96" s="208"/>
      <c r="AT96" s="208"/>
      <c r="AU96" s="208"/>
      <c r="AV96" s="208"/>
      <c r="AW96" s="208"/>
      <c r="AX96" s="208"/>
      <c r="AY96" s="208"/>
      <c r="AZ96" s="208"/>
      <c r="BA96" s="208"/>
      <c r="BB96" s="208"/>
      <c r="BC96" s="208"/>
      <c r="BD96" s="208"/>
      <c r="BE96" s="208"/>
      <c r="BF96" s="208"/>
      <c r="BG96" s="208"/>
      <c r="BH96" s="208"/>
      <c r="BI96" s="323"/>
    </row>
    <row r="97" spans="3:61" ht="15" customHeight="1">
      <c r="C97" s="325"/>
      <c r="D97" s="326"/>
      <c r="E97" s="311"/>
      <c r="F97" s="311"/>
      <c r="G97" s="311"/>
      <c r="H97" s="311"/>
      <c r="I97" s="311"/>
      <c r="J97" s="317"/>
      <c r="K97" s="312"/>
      <c r="L97" s="312"/>
      <c r="M97" s="312"/>
      <c r="N97" s="312"/>
      <c r="O97" s="312"/>
      <c r="P97" s="318" t="str">
        <f t="shared" si="5"/>
        <v/>
      </c>
      <c r="Q97" s="205" t="str">
        <f t="shared" si="3"/>
        <v/>
      </c>
      <c r="R97" s="205"/>
      <c r="S97" s="319" t="str">
        <f t="shared" si="4"/>
        <v/>
      </c>
      <c r="U97" s="318"/>
      <c r="V97" s="794"/>
      <c r="W97" s="795"/>
      <c r="X97" s="482"/>
      <c r="Y97" s="482"/>
      <c r="Z97" s="482"/>
      <c r="AA97" s="319"/>
      <c r="AB97" s="220"/>
      <c r="AC97" s="318"/>
      <c r="AD97" s="319"/>
      <c r="AE97" s="220"/>
      <c r="AF97" s="320"/>
      <c r="AG97" s="205"/>
      <c r="AH97" s="205"/>
      <c r="AI97" s="205"/>
      <c r="AJ97" s="205"/>
      <c r="AK97" s="205"/>
      <c r="AL97" s="205"/>
      <c r="AM97" s="205"/>
      <c r="AN97" s="205"/>
      <c r="AO97" s="205"/>
      <c r="AP97" s="205"/>
      <c r="AQ97" s="205"/>
      <c r="AR97" s="205"/>
      <c r="AS97" s="205"/>
      <c r="AT97" s="205"/>
      <c r="AU97" s="205"/>
      <c r="AV97" s="205"/>
      <c r="AW97" s="205"/>
      <c r="AX97" s="205"/>
      <c r="AY97" s="205"/>
      <c r="AZ97" s="205"/>
      <c r="BA97" s="205"/>
      <c r="BB97" s="205"/>
      <c r="BC97" s="205"/>
      <c r="BD97" s="205"/>
      <c r="BE97" s="205"/>
      <c r="BF97" s="205"/>
      <c r="BG97" s="205"/>
      <c r="BH97" s="205"/>
      <c r="BI97" s="319"/>
    </row>
    <row r="98" spans="3:61" ht="15" customHeight="1">
      <c r="C98" s="325"/>
      <c r="D98" s="326"/>
      <c r="E98" s="311"/>
      <c r="F98" s="311"/>
      <c r="G98" s="311"/>
      <c r="H98" s="311"/>
      <c r="I98" s="311"/>
      <c r="J98" s="317"/>
      <c r="K98" s="312"/>
      <c r="L98" s="312"/>
      <c r="M98" s="312"/>
      <c r="N98" s="312"/>
      <c r="O98" s="312"/>
      <c r="P98" s="322" t="str">
        <f t="shared" si="5"/>
        <v/>
      </c>
      <c r="Q98" s="208" t="str">
        <f t="shared" si="3"/>
        <v/>
      </c>
      <c r="R98" s="208"/>
      <c r="S98" s="323" t="str">
        <f t="shared" si="4"/>
        <v/>
      </c>
      <c r="U98" s="322"/>
      <c r="V98" s="791"/>
      <c r="W98" s="792"/>
      <c r="X98" s="480"/>
      <c r="Y98" s="480"/>
      <c r="Z98" s="480"/>
      <c r="AA98" s="323"/>
      <c r="AB98" s="220"/>
      <c r="AC98" s="322"/>
      <c r="AD98" s="323"/>
      <c r="AE98" s="220"/>
      <c r="AF98" s="324"/>
      <c r="AG98" s="208"/>
      <c r="AH98" s="208"/>
      <c r="AI98" s="208"/>
      <c r="AJ98" s="208"/>
      <c r="AK98" s="208"/>
      <c r="AL98" s="208"/>
      <c r="AM98" s="208"/>
      <c r="AN98" s="208"/>
      <c r="AO98" s="208"/>
      <c r="AP98" s="208"/>
      <c r="AQ98" s="208"/>
      <c r="AR98" s="208"/>
      <c r="AS98" s="208"/>
      <c r="AT98" s="208"/>
      <c r="AU98" s="208"/>
      <c r="AV98" s="208"/>
      <c r="AW98" s="208"/>
      <c r="AX98" s="208"/>
      <c r="AY98" s="208"/>
      <c r="AZ98" s="208"/>
      <c r="BA98" s="208"/>
      <c r="BB98" s="208"/>
      <c r="BC98" s="208"/>
      <c r="BD98" s="208"/>
      <c r="BE98" s="208"/>
      <c r="BF98" s="208"/>
      <c r="BG98" s="208"/>
      <c r="BH98" s="208"/>
      <c r="BI98" s="323"/>
    </row>
    <row r="99" spans="3:61" ht="15" customHeight="1">
      <c r="C99" s="325"/>
      <c r="D99" s="326"/>
      <c r="E99" s="311"/>
      <c r="F99" s="311"/>
      <c r="G99" s="311"/>
      <c r="H99" s="311"/>
      <c r="I99" s="311"/>
      <c r="J99" s="317"/>
      <c r="K99" s="312"/>
      <c r="L99" s="312"/>
      <c r="M99" s="312"/>
      <c r="N99" s="312"/>
      <c r="O99" s="312"/>
      <c r="P99" s="318" t="str">
        <f t="shared" si="5"/>
        <v/>
      </c>
      <c r="Q99" s="205" t="str">
        <f t="shared" si="3"/>
        <v/>
      </c>
      <c r="R99" s="205"/>
      <c r="S99" s="319" t="str">
        <f t="shared" si="4"/>
        <v/>
      </c>
      <c r="U99" s="318"/>
      <c r="V99" s="794"/>
      <c r="W99" s="795"/>
      <c r="X99" s="482"/>
      <c r="Y99" s="482"/>
      <c r="Z99" s="482"/>
      <c r="AA99" s="319"/>
      <c r="AB99" s="220"/>
      <c r="AC99" s="318"/>
      <c r="AD99" s="319"/>
      <c r="AE99" s="220"/>
      <c r="AF99" s="320"/>
      <c r="AG99" s="205"/>
      <c r="AH99" s="205"/>
      <c r="AI99" s="205"/>
      <c r="AJ99" s="205"/>
      <c r="AK99" s="205"/>
      <c r="AL99" s="205"/>
      <c r="AM99" s="205"/>
      <c r="AN99" s="205"/>
      <c r="AO99" s="205"/>
      <c r="AP99" s="205"/>
      <c r="AQ99" s="205"/>
      <c r="AR99" s="205"/>
      <c r="AS99" s="205"/>
      <c r="AT99" s="205"/>
      <c r="AU99" s="205"/>
      <c r="AV99" s="205"/>
      <c r="AW99" s="205"/>
      <c r="AX99" s="205"/>
      <c r="AY99" s="205"/>
      <c r="AZ99" s="205"/>
      <c r="BA99" s="205"/>
      <c r="BB99" s="205"/>
      <c r="BC99" s="205"/>
      <c r="BD99" s="205"/>
      <c r="BE99" s="205"/>
      <c r="BF99" s="205"/>
      <c r="BG99" s="205"/>
      <c r="BH99" s="205"/>
      <c r="BI99" s="319"/>
    </row>
    <row r="100" spans="3:61" ht="15" customHeight="1">
      <c r="C100" s="325"/>
      <c r="D100" s="326"/>
      <c r="E100" s="311"/>
      <c r="F100" s="311"/>
      <c r="G100" s="311"/>
      <c r="H100" s="311"/>
      <c r="I100" s="311"/>
      <c r="J100" s="317"/>
      <c r="K100" s="312"/>
      <c r="L100" s="312"/>
      <c r="M100" s="312"/>
      <c r="N100" s="312"/>
      <c r="O100" s="312"/>
      <c r="P100" s="322" t="str">
        <f t="shared" si="5"/>
        <v/>
      </c>
      <c r="Q100" s="208" t="str">
        <f t="shared" si="3"/>
        <v/>
      </c>
      <c r="R100" s="208"/>
      <c r="S100" s="323" t="str">
        <f t="shared" si="4"/>
        <v/>
      </c>
      <c r="U100" s="322"/>
      <c r="V100" s="791"/>
      <c r="W100" s="792"/>
      <c r="X100" s="480"/>
      <c r="Y100" s="480"/>
      <c r="Z100" s="480"/>
      <c r="AA100" s="323"/>
      <c r="AB100" s="220"/>
      <c r="AC100" s="322"/>
      <c r="AD100" s="323"/>
      <c r="AE100" s="220"/>
      <c r="AF100" s="324"/>
      <c r="AG100" s="208"/>
      <c r="AH100" s="208"/>
      <c r="AI100" s="208"/>
      <c r="AJ100" s="208"/>
      <c r="AK100" s="208"/>
      <c r="AL100" s="208"/>
      <c r="AM100" s="208"/>
      <c r="AN100" s="208"/>
      <c r="AO100" s="208"/>
      <c r="AP100" s="208"/>
      <c r="AQ100" s="208"/>
      <c r="AR100" s="208"/>
      <c r="AS100" s="208"/>
      <c r="AT100" s="208"/>
      <c r="AU100" s="208"/>
      <c r="AV100" s="208"/>
      <c r="AW100" s="208"/>
      <c r="AX100" s="208"/>
      <c r="AY100" s="208"/>
      <c r="AZ100" s="208"/>
      <c r="BA100" s="208"/>
      <c r="BB100" s="208"/>
      <c r="BC100" s="208"/>
      <c r="BD100" s="208"/>
      <c r="BE100" s="208"/>
      <c r="BF100" s="208"/>
      <c r="BG100" s="208"/>
      <c r="BH100" s="208"/>
      <c r="BI100" s="323"/>
    </row>
    <row r="101" spans="3:61" ht="15" customHeight="1">
      <c r="C101" s="325"/>
      <c r="D101" s="326"/>
      <c r="E101" s="311"/>
      <c r="F101" s="311"/>
      <c r="G101" s="311"/>
      <c r="H101" s="311"/>
      <c r="I101" s="311"/>
      <c r="J101" s="317"/>
      <c r="K101" s="312"/>
      <c r="L101" s="312"/>
      <c r="M101" s="312"/>
      <c r="N101" s="312"/>
      <c r="O101" s="312"/>
      <c r="P101" s="318" t="str">
        <f t="shared" si="5"/>
        <v/>
      </c>
      <c r="Q101" s="205" t="str">
        <f t="shared" si="3"/>
        <v/>
      </c>
      <c r="R101" s="205"/>
      <c r="S101" s="319" t="str">
        <f t="shared" si="4"/>
        <v/>
      </c>
      <c r="U101" s="318"/>
      <c r="V101" s="794"/>
      <c r="W101" s="795"/>
      <c r="X101" s="482"/>
      <c r="Y101" s="482"/>
      <c r="Z101" s="482"/>
      <c r="AA101" s="319"/>
      <c r="AB101" s="220"/>
      <c r="AC101" s="318"/>
      <c r="AD101" s="319"/>
      <c r="AE101" s="220"/>
      <c r="AF101" s="320"/>
      <c r="AG101" s="205"/>
      <c r="AH101" s="205"/>
      <c r="AI101" s="205"/>
      <c r="AJ101" s="205"/>
      <c r="AK101" s="205"/>
      <c r="AL101" s="205"/>
      <c r="AM101" s="205"/>
      <c r="AN101" s="205"/>
      <c r="AO101" s="205"/>
      <c r="AP101" s="205"/>
      <c r="AQ101" s="205"/>
      <c r="AR101" s="205"/>
      <c r="AS101" s="205"/>
      <c r="AT101" s="205"/>
      <c r="AU101" s="205"/>
      <c r="AV101" s="205"/>
      <c r="AW101" s="205"/>
      <c r="AX101" s="205"/>
      <c r="AY101" s="205"/>
      <c r="AZ101" s="205"/>
      <c r="BA101" s="205"/>
      <c r="BB101" s="205"/>
      <c r="BC101" s="205"/>
      <c r="BD101" s="205"/>
      <c r="BE101" s="205"/>
      <c r="BF101" s="205"/>
      <c r="BG101" s="205"/>
      <c r="BH101" s="205"/>
      <c r="BI101" s="319"/>
    </row>
    <row r="102" spans="3:61" ht="15" customHeight="1">
      <c r="C102" s="325"/>
      <c r="D102" s="326"/>
      <c r="E102" s="311"/>
      <c r="F102" s="311"/>
      <c r="G102" s="311"/>
      <c r="H102" s="311"/>
      <c r="I102" s="311"/>
      <c r="J102" s="317"/>
      <c r="K102" s="312"/>
      <c r="L102" s="312"/>
      <c r="M102" s="312"/>
      <c r="N102" s="312"/>
      <c r="O102" s="312"/>
      <c r="P102" s="322" t="str">
        <f t="shared" si="5"/>
        <v/>
      </c>
      <c r="Q102" s="208" t="str">
        <f t="shared" si="3"/>
        <v/>
      </c>
      <c r="R102" s="208"/>
      <c r="S102" s="323" t="str">
        <f t="shared" si="4"/>
        <v/>
      </c>
      <c r="U102" s="322"/>
      <c r="V102" s="791"/>
      <c r="W102" s="792"/>
      <c r="X102" s="480"/>
      <c r="Y102" s="480"/>
      <c r="Z102" s="480"/>
      <c r="AA102" s="323"/>
      <c r="AB102" s="220"/>
      <c r="AC102" s="322"/>
      <c r="AD102" s="323"/>
      <c r="AE102" s="220"/>
      <c r="AF102" s="324"/>
      <c r="AG102" s="208"/>
      <c r="AH102" s="208"/>
      <c r="AI102" s="208"/>
      <c r="AJ102" s="208"/>
      <c r="AK102" s="208"/>
      <c r="AL102" s="208"/>
      <c r="AM102" s="208"/>
      <c r="AN102" s="208"/>
      <c r="AO102" s="208"/>
      <c r="AP102" s="208"/>
      <c r="AQ102" s="208"/>
      <c r="AR102" s="208"/>
      <c r="AS102" s="208"/>
      <c r="AT102" s="208"/>
      <c r="AU102" s="208"/>
      <c r="AV102" s="208"/>
      <c r="AW102" s="208"/>
      <c r="AX102" s="208"/>
      <c r="AY102" s="208"/>
      <c r="AZ102" s="208"/>
      <c r="BA102" s="208"/>
      <c r="BB102" s="208"/>
      <c r="BC102" s="208"/>
      <c r="BD102" s="208"/>
      <c r="BE102" s="208"/>
      <c r="BF102" s="208"/>
      <c r="BG102" s="208"/>
      <c r="BH102" s="208"/>
      <c r="BI102" s="323"/>
    </row>
    <row r="103" spans="3:61" ht="15" customHeight="1">
      <c r="C103" s="325"/>
      <c r="D103" s="326"/>
      <c r="E103" s="311"/>
      <c r="F103" s="311"/>
      <c r="G103" s="311"/>
      <c r="H103" s="311"/>
      <c r="I103" s="311"/>
      <c r="J103" s="317"/>
      <c r="K103" s="312"/>
      <c r="L103" s="312"/>
      <c r="M103" s="312"/>
      <c r="N103" s="312"/>
      <c r="O103" s="312"/>
      <c r="P103" s="318" t="str">
        <f t="shared" si="5"/>
        <v/>
      </c>
      <c r="Q103" s="205" t="str">
        <f t="shared" si="3"/>
        <v/>
      </c>
      <c r="R103" s="205"/>
      <c r="S103" s="319" t="str">
        <f t="shared" si="4"/>
        <v/>
      </c>
      <c r="U103" s="318"/>
      <c r="V103" s="794"/>
      <c r="W103" s="795"/>
      <c r="X103" s="482"/>
      <c r="Y103" s="482"/>
      <c r="Z103" s="482"/>
      <c r="AA103" s="319"/>
      <c r="AB103" s="220"/>
      <c r="AC103" s="318"/>
      <c r="AD103" s="319"/>
      <c r="AE103" s="220"/>
      <c r="AF103" s="320"/>
      <c r="AG103" s="205"/>
      <c r="AH103" s="205"/>
      <c r="AI103" s="205"/>
      <c r="AJ103" s="205"/>
      <c r="AK103" s="205"/>
      <c r="AL103" s="205"/>
      <c r="AM103" s="205"/>
      <c r="AN103" s="205"/>
      <c r="AO103" s="205"/>
      <c r="AP103" s="205"/>
      <c r="AQ103" s="205"/>
      <c r="AR103" s="205"/>
      <c r="AS103" s="205"/>
      <c r="AT103" s="205"/>
      <c r="AU103" s="205"/>
      <c r="AV103" s="205"/>
      <c r="AW103" s="205"/>
      <c r="AX103" s="205"/>
      <c r="AY103" s="205"/>
      <c r="AZ103" s="205"/>
      <c r="BA103" s="205"/>
      <c r="BB103" s="205"/>
      <c r="BC103" s="205"/>
      <c r="BD103" s="205"/>
      <c r="BE103" s="205"/>
      <c r="BF103" s="205"/>
      <c r="BG103" s="205"/>
      <c r="BH103" s="205"/>
      <c r="BI103" s="319"/>
    </row>
    <row r="104" spans="3:61" ht="15" customHeight="1">
      <c r="C104" s="325"/>
      <c r="D104" s="326"/>
      <c r="E104" s="311"/>
      <c r="F104" s="311"/>
      <c r="G104" s="311"/>
      <c r="H104" s="311"/>
      <c r="I104" s="311"/>
      <c r="J104" s="317"/>
      <c r="K104" s="312"/>
      <c r="L104" s="312"/>
      <c r="M104" s="312"/>
      <c r="N104" s="312"/>
      <c r="O104" s="312"/>
      <c r="P104" s="322" t="str">
        <f t="shared" si="5"/>
        <v/>
      </c>
      <c r="Q104" s="208" t="str">
        <f t="shared" si="3"/>
        <v/>
      </c>
      <c r="R104" s="208"/>
      <c r="S104" s="323" t="str">
        <f t="shared" si="4"/>
        <v/>
      </c>
      <c r="U104" s="322"/>
      <c r="V104" s="791"/>
      <c r="W104" s="792"/>
      <c r="X104" s="480"/>
      <c r="Y104" s="480"/>
      <c r="Z104" s="480"/>
      <c r="AA104" s="323"/>
      <c r="AB104" s="220"/>
      <c r="AC104" s="322"/>
      <c r="AD104" s="323"/>
      <c r="AE104" s="220"/>
      <c r="AF104" s="324"/>
      <c r="AG104" s="208"/>
      <c r="AH104" s="208"/>
      <c r="AI104" s="208"/>
      <c r="AJ104" s="208"/>
      <c r="AK104" s="208"/>
      <c r="AL104" s="208"/>
      <c r="AM104" s="208"/>
      <c r="AN104" s="208"/>
      <c r="AO104" s="208"/>
      <c r="AP104" s="208"/>
      <c r="AQ104" s="208"/>
      <c r="AR104" s="208"/>
      <c r="AS104" s="208"/>
      <c r="AT104" s="208"/>
      <c r="AU104" s="208"/>
      <c r="AV104" s="208"/>
      <c r="AW104" s="208"/>
      <c r="AX104" s="208"/>
      <c r="AY104" s="208"/>
      <c r="AZ104" s="208"/>
      <c r="BA104" s="208"/>
      <c r="BB104" s="208"/>
      <c r="BC104" s="208"/>
      <c r="BD104" s="208"/>
      <c r="BE104" s="208"/>
      <c r="BF104" s="208"/>
      <c r="BG104" s="208"/>
      <c r="BH104" s="208"/>
      <c r="BI104" s="323"/>
    </row>
    <row r="105" spans="3:61" ht="15" customHeight="1">
      <c r="C105" s="325"/>
      <c r="D105" s="326"/>
      <c r="E105" s="311"/>
      <c r="F105" s="311"/>
      <c r="G105" s="311"/>
      <c r="H105" s="311"/>
      <c r="I105" s="311"/>
      <c r="J105" s="317"/>
      <c r="K105" s="312"/>
      <c r="L105" s="312"/>
      <c r="M105" s="312"/>
      <c r="N105" s="312"/>
      <c r="O105" s="312"/>
      <c r="P105" s="318" t="str">
        <f t="shared" si="5"/>
        <v/>
      </c>
      <c r="Q105" s="205" t="str">
        <f t="shared" si="3"/>
        <v/>
      </c>
      <c r="R105" s="205"/>
      <c r="S105" s="319" t="str">
        <f t="shared" si="4"/>
        <v/>
      </c>
      <c r="U105" s="318"/>
      <c r="V105" s="794"/>
      <c r="W105" s="795"/>
      <c r="X105" s="482"/>
      <c r="Y105" s="482"/>
      <c r="Z105" s="482"/>
      <c r="AA105" s="319"/>
      <c r="AB105" s="220"/>
      <c r="AC105" s="318"/>
      <c r="AD105" s="319"/>
      <c r="AE105" s="220"/>
      <c r="AF105" s="320"/>
      <c r="AG105" s="205"/>
      <c r="AH105" s="205"/>
      <c r="AI105" s="205"/>
      <c r="AJ105" s="205"/>
      <c r="AK105" s="205"/>
      <c r="AL105" s="205"/>
      <c r="AM105" s="205"/>
      <c r="AN105" s="205"/>
      <c r="AO105" s="205"/>
      <c r="AP105" s="205"/>
      <c r="AQ105" s="205"/>
      <c r="AR105" s="205"/>
      <c r="AS105" s="205"/>
      <c r="AT105" s="205"/>
      <c r="AU105" s="205"/>
      <c r="AV105" s="205"/>
      <c r="AW105" s="205"/>
      <c r="AX105" s="205"/>
      <c r="AY105" s="205"/>
      <c r="AZ105" s="205"/>
      <c r="BA105" s="205"/>
      <c r="BB105" s="205"/>
      <c r="BC105" s="205"/>
      <c r="BD105" s="205"/>
      <c r="BE105" s="205"/>
      <c r="BF105" s="205"/>
      <c r="BG105" s="205"/>
      <c r="BH105" s="205"/>
      <c r="BI105" s="319"/>
    </row>
    <row r="106" spans="3:61" ht="15" customHeight="1">
      <c r="C106" s="325"/>
      <c r="D106" s="326"/>
      <c r="E106" s="311"/>
      <c r="F106" s="311"/>
      <c r="G106" s="311"/>
      <c r="H106" s="311"/>
      <c r="I106" s="311"/>
      <c r="J106" s="317"/>
      <c r="K106" s="312"/>
      <c r="L106" s="312"/>
      <c r="M106" s="312"/>
      <c r="N106" s="312"/>
      <c r="O106" s="312"/>
      <c r="P106" s="322" t="str">
        <f t="shared" si="5"/>
        <v/>
      </c>
      <c r="Q106" s="208" t="str">
        <f t="shared" si="3"/>
        <v/>
      </c>
      <c r="R106" s="208"/>
      <c r="S106" s="323" t="str">
        <f t="shared" si="4"/>
        <v/>
      </c>
      <c r="U106" s="322"/>
      <c r="V106" s="791"/>
      <c r="W106" s="792"/>
      <c r="X106" s="480"/>
      <c r="Y106" s="480"/>
      <c r="Z106" s="480"/>
      <c r="AA106" s="323"/>
      <c r="AB106" s="220"/>
      <c r="AC106" s="322"/>
      <c r="AD106" s="323"/>
      <c r="AE106" s="220"/>
      <c r="AF106" s="324"/>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08"/>
      <c r="BB106" s="208"/>
      <c r="BC106" s="208"/>
      <c r="BD106" s="208"/>
      <c r="BE106" s="208"/>
      <c r="BF106" s="208"/>
      <c r="BG106" s="208"/>
      <c r="BH106" s="208"/>
      <c r="BI106" s="323"/>
    </row>
    <row r="107" spans="3:61" ht="15" customHeight="1">
      <c r="C107" s="325"/>
      <c r="D107" s="326"/>
      <c r="E107" s="311"/>
      <c r="F107" s="311"/>
      <c r="G107" s="311"/>
      <c r="H107" s="311"/>
      <c r="I107" s="311"/>
      <c r="J107" s="317"/>
      <c r="K107" s="312"/>
      <c r="L107" s="312"/>
      <c r="M107" s="312"/>
      <c r="N107" s="312"/>
      <c r="O107" s="312"/>
      <c r="P107" s="318" t="str">
        <f t="shared" si="5"/>
        <v/>
      </c>
      <c r="Q107" s="205" t="str">
        <f t="shared" si="3"/>
        <v/>
      </c>
      <c r="R107" s="205"/>
      <c r="S107" s="319" t="str">
        <f t="shared" si="4"/>
        <v/>
      </c>
      <c r="U107" s="318"/>
      <c r="V107" s="794"/>
      <c r="W107" s="795"/>
      <c r="X107" s="482"/>
      <c r="Y107" s="482"/>
      <c r="Z107" s="482"/>
      <c r="AA107" s="319"/>
      <c r="AB107" s="220"/>
      <c r="AC107" s="318"/>
      <c r="AD107" s="319"/>
      <c r="AE107" s="220"/>
      <c r="AF107" s="320"/>
      <c r="AG107" s="205"/>
      <c r="AH107" s="205"/>
      <c r="AI107" s="205"/>
      <c r="AJ107" s="205"/>
      <c r="AK107" s="205"/>
      <c r="AL107" s="205"/>
      <c r="AM107" s="205"/>
      <c r="AN107" s="205"/>
      <c r="AO107" s="205"/>
      <c r="AP107" s="205"/>
      <c r="AQ107" s="205"/>
      <c r="AR107" s="205"/>
      <c r="AS107" s="205"/>
      <c r="AT107" s="205"/>
      <c r="AU107" s="205"/>
      <c r="AV107" s="205"/>
      <c r="AW107" s="205"/>
      <c r="AX107" s="205"/>
      <c r="AY107" s="205"/>
      <c r="AZ107" s="205"/>
      <c r="BA107" s="205"/>
      <c r="BB107" s="205"/>
      <c r="BC107" s="205"/>
      <c r="BD107" s="205"/>
      <c r="BE107" s="205"/>
      <c r="BF107" s="205"/>
      <c r="BG107" s="205"/>
      <c r="BH107" s="205"/>
      <c r="BI107" s="319"/>
    </row>
    <row r="108" spans="3:61" ht="15" customHeight="1">
      <c r="C108" s="325"/>
      <c r="D108" s="326"/>
      <c r="E108" s="311"/>
      <c r="F108" s="311"/>
      <c r="G108" s="311"/>
      <c r="H108" s="311"/>
      <c r="I108" s="311"/>
      <c r="J108" s="317"/>
      <c r="K108" s="312"/>
      <c r="L108" s="312"/>
      <c r="M108" s="312"/>
      <c r="N108" s="312"/>
      <c r="O108" s="312"/>
      <c r="P108" s="322" t="str">
        <f t="shared" si="5"/>
        <v/>
      </c>
      <c r="Q108" s="208" t="str">
        <f t="shared" si="3"/>
        <v/>
      </c>
      <c r="R108" s="208"/>
      <c r="S108" s="323" t="str">
        <f t="shared" si="4"/>
        <v/>
      </c>
      <c r="U108" s="322"/>
      <c r="V108" s="791"/>
      <c r="W108" s="792"/>
      <c r="X108" s="480"/>
      <c r="Y108" s="480"/>
      <c r="Z108" s="480"/>
      <c r="AA108" s="323"/>
      <c r="AB108" s="220"/>
      <c r="AC108" s="322"/>
      <c r="AD108" s="323"/>
      <c r="AE108" s="220"/>
      <c r="AF108" s="324"/>
      <c r="AG108" s="208"/>
      <c r="AH108" s="208"/>
      <c r="AI108" s="208"/>
      <c r="AJ108" s="208"/>
      <c r="AK108" s="208"/>
      <c r="AL108" s="208"/>
      <c r="AM108" s="208"/>
      <c r="AN108" s="208"/>
      <c r="AO108" s="208"/>
      <c r="AP108" s="208"/>
      <c r="AQ108" s="208"/>
      <c r="AR108" s="208"/>
      <c r="AS108" s="208"/>
      <c r="AT108" s="208"/>
      <c r="AU108" s="208"/>
      <c r="AV108" s="208"/>
      <c r="AW108" s="208"/>
      <c r="AX108" s="208"/>
      <c r="AY108" s="208"/>
      <c r="AZ108" s="208"/>
      <c r="BA108" s="208"/>
      <c r="BB108" s="208"/>
      <c r="BC108" s="208"/>
      <c r="BD108" s="208"/>
      <c r="BE108" s="208"/>
      <c r="BF108" s="208"/>
      <c r="BG108" s="208"/>
      <c r="BH108" s="208"/>
      <c r="BI108" s="323"/>
    </row>
    <row r="109" spans="3:61" ht="15" customHeight="1">
      <c r="C109" s="325"/>
      <c r="D109" s="326"/>
      <c r="E109" s="311"/>
      <c r="F109" s="311"/>
      <c r="G109" s="311"/>
      <c r="H109" s="311"/>
      <c r="I109" s="311"/>
      <c r="J109" s="317"/>
      <c r="K109" s="312"/>
      <c r="L109" s="312"/>
      <c r="M109" s="312"/>
      <c r="N109" s="312"/>
      <c r="O109" s="312"/>
      <c r="P109" s="318" t="str">
        <f t="shared" si="5"/>
        <v/>
      </c>
      <c r="Q109" s="205" t="str">
        <f t="shared" si="3"/>
        <v/>
      </c>
      <c r="R109" s="205"/>
      <c r="S109" s="319" t="str">
        <f t="shared" si="4"/>
        <v/>
      </c>
      <c r="U109" s="318"/>
      <c r="V109" s="794"/>
      <c r="W109" s="795"/>
      <c r="X109" s="482"/>
      <c r="Y109" s="482"/>
      <c r="Z109" s="482"/>
      <c r="AA109" s="319"/>
      <c r="AB109" s="220"/>
      <c r="AC109" s="318"/>
      <c r="AD109" s="319"/>
      <c r="AE109" s="220"/>
      <c r="AF109" s="320"/>
      <c r="AG109" s="205"/>
      <c r="AH109" s="205"/>
      <c r="AI109" s="205"/>
      <c r="AJ109" s="205"/>
      <c r="AK109" s="205"/>
      <c r="AL109" s="205"/>
      <c r="AM109" s="205"/>
      <c r="AN109" s="205"/>
      <c r="AO109" s="205"/>
      <c r="AP109" s="205"/>
      <c r="AQ109" s="205"/>
      <c r="AR109" s="205"/>
      <c r="AS109" s="205"/>
      <c r="AT109" s="205"/>
      <c r="AU109" s="205"/>
      <c r="AV109" s="205"/>
      <c r="AW109" s="205"/>
      <c r="AX109" s="205"/>
      <c r="AY109" s="205"/>
      <c r="AZ109" s="205"/>
      <c r="BA109" s="205"/>
      <c r="BB109" s="205"/>
      <c r="BC109" s="205"/>
      <c r="BD109" s="205"/>
      <c r="BE109" s="205"/>
      <c r="BF109" s="205"/>
      <c r="BG109" s="205"/>
      <c r="BH109" s="205"/>
      <c r="BI109" s="319"/>
    </row>
    <row r="110" spans="3:61" ht="15" customHeight="1">
      <c r="C110" s="325"/>
      <c r="D110" s="326"/>
      <c r="E110" s="311"/>
      <c r="F110" s="311"/>
      <c r="G110" s="311"/>
      <c r="H110" s="311"/>
      <c r="I110" s="311"/>
      <c r="J110" s="317"/>
      <c r="K110" s="312"/>
      <c r="L110" s="312"/>
      <c r="M110" s="312"/>
      <c r="N110" s="312"/>
      <c r="O110" s="312"/>
      <c r="P110" s="322" t="str">
        <f t="shared" si="5"/>
        <v/>
      </c>
      <c r="Q110" s="208" t="str">
        <f t="shared" si="3"/>
        <v/>
      </c>
      <c r="R110" s="208"/>
      <c r="S110" s="323" t="str">
        <f t="shared" si="4"/>
        <v/>
      </c>
      <c r="U110" s="322"/>
      <c r="V110" s="791"/>
      <c r="W110" s="792"/>
      <c r="X110" s="480"/>
      <c r="Y110" s="480"/>
      <c r="Z110" s="480"/>
      <c r="AA110" s="323"/>
      <c r="AB110" s="220"/>
      <c r="AC110" s="322"/>
      <c r="AD110" s="323"/>
      <c r="AE110" s="220"/>
      <c r="AF110" s="324"/>
      <c r="AG110" s="208"/>
      <c r="AH110" s="208"/>
      <c r="AI110" s="208"/>
      <c r="AJ110" s="208"/>
      <c r="AK110" s="208"/>
      <c r="AL110" s="208"/>
      <c r="AM110" s="208"/>
      <c r="AN110" s="208"/>
      <c r="AO110" s="208"/>
      <c r="AP110" s="208"/>
      <c r="AQ110" s="208"/>
      <c r="AR110" s="208"/>
      <c r="AS110" s="208"/>
      <c r="AT110" s="208"/>
      <c r="AU110" s="208"/>
      <c r="AV110" s="208"/>
      <c r="AW110" s="208"/>
      <c r="AX110" s="208"/>
      <c r="AY110" s="208"/>
      <c r="AZ110" s="208"/>
      <c r="BA110" s="208"/>
      <c r="BB110" s="208"/>
      <c r="BC110" s="208"/>
      <c r="BD110" s="208"/>
      <c r="BE110" s="208"/>
      <c r="BF110" s="208"/>
      <c r="BG110" s="208"/>
      <c r="BH110" s="208"/>
      <c r="BI110" s="323"/>
    </row>
    <row r="111" spans="3:61" ht="15" customHeight="1">
      <c r="C111" s="325"/>
      <c r="D111" s="326"/>
      <c r="E111" s="311"/>
      <c r="F111" s="311"/>
      <c r="G111" s="311"/>
      <c r="H111" s="311"/>
      <c r="I111" s="311"/>
      <c r="J111" s="317"/>
      <c r="K111" s="312"/>
      <c r="L111" s="312"/>
      <c r="M111" s="312"/>
      <c r="N111" s="312"/>
      <c r="O111" s="312"/>
      <c r="P111" s="318" t="str">
        <f t="shared" si="5"/>
        <v/>
      </c>
      <c r="Q111" s="205" t="str">
        <f t="shared" si="3"/>
        <v/>
      </c>
      <c r="R111" s="205"/>
      <c r="S111" s="319" t="str">
        <f t="shared" si="4"/>
        <v/>
      </c>
      <c r="U111" s="318"/>
      <c r="V111" s="794"/>
      <c r="W111" s="795"/>
      <c r="X111" s="482"/>
      <c r="Y111" s="482"/>
      <c r="Z111" s="482"/>
      <c r="AA111" s="319"/>
      <c r="AB111" s="220"/>
      <c r="AC111" s="318"/>
      <c r="AD111" s="319"/>
      <c r="AE111" s="220"/>
      <c r="AF111" s="320"/>
      <c r="AG111" s="205"/>
      <c r="AH111" s="205"/>
      <c r="AI111" s="205"/>
      <c r="AJ111" s="205"/>
      <c r="AK111" s="205"/>
      <c r="AL111" s="205"/>
      <c r="AM111" s="205"/>
      <c r="AN111" s="205"/>
      <c r="AO111" s="205"/>
      <c r="AP111" s="205"/>
      <c r="AQ111" s="205"/>
      <c r="AR111" s="205"/>
      <c r="AS111" s="205"/>
      <c r="AT111" s="205"/>
      <c r="AU111" s="205"/>
      <c r="AV111" s="205"/>
      <c r="AW111" s="205"/>
      <c r="AX111" s="205"/>
      <c r="AY111" s="205"/>
      <c r="AZ111" s="205"/>
      <c r="BA111" s="205"/>
      <c r="BB111" s="205"/>
      <c r="BC111" s="205"/>
      <c r="BD111" s="205"/>
      <c r="BE111" s="205"/>
      <c r="BF111" s="205"/>
      <c r="BG111" s="205"/>
      <c r="BH111" s="205"/>
      <c r="BI111" s="319"/>
    </row>
    <row r="112" spans="3:61" ht="15" customHeight="1">
      <c r="C112" s="325"/>
      <c r="D112" s="326"/>
      <c r="E112" s="311"/>
      <c r="F112" s="311"/>
      <c r="G112" s="311"/>
      <c r="H112" s="311"/>
      <c r="I112" s="311"/>
      <c r="J112" s="317"/>
      <c r="K112" s="312"/>
      <c r="L112" s="312"/>
      <c r="M112" s="312"/>
      <c r="N112" s="312"/>
      <c r="O112" s="312"/>
      <c r="P112" s="322" t="str">
        <f t="shared" si="5"/>
        <v/>
      </c>
      <c r="Q112" s="208" t="str">
        <f t="shared" si="3"/>
        <v/>
      </c>
      <c r="R112" s="208"/>
      <c r="S112" s="323" t="str">
        <f t="shared" si="4"/>
        <v/>
      </c>
      <c r="U112" s="322"/>
      <c r="V112" s="791"/>
      <c r="W112" s="792"/>
      <c r="X112" s="480"/>
      <c r="Y112" s="480"/>
      <c r="Z112" s="480"/>
      <c r="AA112" s="323"/>
      <c r="AB112" s="220"/>
      <c r="AC112" s="322"/>
      <c r="AD112" s="323"/>
      <c r="AE112" s="220"/>
      <c r="AF112" s="324"/>
      <c r="AG112" s="208"/>
      <c r="AH112" s="208"/>
      <c r="AI112" s="208"/>
      <c r="AJ112" s="208"/>
      <c r="AK112" s="208"/>
      <c r="AL112" s="208"/>
      <c r="AM112" s="208"/>
      <c r="AN112" s="208"/>
      <c r="AO112" s="208"/>
      <c r="AP112" s="208"/>
      <c r="AQ112" s="208"/>
      <c r="AR112" s="208"/>
      <c r="AS112" s="208"/>
      <c r="AT112" s="208"/>
      <c r="AU112" s="208"/>
      <c r="AV112" s="208"/>
      <c r="AW112" s="208"/>
      <c r="AX112" s="208"/>
      <c r="AY112" s="208"/>
      <c r="AZ112" s="208"/>
      <c r="BA112" s="208"/>
      <c r="BB112" s="208"/>
      <c r="BC112" s="208"/>
      <c r="BD112" s="208"/>
      <c r="BE112" s="208"/>
      <c r="BF112" s="208"/>
      <c r="BG112" s="208"/>
      <c r="BH112" s="208"/>
      <c r="BI112" s="323"/>
    </row>
    <row r="113" spans="3:61" ht="15" customHeight="1">
      <c r="C113" s="325"/>
      <c r="D113" s="326"/>
      <c r="E113" s="311"/>
      <c r="F113" s="311"/>
      <c r="G113" s="311"/>
      <c r="H113" s="311"/>
      <c r="I113" s="311"/>
      <c r="J113" s="317"/>
      <c r="K113" s="312"/>
      <c r="L113" s="312"/>
      <c r="M113" s="312"/>
      <c r="N113" s="312"/>
      <c r="O113" s="312"/>
      <c r="P113" s="318" t="str">
        <f t="shared" si="5"/>
        <v/>
      </c>
      <c r="Q113" s="205" t="str">
        <f t="shared" si="3"/>
        <v/>
      </c>
      <c r="R113" s="205"/>
      <c r="S113" s="319" t="str">
        <f t="shared" si="4"/>
        <v/>
      </c>
      <c r="U113" s="318"/>
      <c r="V113" s="794"/>
      <c r="W113" s="795"/>
      <c r="X113" s="482"/>
      <c r="Y113" s="482"/>
      <c r="Z113" s="482"/>
      <c r="AA113" s="319"/>
      <c r="AB113" s="220"/>
      <c r="AC113" s="318"/>
      <c r="AD113" s="319"/>
      <c r="AE113" s="220"/>
      <c r="AF113" s="320"/>
      <c r="AG113" s="205"/>
      <c r="AH113" s="205"/>
      <c r="AI113" s="205"/>
      <c r="AJ113" s="205"/>
      <c r="AK113" s="205"/>
      <c r="AL113" s="205"/>
      <c r="AM113" s="205"/>
      <c r="AN113" s="205"/>
      <c r="AO113" s="205"/>
      <c r="AP113" s="205"/>
      <c r="AQ113" s="205"/>
      <c r="AR113" s="205"/>
      <c r="AS113" s="205"/>
      <c r="AT113" s="205"/>
      <c r="AU113" s="205"/>
      <c r="AV113" s="205"/>
      <c r="AW113" s="205"/>
      <c r="AX113" s="205"/>
      <c r="AY113" s="205"/>
      <c r="AZ113" s="205"/>
      <c r="BA113" s="205"/>
      <c r="BB113" s="205"/>
      <c r="BC113" s="205"/>
      <c r="BD113" s="205"/>
      <c r="BE113" s="205"/>
      <c r="BF113" s="205"/>
      <c r="BG113" s="205"/>
      <c r="BH113" s="205"/>
      <c r="BI113" s="319"/>
    </row>
    <row r="114" spans="3:61" ht="15" customHeight="1">
      <c r="C114" s="325"/>
      <c r="D114" s="326"/>
      <c r="E114" s="311"/>
      <c r="F114" s="311"/>
      <c r="G114" s="311"/>
      <c r="H114" s="311"/>
      <c r="I114" s="311"/>
      <c r="J114" s="317"/>
      <c r="K114" s="312"/>
      <c r="L114" s="312"/>
      <c r="M114" s="312"/>
      <c r="N114" s="312"/>
      <c r="O114" s="312"/>
      <c r="P114" s="322" t="str">
        <f t="shared" si="5"/>
        <v/>
      </c>
      <c r="Q114" s="208" t="str">
        <f t="shared" si="3"/>
        <v/>
      </c>
      <c r="R114" s="208"/>
      <c r="S114" s="323" t="str">
        <f t="shared" si="4"/>
        <v/>
      </c>
      <c r="U114" s="322"/>
      <c r="V114" s="791"/>
      <c r="W114" s="792"/>
      <c r="X114" s="480"/>
      <c r="Y114" s="480"/>
      <c r="Z114" s="480"/>
      <c r="AA114" s="323"/>
      <c r="AB114" s="220"/>
      <c r="AC114" s="322"/>
      <c r="AD114" s="323"/>
      <c r="AE114" s="220"/>
      <c r="AF114" s="324"/>
      <c r="AG114" s="208"/>
      <c r="AH114" s="208"/>
      <c r="AI114" s="208"/>
      <c r="AJ114" s="208"/>
      <c r="AK114" s="208"/>
      <c r="AL114" s="208"/>
      <c r="AM114" s="208"/>
      <c r="AN114" s="208"/>
      <c r="AO114" s="208"/>
      <c r="AP114" s="208"/>
      <c r="AQ114" s="208"/>
      <c r="AR114" s="208"/>
      <c r="AS114" s="208"/>
      <c r="AT114" s="208"/>
      <c r="AU114" s="208"/>
      <c r="AV114" s="208"/>
      <c r="AW114" s="208"/>
      <c r="AX114" s="208"/>
      <c r="AY114" s="208"/>
      <c r="AZ114" s="208"/>
      <c r="BA114" s="208"/>
      <c r="BB114" s="208"/>
      <c r="BC114" s="208"/>
      <c r="BD114" s="208"/>
      <c r="BE114" s="208"/>
      <c r="BF114" s="208"/>
      <c r="BG114" s="208"/>
      <c r="BH114" s="208"/>
      <c r="BI114" s="323"/>
    </row>
    <row r="115" spans="3:61" ht="15" customHeight="1">
      <c r="C115" s="325"/>
      <c r="D115" s="326"/>
      <c r="E115" s="311"/>
      <c r="F115" s="311"/>
      <c r="G115" s="311"/>
      <c r="H115" s="311"/>
      <c r="I115" s="311"/>
      <c r="J115" s="317"/>
      <c r="K115" s="312"/>
      <c r="L115" s="312"/>
      <c r="M115" s="312"/>
      <c r="N115" s="312"/>
      <c r="O115" s="312"/>
      <c r="P115" s="318" t="str">
        <f t="shared" si="5"/>
        <v/>
      </c>
      <c r="Q115" s="205" t="str">
        <f t="shared" si="3"/>
        <v/>
      </c>
      <c r="R115" s="205"/>
      <c r="S115" s="319" t="str">
        <f t="shared" si="4"/>
        <v/>
      </c>
      <c r="U115" s="318"/>
      <c r="V115" s="794"/>
      <c r="W115" s="795"/>
      <c r="X115" s="482"/>
      <c r="Y115" s="482"/>
      <c r="Z115" s="482"/>
      <c r="AA115" s="319"/>
      <c r="AB115" s="220"/>
      <c r="AC115" s="318"/>
      <c r="AD115" s="319"/>
      <c r="AE115" s="220"/>
      <c r="AF115" s="320"/>
      <c r="AG115" s="205"/>
      <c r="AH115" s="205"/>
      <c r="AI115" s="205"/>
      <c r="AJ115" s="205"/>
      <c r="AK115" s="205"/>
      <c r="AL115" s="205"/>
      <c r="AM115" s="205"/>
      <c r="AN115" s="205"/>
      <c r="AO115" s="205"/>
      <c r="AP115" s="205"/>
      <c r="AQ115" s="205"/>
      <c r="AR115" s="205"/>
      <c r="AS115" s="205"/>
      <c r="AT115" s="205"/>
      <c r="AU115" s="205"/>
      <c r="AV115" s="205"/>
      <c r="AW115" s="205"/>
      <c r="AX115" s="205"/>
      <c r="AY115" s="205"/>
      <c r="AZ115" s="205"/>
      <c r="BA115" s="205"/>
      <c r="BB115" s="205"/>
      <c r="BC115" s="205"/>
      <c r="BD115" s="205"/>
      <c r="BE115" s="205"/>
      <c r="BF115" s="205"/>
      <c r="BG115" s="205"/>
      <c r="BH115" s="205"/>
      <c r="BI115" s="319"/>
    </row>
    <row r="116" spans="3:61" ht="15" customHeight="1">
      <c r="C116" s="325"/>
      <c r="D116" s="326"/>
      <c r="E116" s="311"/>
      <c r="F116" s="311"/>
      <c r="G116" s="311"/>
      <c r="H116" s="311"/>
      <c r="I116" s="311"/>
      <c r="J116" s="317"/>
      <c r="K116" s="312"/>
      <c r="L116" s="312"/>
      <c r="M116" s="312"/>
      <c r="N116" s="312"/>
      <c r="O116" s="312"/>
      <c r="P116" s="322" t="str">
        <f t="shared" si="5"/>
        <v/>
      </c>
      <c r="Q116" s="208" t="str">
        <f t="shared" si="3"/>
        <v/>
      </c>
      <c r="R116" s="208"/>
      <c r="S116" s="323" t="str">
        <f t="shared" si="4"/>
        <v/>
      </c>
      <c r="U116" s="322"/>
      <c r="V116" s="791"/>
      <c r="W116" s="792"/>
      <c r="X116" s="480"/>
      <c r="Y116" s="480"/>
      <c r="Z116" s="480"/>
      <c r="AA116" s="323"/>
      <c r="AB116" s="220"/>
      <c r="AC116" s="322"/>
      <c r="AD116" s="323"/>
      <c r="AE116" s="220"/>
      <c r="AF116" s="324"/>
      <c r="AG116" s="208"/>
      <c r="AH116" s="208"/>
      <c r="AI116" s="208"/>
      <c r="AJ116" s="208"/>
      <c r="AK116" s="208"/>
      <c r="AL116" s="208"/>
      <c r="AM116" s="208"/>
      <c r="AN116" s="208"/>
      <c r="AO116" s="208"/>
      <c r="AP116" s="208"/>
      <c r="AQ116" s="208"/>
      <c r="AR116" s="208"/>
      <c r="AS116" s="208"/>
      <c r="AT116" s="208"/>
      <c r="AU116" s="208"/>
      <c r="AV116" s="208"/>
      <c r="AW116" s="208"/>
      <c r="AX116" s="208"/>
      <c r="AY116" s="208"/>
      <c r="AZ116" s="208"/>
      <c r="BA116" s="208"/>
      <c r="BB116" s="208"/>
      <c r="BC116" s="208"/>
      <c r="BD116" s="208"/>
      <c r="BE116" s="208"/>
      <c r="BF116" s="208"/>
      <c r="BG116" s="208"/>
      <c r="BH116" s="208"/>
      <c r="BI116" s="323"/>
    </row>
    <row r="117" spans="3:61" ht="15" customHeight="1">
      <c r="C117" s="325"/>
      <c r="D117" s="326"/>
      <c r="E117" s="311"/>
      <c r="F117" s="311"/>
      <c r="G117" s="311"/>
      <c r="H117" s="311"/>
      <c r="I117" s="311"/>
      <c r="J117" s="317"/>
      <c r="K117" s="312"/>
      <c r="L117" s="312"/>
      <c r="M117" s="312"/>
      <c r="N117" s="312"/>
      <c r="O117" s="312"/>
      <c r="P117" s="318" t="str">
        <f t="shared" si="5"/>
        <v/>
      </c>
      <c r="Q117" s="205" t="str">
        <f t="shared" si="3"/>
        <v/>
      </c>
      <c r="R117" s="205"/>
      <c r="S117" s="319" t="str">
        <f t="shared" si="4"/>
        <v/>
      </c>
      <c r="U117" s="318"/>
      <c r="V117" s="794"/>
      <c r="W117" s="795"/>
      <c r="X117" s="482"/>
      <c r="Y117" s="482"/>
      <c r="Z117" s="482"/>
      <c r="AA117" s="319"/>
      <c r="AB117" s="220"/>
      <c r="AC117" s="318"/>
      <c r="AD117" s="319"/>
      <c r="AE117" s="220"/>
      <c r="AF117" s="320"/>
      <c r="AG117" s="205"/>
      <c r="AH117" s="205"/>
      <c r="AI117" s="205"/>
      <c r="AJ117" s="205"/>
      <c r="AK117" s="205"/>
      <c r="AL117" s="205"/>
      <c r="AM117" s="205"/>
      <c r="AN117" s="205"/>
      <c r="AO117" s="205"/>
      <c r="AP117" s="205"/>
      <c r="AQ117" s="205"/>
      <c r="AR117" s="205"/>
      <c r="AS117" s="205"/>
      <c r="AT117" s="205"/>
      <c r="AU117" s="205"/>
      <c r="AV117" s="205"/>
      <c r="AW117" s="205"/>
      <c r="AX117" s="205"/>
      <c r="AY117" s="205"/>
      <c r="AZ117" s="205"/>
      <c r="BA117" s="205"/>
      <c r="BB117" s="205"/>
      <c r="BC117" s="205"/>
      <c r="BD117" s="205"/>
      <c r="BE117" s="205"/>
      <c r="BF117" s="205"/>
      <c r="BG117" s="205"/>
      <c r="BH117" s="205"/>
      <c r="BI117" s="319"/>
    </row>
    <row r="118" spans="3:61" ht="15" customHeight="1">
      <c r="C118" s="325"/>
      <c r="D118" s="326"/>
      <c r="E118" s="311"/>
      <c r="F118" s="311"/>
      <c r="G118" s="311"/>
      <c r="H118" s="311"/>
      <c r="I118" s="311"/>
      <c r="J118" s="317"/>
      <c r="K118" s="312"/>
      <c r="L118" s="312"/>
      <c r="M118" s="312"/>
      <c r="N118" s="312"/>
      <c r="O118" s="312"/>
      <c r="P118" s="322" t="str">
        <f t="shared" si="5"/>
        <v/>
      </c>
      <c r="Q118" s="208" t="str">
        <f t="shared" si="3"/>
        <v/>
      </c>
      <c r="R118" s="208"/>
      <c r="S118" s="323" t="str">
        <f t="shared" si="4"/>
        <v/>
      </c>
      <c r="U118" s="322"/>
      <c r="V118" s="791"/>
      <c r="W118" s="792"/>
      <c r="X118" s="480"/>
      <c r="Y118" s="480"/>
      <c r="Z118" s="480"/>
      <c r="AA118" s="323"/>
      <c r="AB118" s="220"/>
      <c r="AC118" s="322"/>
      <c r="AD118" s="323"/>
      <c r="AE118" s="220"/>
      <c r="AF118" s="324"/>
      <c r="AG118" s="208"/>
      <c r="AH118" s="208"/>
      <c r="AI118" s="208"/>
      <c r="AJ118" s="208"/>
      <c r="AK118" s="208"/>
      <c r="AL118" s="208"/>
      <c r="AM118" s="208"/>
      <c r="AN118" s="208"/>
      <c r="AO118" s="208"/>
      <c r="AP118" s="208"/>
      <c r="AQ118" s="208"/>
      <c r="AR118" s="208"/>
      <c r="AS118" s="208"/>
      <c r="AT118" s="208"/>
      <c r="AU118" s="208"/>
      <c r="AV118" s="208"/>
      <c r="AW118" s="208"/>
      <c r="AX118" s="208"/>
      <c r="AY118" s="208"/>
      <c r="AZ118" s="208"/>
      <c r="BA118" s="208"/>
      <c r="BB118" s="208"/>
      <c r="BC118" s="208"/>
      <c r="BD118" s="208"/>
      <c r="BE118" s="208"/>
      <c r="BF118" s="208"/>
      <c r="BG118" s="208"/>
      <c r="BH118" s="208"/>
      <c r="BI118" s="323"/>
    </row>
    <row r="119" spans="3:61" ht="15" customHeight="1">
      <c r="C119" s="325"/>
      <c r="D119" s="326"/>
      <c r="E119" s="311"/>
      <c r="F119" s="311"/>
      <c r="G119" s="311"/>
      <c r="H119" s="311"/>
      <c r="I119" s="311"/>
      <c r="J119" s="317"/>
      <c r="K119" s="312"/>
      <c r="L119" s="312"/>
      <c r="M119" s="312"/>
      <c r="N119" s="312"/>
      <c r="O119" s="312"/>
      <c r="P119" s="318" t="str">
        <f t="shared" si="5"/>
        <v/>
      </c>
      <c r="Q119" s="205" t="str">
        <f t="shared" si="3"/>
        <v/>
      </c>
      <c r="R119" s="205"/>
      <c r="S119" s="319" t="str">
        <f t="shared" si="4"/>
        <v/>
      </c>
      <c r="U119" s="318"/>
      <c r="V119" s="794"/>
      <c r="W119" s="795"/>
      <c r="X119" s="482"/>
      <c r="Y119" s="482"/>
      <c r="Z119" s="482"/>
      <c r="AA119" s="319"/>
      <c r="AB119" s="220"/>
      <c r="AC119" s="318"/>
      <c r="AD119" s="319"/>
      <c r="AE119" s="220"/>
      <c r="AF119" s="320"/>
      <c r="AG119" s="205"/>
      <c r="AH119" s="205"/>
      <c r="AI119" s="205"/>
      <c r="AJ119" s="205"/>
      <c r="AK119" s="205"/>
      <c r="AL119" s="205"/>
      <c r="AM119" s="205"/>
      <c r="AN119" s="205"/>
      <c r="AO119" s="205"/>
      <c r="AP119" s="205"/>
      <c r="AQ119" s="205"/>
      <c r="AR119" s="205"/>
      <c r="AS119" s="205"/>
      <c r="AT119" s="205"/>
      <c r="AU119" s="205"/>
      <c r="AV119" s="205"/>
      <c r="AW119" s="205"/>
      <c r="AX119" s="205"/>
      <c r="AY119" s="205"/>
      <c r="AZ119" s="205"/>
      <c r="BA119" s="205"/>
      <c r="BB119" s="205"/>
      <c r="BC119" s="205"/>
      <c r="BD119" s="205"/>
      <c r="BE119" s="205"/>
      <c r="BF119" s="205"/>
      <c r="BG119" s="205"/>
      <c r="BH119" s="205"/>
      <c r="BI119" s="319"/>
    </row>
    <row r="120" spans="3:61" ht="15" customHeight="1">
      <c r="C120" s="325"/>
      <c r="D120" s="326"/>
      <c r="E120" s="311"/>
      <c r="F120" s="311"/>
      <c r="G120" s="311"/>
      <c r="H120" s="311"/>
      <c r="I120" s="311"/>
      <c r="J120" s="317"/>
      <c r="K120" s="312"/>
      <c r="L120" s="312"/>
      <c r="M120" s="312"/>
      <c r="N120" s="312"/>
      <c r="O120" s="312"/>
      <c r="P120" s="322" t="str">
        <f t="shared" si="5"/>
        <v/>
      </c>
      <c r="Q120" s="208" t="str">
        <f t="shared" si="3"/>
        <v/>
      </c>
      <c r="R120" s="208"/>
      <c r="S120" s="323" t="str">
        <f t="shared" si="4"/>
        <v/>
      </c>
      <c r="U120" s="322"/>
      <c r="V120" s="791"/>
      <c r="W120" s="792"/>
      <c r="X120" s="480"/>
      <c r="Y120" s="480"/>
      <c r="Z120" s="480"/>
      <c r="AA120" s="323"/>
      <c r="AB120" s="220"/>
      <c r="AC120" s="322"/>
      <c r="AD120" s="323"/>
      <c r="AE120" s="220"/>
      <c r="AF120" s="324"/>
      <c r="AG120" s="208"/>
      <c r="AH120" s="208"/>
      <c r="AI120" s="208"/>
      <c r="AJ120" s="208"/>
      <c r="AK120" s="208"/>
      <c r="AL120" s="208"/>
      <c r="AM120" s="208"/>
      <c r="AN120" s="208"/>
      <c r="AO120" s="208"/>
      <c r="AP120" s="208"/>
      <c r="AQ120" s="208"/>
      <c r="AR120" s="208"/>
      <c r="AS120" s="208"/>
      <c r="AT120" s="208"/>
      <c r="AU120" s="208"/>
      <c r="AV120" s="208"/>
      <c r="AW120" s="208"/>
      <c r="AX120" s="208"/>
      <c r="AY120" s="208"/>
      <c r="AZ120" s="208"/>
      <c r="BA120" s="208"/>
      <c r="BB120" s="208"/>
      <c r="BC120" s="208"/>
      <c r="BD120" s="208"/>
      <c r="BE120" s="208"/>
      <c r="BF120" s="208"/>
      <c r="BG120" s="208"/>
      <c r="BH120" s="208"/>
      <c r="BI120" s="323"/>
    </row>
    <row r="121" spans="3:61" ht="15" customHeight="1">
      <c r="C121" s="325"/>
      <c r="D121" s="326"/>
      <c r="E121" s="311"/>
      <c r="F121" s="311"/>
      <c r="G121" s="311"/>
      <c r="H121" s="311"/>
      <c r="I121" s="311"/>
      <c r="J121" s="317"/>
      <c r="K121" s="312"/>
      <c r="L121" s="312"/>
      <c r="M121" s="312"/>
      <c r="N121" s="312"/>
      <c r="O121" s="312"/>
      <c r="P121" s="318" t="str">
        <f t="shared" si="5"/>
        <v/>
      </c>
      <c r="Q121" s="205" t="str">
        <f t="shared" si="3"/>
        <v/>
      </c>
      <c r="R121" s="205"/>
      <c r="S121" s="319" t="str">
        <f t="shared" si="4"/>
        <v/>
      </c>
      <c r="U121" s="318"/>
      <c r="V121" s="794"/>
      <c r="W121" s="795"/>
      <c r="X121" s="482"/>
      <c r="Y121" s="482"/>
      <c r="Z121" s="482"/>
      <c r="AA121" s="319"/>
      <c r="AB121" s="220"/>
      <c r="AC121" s="318"/>
      <c r="AD121" s="319"/>
      <c r="AE121" s="220"/>
      <c r="AF121" s="320"/>
      <c r="AG121" s="205"/>
      <c r="AH121" s="205"/>
      <c r="AI121" s="205"/>
      <c r="AJ121" s="205"/>
      <c r="AK121" s="205"/>
      <c r="AL121" s="205"/>
      <c r="AM121" s="205"/>
      <c r="AN121" s="205"/>
      <c r="AO121" s="205"/>
      <c r="AP121" s="205"/>
      <c r="AQ121" s="205"/>
      <c r="AR121" s="205"/>
      <c r="AS121" s="205"/>
      <c r="AT121" s="205"/>
      <c r="AU121" s="205"/>
      <c r="AV121" s="205"/>
      <c r="AW121" s="205"/>
      <c r="AX121" s="205"/>
      <c r="AY121" s="205"/>
      <c r="AZ121" s="205"/>
      <c r="BA121" s="205"/>
      <c r="BB121" s="205"/>
      <c r="BC121" s="205"/>
      <c r="BD121" s="205"/>
      <c r="BE121" s="205"/>
      <c r="BF121" s="205"/>
      <c r="BG121" s="205"/>
      <c r="BH121" s="205"/>
      <c r="BI121" s="319"/>
    </row>
    <row r="122" spans="3:61" ht="15" customHeight="1">
      <c r="C122" s="325"/>
      <c r="D122" s="326"/>
      <c r="E122" s="311"/>
      <c r="F122" s="311"/>
      <c r="G122" s="311"/>
      <c r="H122" s="311"/>
      <c r="I122" s="311"/>
      <c r="J122" s="317"/>
      <c r="K122" s="312"/>
      <c r="L122" s="312"/>
      <c r="M122" s="312"/>
      <c r="N122" s="312"/>
      <c r="O122" s="312"/>
      <c r="P122" s="322" t="str">
        <f t="shared" si="5"/>
        <v/>
      </c>
      <c r="Q122" s="208" t="str">
        <f t="shared" si="3"/>
        <v/>
      </c>
      <c r="R122" s="208"/>
      <c r="S122" s="323" t="str">
        <f t="shared" si="4"/>
        <v/>
      </c>
      <c r="U122" s="322"/>
      <c r="V122" s="791"/>
      <c r="W122" s="792"/>
      <c r="X122" s="480"/>
      <c r="Y122" s="480"/>
      <c r="Z122" s="480"/>
      <c r="AA122" s="323"/>
      <c r="AB122" s="220"/>
      <c r="AC122" s="322"/>
      <c r="AD122" s="323"/>
      <c r="AE122" s="220"/>
      <c r="AF122" s="324"/>
      <c r="AG122" s="208"/>
      <c r="AH122" s="208"/>
      <c r="AI122" s="208"/>
      <c r="AJ122" s="208"/>
      <c r="AK122" s="208"/>
      <c r="AL122" s="208"/>
      <c r="AM122" s="208"/>
      <c r="AN122" s="208"/>
      <c r="AO122" s="208"/>
      <c r="AP122" s="208"/>
      <c r="AQ122" s="208"/>
      <c r="AR122" s="208"/>
      <c r="AS122" s="208"/>
      <c r="AT122" s="208"/>
      <c r="AU122" s="208"/>
      <c r="AV122" s="208"/>
      <c r="AW122" s="208"/>
      <c r="AX122" s="208"/>
      <c r="AY122" s="208"/>
      <c r="AZ122" s="208"/>
      <c r="BA122" s="208"/>
      <c r="BB122" s="208"/>
      <c r="BC122" s="208"/>
      <c r="BD122" s="208"/>
      <c r="BE122" s="208"/>
      <c r="BF122" s="208"/>
      <c r="BG122" s="208"/>
      <c r="BH122" s="208"/>
      <c r="BI122" s="323"/>
    </row>
    <row r="123" spans="3:61" ht="15" customHeight="1">
      <c r="C123" s="325"/>
      <c r="D123" s="326"/>
      <c r="E123" s="311"/>
      <c r="F123" s="311"/>
      <c r="G123" s="311"/>
      <c r="H123" s="311"/>
      <c r="I123" s="311"/>
      <c r="J123" s="317"/>
      <c r="K123" s="312"/>
      <c r="L123" s="312"/>
      <c r="M123" s="312"/>
      <c r="N123" s="312"/>
      <c r="O123" s="312"/>
      <c r="P123" s="318" t="str">
        <f t="shared" si="5"/>
        <v/>
      </c>
      <c r="Q123" s="205" t="str">
        <f t="shared" si="3"/>
        <v/>
      </c>
      <c r="R123" s="205"/>
      <c r="S123" s="319" t="str">
        <f t="shared" si="4"/>
        <v/>
      </c>
      <c r="U123" s="318"/>
      <c r="V123" s="794"/>
      <c r="W123" s="795"/>
      <c r="X123" s="482"/>
      <c r="Y123" s="482"/>
      <c r="Z123" s="482"/>
      <c r="AA123" s="319"/>
      <c r="AB123" s="220"/>
      <c r="AC123" s="318"/>
      <c r="AD123" s="319"/>
      <c r="AE123" s="220"/>
      <c r="AF123" s="320"/>
      <c r="AG123" s="205"/>
      <c r="AH123" s="205"/>
      <c r="AI123" s="205"/>
      <c r="AJ123" s="205"/>
      <c r="AK123" s="205"/>
      <c r="AL123" s="205"/>
      <c r="AM123" s="205"/>
      <c r="AN123" s="205"/>
      <c r="AO123" s="205"/>
      <c r="AP123" s="205"/>
      <c r="AQ123" s="205"/>
      <c r="AR123" s="205"/>
      <c r="AS123" s="205"/>
      <c r="AT123" s="205"/>
      <c r="AU123" s="205"/>
      <c r="AV123" s="205"/>
      <c r="AW123" s="205"/>
      <c r="AX123" s="205"/>
      <c r="AY123" s="205"/>
      <c r="AZ123" s="205"/>
      <c r="BA123" s="205"/>
      <c r="BB123" s="205"/>
      <c r="BC123" s="205"/>
      <c r="BD123" s="205"/>
      <c r="BE123" s="205"/>
      <c r="BF123" s="205"/>
      <c r="BG123" s="205"/>
      <c r="BH123" s="205"/>
      <c r="BI123" s="319"/>
    </row>
    <row r="124" spans="3:61" ht="15" customHeight="1">
      <c r="C124" s="325"/>
      <c r="D124" s="326"/>
      <c r="E124" s="311"/>
      <c r="F124" s="311"/>
      <c r="G124" s="311"/>
      <c r="H124" s="311"/>
      <c r="I124" s="311"/>
      <c r="J124" s="317"/>
      <c r="K124" s="312"/>
      <c r="L124" s="312"/>
      <c r="M124" s="312"/>
      <c r="N124" s="312"/>
      <c r="O124" s="312"/>
      <c r="P124" s="322" t="str">
        <f t="shared" si="5"/>
        <v/>
      </c>
      <c r="Q124" s="208" t="str">
        <f t="shared" si="3"/>
        <v/>
      </c>
      <c r="R124" s="208"/>
      <c r="S124" s="323" t="str">
        <f t="shared" si="4"/>
        <v/>
      </c>
      <c r="U124" s="322"/>
      <c r="V124" s="791"/>
      <c r="W124" s="792"/>
      <c r="X124" s="480"/>
      <c r="Y124" s="480"/>
      <c r="Z124" s="480"/>
      <c r="AA124" s="323"/>
      <c r="AB124" s="220"/>
      <c r="AC124" s="322"/>
      <c r="AD124" s="323"/>
      <c r="AE124" s="220"/>
      <c r="AF124" s="324"/>
      <c r="AG124" s="208"/>
      <c r="AH124" s="208"/>
      <c r="AI124" s="208"/>
      <c r="AJ124" s="208"/>
      <c r="AK124" s="208"/>
      <c r="AL124" s="208"/>
      <c r="AM124" s="208"/>
      <c r="AN124" s="208"/>
      <c r="AO124" s="208"/>
      <c r="AP124" s="208"/>
      <c r="AQ124" s="208"/>
      <c r="AR124" s="208"/>
      <c r="AS124" s="208"/>
      <c r="AT124" s="208"/>
      <c r="AU124" s="208"/>
      <c r="AV124" s="208"/>
      <c r="AW124" s="208"/>
      <c r="AX124" s="208"/>
      <c r="AY124" s="208"/>
      <c r="AZ124" s="208"/>
      <c r="BA124" s="208"/>
      <c r="BB124" s="208"/>
      <c r="BC124" s="208"/>
      <c r="BD124" s="208"/>
      <c r="BE124" s="208"/>
      <c r="BF124" s="208"/>
      <c r="BG124" s="208"/>
      <c r="BH124" s="208"/>
      <c r="BI124" s="323"/>
    </row>
    <row r="125" spans="3:61" ht="15" customHeight="1">
      <c r="C125" s="325"/>
      <c r="D125" s="326"/>
      <c r="E125" s="311"/>
      <c r="F125" s="311"/>
      <c r="G125" s="311"/>
      <c r="H125" s="311"/>
      <c r="I125" s="311"/>
      <c r="J125" s="317"/>
      <c r="K125" s="312"/>
      <c r="L125" s="312"/>
      <c r="M125" s="312"/>
      <c r="N125" s="312"/>
      <c r="O125" s="312"/>
      <c r="P125" s="318" t="str">
        <f t="shared" si="5"/>
        <v/>
      </c>
      <c r="Q125" s="205" t="str">
        <f t="shared" si="3"/>
        <v/>
      </c>
      <c r="R125" s="205"/>
      <c r="S125" s="319" t="str">
        <f t="shared" si="4"/>
        <v/>
      </c>
      <c r="U125" s="318"/>
      <c r="V125" s="794"/>
      <c r="W125" s="795"/>
      <c r="X125" s="482"/>
      <c r="Y125" s="482"/>
      <c r="Z125" s="482"/>
      <c r="AA125" s="319"/>
      <c r="AB125" s="220"/>
      <c r="AC125" s="318"/>
      <c r="AD125" s="319"/>
      <c r="AE125" s="220"/>
      <c r="AF125" s="320"/>
      <c r="AG125" s="205"/>
      <c r="AH125" s="205"/>
      <c r="AI125" s="205"/>
      <c r="AJ125" s="205"/>
      <c r="AK125" s="205"/>
      <c r="AL125" s="205"/>
      <c r="AM125" s="205"/>
      <c r="AN125" s="205"/>
      <c r="AO125" s="205"/>
      <c r="AP125" s="205"/>
      <c r="AQ125" s="205"/>
      <c r="AR125" s="205"/>
      <c r="AS125" s="205"/>
      <c r="AT125" s="205"/>
      <c r="AU125" s="205"/>
      <c r="AV125" s="205"/>
      <c r="AW125" s="205"/>
      <c r="AX125" s="205"/>
      <c r="AY125" s="205"/>
      <c r="AZ125" s="205"/>
      <c r="BA125" s="205"/>
      <c r="BB125" s="205"/>
      <c r="BC125" s="205"/>
      <c r="BD125" s="205"/>
      <c r="BE125" s="205"/>
      <c r="BF125" s="205"/>
      <c r="BG125" s="205"/>
      <c r="BH125" s="205"/>
      <c r="BI125" s="319"/>
    </row>
    <row r="126" spans="3:61" ht="15" customHeight="1">
      <c r="C126" s="325"/>
      <c r="D126" s="326"/>
      <c r="E126" s="311"/>
      <c r="F126" s="311"/>
      <c r="G126" s="311"/>
      <c r="H126" s="311"/>
      <c r="I126" s="311"/>
      <c r="J126" s="317"/>
      <c r="K126" s="312"/>
      <c r="L126" s="312"/>
      <c r="M126" s="312"/>
      <c r="N126" s="312"/>
      <c r="O126" s="312"/>
      <c r="P126" s="322" t="str">
        <f t="shared" si="5"/>
        <v/>
      </c>
      <c r="Q126" s="208" t="str">
        <f t="shared" si="3"/>
        <v/>
      </c>
      <c r="R126" s="208"/>
      <c r="S126" s="323" t="str">
        <f t="shared" si="4"/>
        <v/>
      </c>
      <c r="U126" s="322"/>
      <c r="V126" s="791"/>
      <c r="W126" s="792"/>
      <c r="X126" s="480"/>
      <c r="Y126" s="480"/>
      <c r="Z126" s="480"/>
      <c r="AA126" s="323"/>
      <c r="AB126" s="220"/>
      <c r="AC126" s="322"/>
      <c r="AD126" s="323"/>
      <c r="AE126" s="220"/>
      <c r="AF126" s="324"/>
      <c r="AG126" s="208"/>
      <c r="AH126" s="208"/>
      <c r="AI126" s="208"/>
      <c r="AJ126" s="208"/>
      <c r="AK126" s="208"/>
      <c r="AL126" s="208"/>
      <c r="AM126" s="208"/>
      <c r="AN126" s="208"/>
      <c r="AO126" s="208"/>
      <c r="AP126" s="208"/>
      <c r="AQ126" s="208"/>
      <c r="AR126" s="208"/>
      <c r="AS126" s="208"/>
      <c r="AT126" s="208"/>
      <c r="AU126" s="208"/>
      <c r="AV126" s="208"/>
      <c r="AW126" s="208"/>
      <c r="AX126" s="208"/>
      <c r="AY126" s="208"/>
      <c r="AZ126" s="208"/>
      <c r="BA126" s="208"/>
      <c r="BB126" s="208"/>
      <c r="BC126" s="208"/>
      <c r="BD126" s="208"/>
      <c r="BE126" s="208"/>
      <c r="BF126" s="208"/>
      <c r="BG126" s="208"/>
      <c r="BH126" s="208"/>
      <c r="BI126" s="323"/>
    </row>
    <row r="127" spans="3:61" ht="15" customHeight="1">
      <c r="C127" s="325"/>
      <c r="D127" s="326"/>
      <c r="E127" s="311"/>
      <c r="F127" s="311"/>
      <c r="G127" s="311"/>
      <c r="H127" s="311"/>
      <c r="I127" s="311"/>
      <c r="J127" s="317"/>
      <c r="K127" s="312"/>
      <c r="L127" s="312"/>
      <c r="M127" s="312"/>
      <c r="N127" s="312"/>
      <c r="O127" s="312"/>
      <c r="P127" s="318" t="str">
        <f t="shared" si="5"/>
        <v/>
      </c>
      <c r="Q127" s="205" t="str">
        <f t="shared" si="3"/>
        <v/>
      </c>
      <c r="R127" s="205"/>
      <c r="S127" s="319" t="str">
        <f t="shared" si="4"/>
        <v/>
      </c>
      <c r="U127" s="318"/>
      <c r="V127" s="794"/>
      <c r="W127" s="795"/>
      <c r="X127" s="482"/>
      <c r="Y127" s="482"/>
      <c r="Z127" s="482"/>
      <c r="AA127" s="319"/>
      <c r="AB127" s="220"/>
      <c r="AC127" s="318"/>
      <c r="AD127" s="319"/>
      <c r="AE127" s="220"/>
      <c r="AF127" s="320"/>
      <c r="AG127" s="205"/>
      <c r="AH127" s="205"/>
      <c r="AI127" s="205"/>
      <c r="AJ127" s="205"/>
      <c r="AK127" s="205"/>
      <c r="AL127" s="205"/>
      <c r="AM127" s="205"/>
      <c r="AN127" s="205"/>
      <c r="AO127" s="205"/>
      <c r="AP127" s="205"/>
      <c r="AQ127" s="205"/>
      <c r="AR127" s="205"/>
      <c r="AS127" s="205"/>
      <c r="AT127" s="205"/>
      <c r="AU127" s="205"/>
      <c r="AV127" s="205"/>
      <c r="AW127" s="205"/>
      <c r="AX127" s="205"/>
      <c r="AY127" s="205"/>
      <c r="AZ127" s="205"/>
      <c r="BA127" s="205"/>
      <c r="BB127" s="205"/>
      <c r="BC127" s="205"/>
      <c r="BD127" s="205"/>
      <c r="BE127" s="205"/>
      <c r="BF127" s="205"/>
      <c r="BG127" s="205"/>
      <c r="BH127" s="205"/>
      <c r="BI127" s="319"/>
    </row>
    <row r="128" spans="3:61" ht="15" customHeight="1">
      <c r="C128" s="325"/>
      <c r="D128" s="326"/>
      <c r="E128" s="311"/>
      <c r="F128" s="311"/>
      <c r="G128" s="311"/>
      <c r="H128" s="311"/>
      <c r="I128" s="311"/>
      <c r="J128" s="317"/>
      <c r="K128" s="312"/>
      <c r="L128" s="312"/>
      <c r="M128" s="312"/>
      <c r="N128" s="312"/>
      <c r="O128" s="312"/>
      <c r="P128" s="322" t="str">
        <f t="shared" si="5"/>
        <v/>
      </c>
      <c r="Q128" s="208" t="str">
        <f t="shared" si="3"/>
        <v/>
      </c>
      <c r="R128" s="208"/>
      <c r="S128" s="323" t="str">
        <f t="shared" si="4"/>
        <v/>
      </c>
      <c r="U128" s="322"/>
      <c r="V128" s="791"/>
      <c r="W128" s="792"/>
      <c r="X128" s="480"/>
      <c r="Y128" s="480"/>
      <c r="Z128" s="480"/>
      <c r="AA128" s="323"/>
      <c r="AB128" s="220"/>
      <c r="AC128" s="322"/>
      <c r="AD128" s="323"/>
      <c r="AE128" s="220"/>
      <c r="AF128" s="324"/>
      <c r="AG128" s="208"/>
      <c r="AH128" s="208"/>
      <c r="AI128" s="208"/>
      <c r="AJ128" s="208"/>
      <c r="AK128" s="208"/>
      <c r="AL128" s="208"/>
      <c r="AM128" s="208"/>
      <c r="AN128" s="208"/>
      <c r="AO128" s="208"/>
      <c r="AP128" s="208"/>
      <c r="AQ128" s="208"/>
      <c r="AR128" s="208"/>
      <c r="AS128" s="208"/>
      <c r="AT128" s="208"/>
      <c r="AU128" s="208"/>
      <c r="AV128" s="208"/>
      <c r="AW128" s="208"/>
      <c r="AX128" s="208"/>
      <c r="AY128" s="208"/>
      <c r="AZ128" s="208"/>
      <c r="BA128" s="208"/>
      <c r="BB128" s="208"/>
      <c r="BC128" s="208"/>
      <c r="BD128" s="208"/>
      <c r="BE128" s="208"/>
      <c r="BF128" s="208"/>
      <c r="BG128" s="208"/>
      <c r="BH128" s="208"/>
      <c r="BI128" s="323"/>
    </row>
    <row r="129" spans="3:61" ht="15" customHeight="1">
      <c r="C129" s="325"/>
      <c r="D129" s="326"/>
      <c r="E129" s="311"/>
      <c r="F129" s="311"/>
      <c r="G129" s="311"/>
      <c r="H129" s="311"/>
      <c r="I129" s="311"/>
      <c r="J129" s="317"/>
      <c r="K129" s="312"/>
      <c r="L129" s="312"/>
      <c r="M129" s="312"/>
      <c r="N129" s="312"/>
      <c r="O129" s="312"/>
      <c r="P129" s="318" t="str">
        <f t="shared" si="5"/>
        <v/>
      </c>
      <c r="Q129" s="205" t="str">
        <f t="shared" si="3"/>
        <v/>
      </c>
      <c r="R129" s="205"/>
      <c r="S129" s="319" t="str">
        <f t="shared" si="4"/>
        <v/>
      </c>
      <c r="U129" s="318"/>
      <c r="V129" s="794"/>
      <c r="W129" s="795"/>
      <c r="X129" s="482"/>
      <c r="Y129" s="482"/>
      <c r="Z129" s="482"/>
      <c r="AA129" s="319"/>
      <c r="AB129" s="220"/>
      <c r="AC129" s="318"/>
      <c r="AD129" s="319"/>
      <c r="AE129" s="220"/>
      <c r="AF129" s="320"/>
      <c r="AG129" s="205"/>
      <c r="AH129" s="205"/>
      <c r="AI129" s="205"/>
      <c r="AJ129" s="205"/>
      <c r="AK129" s="205"/>
      <c r="AL129" s="205"/>
      <c r="AM129" s="205"/>
      <c r="AN129" s="205"/>
      <c r="AO129" s="205"/>
      <c r="AP129" s="205"/>
      <c r="AQ129" s="205"/>
      <c r="AR129" s="205"/>
      <c r="AS129" s="205"/>
      <c r="AT129" s="205"/>
      <c r="AU129" s="205"/>
      <c r="AV129" s="205"/>
      <c r="AW129" s="205"/>
      <c r="AX129" s="205"/>
      <c r="AY129" s="205"/>
      <c r="AZ129" s="205"/>
      <c r="BA129" s="205"/>
      <c r="BB129" s="205"/>
      <c r="BC129" s="205"/>
      <c r="BD129" s="205"/>
      <c r="BE129" s="205"/>
      <c r="BF129" s="205"/>
      <c r="BG129" s="205"/>
      <c r="BH129" s="205"/>
      <c r="BI129" s="319"/>
    </row>
    <row r="130" spans="3:61" ht="15" customHeight="1">
      <c r="C130" s="325"/>
      <c r="D130" s="326"/>
      <c r="E130" s="311"/>
      <c r="F130" s="311"/>
      <c r="G130" s="311"/>
      <c r="H130" s="311"/>
      <c r="I130" s="311"/>
      <c r="J130" s="317"/>
      <c r="K130" s="312"/>
      <c r="L130" s="312"/>
      <c r="M130" s="312"/>
      <c r="N130" s="312"/>
      <c r="O130" s="312"/>
      <c r="P130" s="322" t="str">
        <f t="shared" si="5"/>
        <v/>
      </c>
      <c r="Q130" s="208" t="str">
        <f t="shared" si="3"/>
        <v/>
      </c>
      <c r="R130" s="208"/>
      <c r="S130" s="323" t="str">
        <f t="shared" si="4"/>
        <v/>
      </c>
      <c r="U130" s="322"/>
      <c r="V130" s="791"/>
      <c r="W130" s="792"/>
      <c r="X130" s="480"/>
      <c r="Y130" s="480"/>
      <c r="Z130" s="480"/>
      <c r="AA130" s="323"/>
      <c r="AB130" s="220"/>
      <c r="AC130" s="322"/>
      <c r="AD130" s="323"/>
      <c r="AE130" s="220"/>
      <c r="AF130" s="324"/>
      <c r="AG130" s="208"/>
      <c r="AH130" s="208"/>
      <c r="AI130" s="208"/>
      <c r="AJ130" s="208"/>
      <c r="AK130" s="208"/>
      <c r="AL130" s="208"/>
      <c r="AM130" s="208"/>
      <c r="AN130" s="208"/>
      <c r="AO130" s="208"/>
      <c r="AP130" s="208"/>
      <c r="AQ130" s="208"/>
      <c r="AR130" s="208"/>
      <c r="AS130" s="208"/>
      <c r="AT130" s="208"/>
      <c r="AU130" s="208"/>
      <c r="AV130" s="208"/>
      <c r="AW130" s="208"/>
      <c r="AX130" s="208"/>
      <c r="AY130" s="208"/>
      <c r="AZ130" s="208"/>
      <c r="BA130" s="208"/>
      <c r="BB130" s="208"/>
      <c r="BC130" s="208"/>
      <c r="BD130" s="208"/>
      <c r="BE130" s="208"/>
      <c r="BF130" s="208"/>
      <c r="BG130" s="208"/>
      <c r="BH130" s="208"/>
      <c r="BI130" s="323"/>
    </row>
    <row r="131" spans="3:61" ht="15" customHeight="1">
      <c r="C131" s="325"/>
      <c r="D131" s="326"/>
      <c r="E131" s="311"/>
      <c r="F131" s="311"/>
      <c r="G131" s="311"/>
      <c r="H131" s="311"/>
      <c r="I131" s="311"/>
      <c r="J131" s="317"/>
      <c r="K131" s="312"/>
      <c r="L131" s="312"/>
      <c r="M131" s="312"/>
      <c r="N131" s="312"/>
      <c r="O131" s="312"/>
      <c r="P131" s="318" t="str">
        <f t="shared" si="5"/>
        <v/>
      </c>
      <c r="Q131" s="205" t="str">
        <f t="shared" si="3"/>
        <v/>
      </c>
      <c r="R131" s="205"/>
      <c r="S131" s="319" t="str">
        <f t="shared" si="4"/>
        <v/>
      </c>
      <c r="U131" s="318"/>
      <c r="V131" s="794"/>
      <c r="W131" s="795"/>
      <c r="X131" s="482"/>
      <c r="Y131" s="482"/>
      <c r="Z131" s="482"/>
      <c r="AA131" s="319"/>
      <c r="AB131" s="220"/>
      <c r="AC131" s="318"/>
      <c r="AD131" s="319"/>
      <c r="AE131" s="220"/>
      <c r="AF131" s="320"/>
      <c r="AG131" s="205"/>
      <c r="AH131" s="205"/>
      <c r="AI131" s="205"/>
      <c r="AJ131" s="205"/>
      <c r="AK131" s="205"/>
      <c r="AL131" s="205"/>
      <c r="AM131" s="205"/>
      <c r="AN131" s="205"/>
      <c r="AO131" s="205"/>
      <c r="AP131" s="205"/>
      <c r="AQ131" s="205"/>
      <c r="AR131" s="205"/>
      <c r="AS131" s="205"/>
      <c r="AT131" s="205"/>
      <c r="AU131" s="205"/>
      <c r="AV131" s="205"/>
      <c r="AW131" s="205"/>
      <c r="AX131" s="205"/>
      <c r="AY131" s="205"/>
      <c r="AZ131" s="205"/>
      <c r="BA131" s="205"/>
      <c r="BB131" s="205"/>
      <c r="BC131" s="205"/>
      <c r="BD131" s="205"/>
      <c r="BE131" s="205"/>
      <c r="BF131" s="205"/>
      <c r="BG131" s="205"/>
      <c r="BH131" s="205"/>
      <c r="BI131" s="319"/>
    </row>
    <row r="132" spans="3:61" ht="15" customHeight="1">
      <c r="C132" s="325"/>
      <c r="D132" s="326"/>
      <c r="E132" s="311"/>
      <c r="F132" s="311"/>
      <c r="G132" s="311"/>
      <c r="H132" s="311"/>
      <c r="I132" s="311"/>
      <c r="J132" s="317"/>
      <c r="K132" s="312"/>
      <c r="L132" s="312"/>
      <c r="M132" s="312"/>
      <c r="N132" s="312"/>
      <c r="O132" s="312"/>
      <c r="P132" s="322" t="str">
        <f t="shared" si="5"/>
        <v/>
      </c>
      <c r="Q132" s="208" t="str">
        <f t="shared" si="3"/>
        <v/>
      </c>
      <c r="R132" s="208"/>
      <c r="S132" s="323" t="str">
        <f t="shared" si="4"/>
        <v/>
      </c>
      <c r="U132" s="322"/>
      <c r="V132" s="791"/>
      <c r="W132" s="792"/>
      <c r="X132" s="480"/>
      <c r="Y132" s="480"/>
      <c r="Z132" s="480"/>
      <c r="AA132" s="323"/>
      <c r="AB132" s="220"/>
      <c r="AC132" s="322"/>
      <c r="AD132" s="323"/>
      <c r="AE132" s="220"/>
      <c r="AF132" s="324"/>
      <c r="AG132" s="208"/>
      <c r="AH132" s="208"/>
      <c r="AI132" s="208"/>
      <c r="AJ132" s="208"/>
      <c r="AK132" s="208"/>
      <c r="AL132" s="208"/>
      <c r="AM132" s="208"/>
      <c r="AN132" s="208"/>
      <c r="AO132" s="208"/>
      <c r="AP132" s="208"/>
      <c r="AQ132" s="208"/>
      <c r="AR132" s="208"/>
      <c r="AS132" s="208"/>
      <c r="AT132" s="208"/>
      <c r="AU132" s="208"/>
      <c r="AV132" s="208"/>
      <c r="AW132" s="208"/>
      <c r="AX132" s="208"/>
      <c r="AY132" s="208"/>
      <c r="AZ132" s="208"/>
      <c r="BA132" s="208"/>
      <c r="BB132" s="208"/>
      <c r="BC132" s="208"/>
      <c r="BD132" s="208"/>
      <c r="BE132" s="208"/>
      <c r="BF132" s="208"/>
      <c r="BG132" s="208"/>
      <c r="BH132" s="208"/>
      <c r="BI132" s="323"/>
    </row>
    <row r="133" spans="3:61" ht="15" customHeight="1">
      <c r="C133" s="325"/>
      <c r="D133" s="326"/>
      <c r="E133" s="311"/>
      <c r="F133" s="311"/>
      <c r="G133" s="311"/>
      <c r="H133" s="311"/>
      <c r="I133" s="311"/>
      <c r="J133" s="317"/>
      <c r="K133" s="312"/>
      <c r="L133" s="312"/>
      <c r="M133" s="312"/>
      <c r="N133" s="312"/>
      <c r="O133" s="312"/>
      <c r="P133" s="318" t="str">
        <f t="shared" si="5"/>
        <v/>
      </c>
      <c r="Q133" s="205" t="str">
        <f t="shared" si="3"/>
        <v/>
      </c>
      <c r="R133" s="205"/>
      <c r="S133" s="319" t="str">
        <f t="shared" si="4"/>
        <v/>
      </c>
      <c r="U133" s="318"/>
      <c r="V133" s="794"/>
      <c r="W133" s="795"/>
      <c r="X133" s="482"/>
      <c r="Y133" s="482"/>
      <c r="Z133" s="482"/>
      <c r="AA133" s="319"/>
      <c r="AB133" s="220"/>
      <c r="AC133" s="318"/>
      <c r="AD133" s="319"/>
      <c r="AE133" s="220"/>
      <c r="AF133" s="320"/>
      <c r="AG133" s="205"/>
      <c r="AH133" s="205"/>
      <c r="AI133" s="205"/>
      <c r="AJ133" s="205"/>
      <c r="AK133" s="205"/>
      <c r="AL133" s="205"/>
      <c r="AM133" s="205"/>
      <c r="AN133" s="205"/>
      <c r="AO133" s="205"/>
      <c r="AP133" s="205"/>
      <c r="AQ133" s="205"/>
      <c r="AR133" s="205"/>
      <c r="AS133" s="205"/>
      <c r="AT133" s="205"/>
      <c r="AU133" s="205"/>
      <c r="AV133" s="205"/>
      <c r="AW133" s="205">
        <v>360.1</v>
      </c>
      <c r="AX133" s="205">
        <v>13185.85355</v>
      </c>
      <c r="AY133" s="205">
        <v>166.53068999999999</v>
      </c>
      <c r="AZ133" s="205">
        <v>111.07256</v>
      </c>
      <c r="BA133" s="205">
        <v>157.47148999999999</v>
      </c>
      <c r="BB133" s="205">
        <v>1011.2097199999999</v>
      </c>
      <c r="BC133" s="205">
        <v>34291.86103</v>
      </c>
      <c r="BD133" s="205">
        <v>2384.8497400000001</v>
      </c>
      <c r="BE133" s="205">
        <v>461.31482999999997</v>
      </c>
      <c r="BF133" s="205">
        <v>269.89999999999998</v>
      </c>
      <c r="BG133" s="205">
        <v>187.93455</v>
      </c>
      <c r="BH133" s="205"/>
      <c r="BI133" s="319"/>
    </row>
    <row r="134" spans="3:61" ht="15" customHeight="1">
      <c r="C134" s="325"/>
      <c r="D134" s="326"/>
      <c r="E134" s="311"/>
      <c r="F134" s="311"/>
      <c r="G134" s="311"/>
      <c r="H134" s="311"/>
      <c r="I134" s="311"/>
      <c r="J134" s="317"/>
      <c r="K134" s="312"/>
      <c r="L134" s="312"/>
      <c r="M134" s="312"/>
      <c r="N134" s="312"/>
      <c r="O134" s="312"/>
      <c r="P134" s="322" t="str">
        <f t="shared" si="5"/>
        <v/>
      </c>
      <c r="Q134" s="208" t="str">
        <f t="shared" si="3"/>
        <v/>
      </c>
      <c r="R134" s="208"/>
      <c r="S134" s="323" t="str">
        <f t="shared" si="4"/>
        <v/>
      </c>
      <c r="U134" s="322"/>
      <c r="V134" s="791"/>
      <c r="W134" s="792"/>
      <c r="X134" s="480"/>
      <c r="Y134" s="480"/>
      <c r="Z134" s="480"/>
      <c r="AA134" s="323"/>
      <c r="AB134" s="220"/>
      <c r="AC134" s="322"/>
      <c r="AD134" s="323"/>
      <c r="AE134" s="220"/>
      <c r="AF134" s="324"/>
      <c r="AG134" s="208"/>
      <c r="AH134" s="208"/>
      <c r="AI134" s="208"/>
      <c r="AJ134" s="208"/>
      <c r="AK134" s="208"/>
      <c r="AL134" s="208"/>
      <c r="AM134" s="208"/>
      <c r="AN134" s="208"/>
      <c r="AO134" s="208"/>
      <c r="AP134" s="208"/>
      <c r="AQ134" s="208"/>
      <c r="AR134" s="208"/>
      <c r="AS134" s="208"/>
      <c r="AT134" s="208"/>
      <c r="AU134" s="208"/>
      <c r="AV134" s="208"/>
      <c r="AW134" s="208">
        <v>361.5</v>
      </c>
      <c r="AX134" s="208">
        <v>13216.877699999999</v>
      </c>
      <c r="AY134" s="208">
        <v>164.62227999999999</v>
      </c>
      <c r="AZ134" s="208">
        <v>106.5491</v>
      </c>
      <c r="BA134" s="208">
        <v>151.84612000000001</v>
      </c>
      <c r="BB134" s="208">
        <v>1002.43951</v>
      </c>
      <c r="BC134" s="208">
        <v>33544.928569999996</v>
      </c>
      <c r="BD134" s="208">
        <v>2345.7563300000002</v>
      </c>
      <c r="BE134" s="208">
        <v>456.00438000000003</v>
      </c>
      <c r="BF134" s="208">
        <v>271.60000000000002</v>
      </c>
      <c r="BG134" s="208">
        <v>183.57245</v>
      </c>
      <c r="BH134" s="208"/>
      <c r="BI134" s="323"/>
    </row>
    <row r="135" spans="3:61" ht="15" customHeight="1">
      <c r="C135" s="325"/>
      <c r="D135" s="326"/>
      <c r="E135" s="311"/>
      <c r="F135" s="311"/>
      <c r="G135" s="311"/>
      <c r="H135" s="311"/>
      <c r="I135" s="311"/>
      <c r="J135" s="317"/>
      <c r="K135" s="312"/>
      <c r="L135" s="312"/>
      <c r="M135" s="312"/>
      <c r="N135" s="312"/>
      <c r="O135" s="312"/>
      <c r="P135" s="318" t="str">
        <f t="shared" si="5"/>
        <v/>
      </c>
      <c r="Q135" s="205" t="str">
        <f t="shared" si="3"/>
        <v/>
      </c>
      <c r="R135" s="205"/>
      <c r="S135" s="319" t="str">
        <f t="shared" si="4"/>
        <v/>
      </c>
      <c r="U135" s="318"/>
      <c r="V135" s="794"/>
      <c r="W135" s="795"/>
      <c r="X135" s="482"/>
      <c r="Y135" s="482"/>
      <c r="Z135" s="482"/>
      <c r="AA135" s="319"/>
      <c r="AB135" s="220"/>
      <c r="AC135" s="318"/>
      <c r="AD135" s="319"/>
      <c r="AE135" s="220"/>
      <c r="AF135" s="320"/>
      <c r="AG135" s="205"/>
      <c r="AH135" s="205"/>
      <c r="AI135" s="205"/>
      <c r="AJ135" s="205"/>
      <c r="AK135" s="205"/>
      <c r="AL135" s="205"/>
      <c r="AM135" s="205"/>
      <c r="AN135" s="205"/>
      <c r="AO135" s="205"/>
      <c r="AP135" s="205"/>
      <c r="AQ135" s="205"/>
      <c r="AR135" s="205"/>
      <c r="AS135" s="205"/>
      <c r="AT135" s="205"/>
      <c r="AU135" s="205"/>
      <c r="AV135" s="205"/>
      <c r="AW135" s="205">
        <v>362.7</v>
      </c>
      <c r="AX135" s="205">
        <v>13888.9388</v>
      </c>
      <c r="AY135" s="205">
        <v>162.57595000000001</v>
      </c>
      <c r="AZ135" s="205">
        <v>96.322029999999998</v>
      </c>
      <c r="BA135" s="205">
        <v>155.89166</v>
      </c>
      <c r="BB135" s="205">
        <v>1006.06538</v>
      </c>
      <c r="BC135" s="205">
        <v>33872.649879999997</v>
      </c>
      <c r="BD135" s="205">
        <v>2433.1230799999998</v>
      </c>
      <c r="BE135" s="205">
        <v>456.84769999999997</v>
      </c>
      <c r="BF135" s="205">
        <v>276.7</v>
      </c>
      <c r="BG135" s="205">
        <v>189.7345</v>
      </c>
      <c r="BH135" s="205"/>
      <c r="BI135" s="319"/>
    </row>
    <row r="136" spans="3:61" ht="15" customHeight="1">
      <c r="C136" s="325"/>
      <c r="D136" s="326"/>
      <c r="E136" s="311"/>
      <c r="F136" s="311"/>
      <c r="G136" s="311"/>
      <c r="H136" s="311"/>
      <c r="I136" s="311"/>
      <c r="J136" s="317"/>
      <c r="K136" s="312"/>
      <c r="L136" s="312"/>
      <c r="M136" s="312"/>
      <c r="N136" s="312"/>
      <c r="O136" s="312"/>
      <c r="P136" s="322" t="str">
        <f t="shared" si="5"/>
        <v/>
      </c>
      <c r="Q136" s="208" t="str">
        <f t="shared" si="3"/>
        <v/>
      </c>
      <c r="R136" s="208"/>
      <c r="S136" s="323" t="str">
        <f t="shared" si="4"/>
        <v/>
      </c>
      <c r="U136" s="322"/>
      <c r="V136" s="791"/>
      <c r="W136" s="792"/>
      <c r="X136" s="480"/>
      <c r="Y136" s="480"/>
      <c r="Z136" s="480"/>
      <c r="AA136" s="323"/>
      <c r="AB136" s="220"/>
      <c r="AC136" s="322"/>
      <c r="AD136" s="323"/>
      <c r="AE136" s="220"/>
      <c r="AF136" s="324"/>
      <c r="AG136" s="208"/>
      <c r="AH136" s="208"/>
      <c r="AI136" s="208"/>
      <c r="AJ136" s="208"/>
      <c r="AK136" s="208"/>
      <c r="AL136" s="208"/>
      <c r="AM136" s="208"/>
      <c r="AN136" s="208"/>
      <c r="AO136" s="208"/>
      <c r="AP136" s="208"/>
      <c r="AQ136" s="208"/>
      <c r="AR136" s="208"/>
      <c r="AS136" s="208"/>
      <c r="AT136" s="208"/>
      <c r="AU136" s="208"/>
      <c r="AV136" s="208"/>
      <c r="AW136" s="208">
        <v>363.2</v>
      </c>
      <c r="AX136" s="208">
        <v>13928.28275</v>
      </c>
      <c r="AY136" s="208">
        <v>162.6266</v>
      </c>
      <c r="AZ136" s="208">
        <v>86.541589999999999</v>
      </c>
      <c r="BA136" s="208">
        <v>154.26605000000001</v>
      </c>
      <c r="BB136" s="208">
        <v>1004.8969</v>
      </c>
      <c r="BC136" s="208">
        <v>34096.494789999997</v>
      </c>
      <c r="BD136" s="208">
        <v>2388.7698500000001</v>
      </c>
      <c r="BE136" s="208">
        <v>455.49407000000002</v>
      </c>
      <c r="BF136" s="208">
        <v>275</v>
      </c>
      <c r="BG136" s="208">
        <v>188.50005999999999</v>
      </c>
      <c r="BH136" s="208"/>
      <c r="BI136" s="323"/>
    </row>
    <row r="137" spans="3:61" ht="15" customHeight="1">
      <c r="C137" s="325"/>
      <c r="D137" s="326"/>
      <c r="E137" s="311"/>
      <c r="F137" s="311"/>
      <c r="G137" s="311"/>
      <c r="H137" s="311"/>
      <c r="I137" s="311"/>
      <c r="J137" s="317"/>
      <c r="K137" s="312"/>
      <c r="L137" s="312"/>
      <c r="M137" s="312"/>
      <c r="N137" s="312"/>
      <c r="O137" s="312"/>
      <c r="P137" s="318" t="str">
        <f t="shared" si="5"/>
        <v/>
      </c>
      <c r="Q137" s="205" t="str">
        <f t="shared" si="3"/>
        <v/>
      </c>
      <c r="R137" s="205"/>
      <c r="S137" s="319" t="str">
        <f t="shared" si="4"/>
        <v/>
      </c>
      <c r="U137" s="318"/>
      <c r="V137" s="794"/>
      <c r="W137" s="795"/>
      <c r="X137" s="482"/>
      <c r="Y137" s="482"/>
      <c r="Z137" s="482"/>
      <c r="AA137" s="319"/>
      <c r="AB137" s="220"/>
      <c r="AC137" s="318"/>
      <c r="AD137" s="319"/>
      <c r="AE137" s="220"/>
      <c r="AF137" s="320"/>
      <c r="AG137" s="205"/>
      <c r="AH137" s="205"/>
      <c r="AI137" s="205"/>
      <c r="AJ137" s="205"/>
      <c r="AK137" s="205"/>
      <c r="AL137" s="205"/>
      <c r="AM137" s="205"/>
      <c r="AN137" s="205"/>
      <c r="AO137" s="205"/>
      <c r="AP137" s="205"/>
      <c r="AQ137" s="205"/>
      <c r="AR137" s="205"/>
      <c r="AS137" s="205"/>
      <c r="AT137" s="205"/>
      <c r="AU137" s="205"/>
      <c r="AV137" s="205"/>
      <c r="AW137" s="205">
        <v>369.8</v>
      </c>
      <c r="AX137" s="205">
        <v>14146.462439999999</v>
      </c>
      <c r="AY137" s="205">
        <v>166.48621</v>
      </c>
      <c r="AZ137" s="205">
        <v>79.157049999999998</v>
      </c>
      <c r="BA137" s="205">
        <v>154.14895999999999</v>
      </c>
      <c r="BB137" s="205">
        <v>1000.70933</v>
      </c>
      <c r="BC137" s="205">
        <v>34310.276760000001</v>
      </c>
      <c r="BD137" s="205">
        <v>2452.4481500000002</v>
      </c>
      <c r="BE137" s="205">
        <v>460.51925999999997</v>
      </c>
      <c r="BF137" s="205">
        <v>275.7</v>
      </c>
      <c r="BG137" s="205">
        <v>185.14044999999999</v>
      </c>
      <c r="BH137" s="205"/>
      <c r="BI137" s="319"/>
    </row>
    <row r="138" spans="3:61" ht="15" customHeight="1">
      <c r="C138" s="325"/>
      <c r="D138" s="326"/>
      <c r="E138" s="311"/>
      <c r="F138" s="311"/>
      <c r="G138" s="311"/>
      <c r="H138" s="311"/>
      <c r="I138" s="311"/>
      <c r="J138" s="317"/>
      <c r="K138" s="312"/>
      <c r="L138" s="312"/>
      <c r="M138" s="312"/>
      <c r="N138" s="312"/>
      <c r="O138" s="312"/>
      <c r="P138" s="322" t="str">
        <f t="shared" si="5"/>
        <v/>
      </c>
      <c r="Q138" s="208" t="str">
        <f t="shared" si="3"/>
        <v/>
      </c>
      <c r="R138" s="208"/>
      <c r="S138" s="323" t="str">
        <f t="shared" si="4"/>
        <v/>
      </c>
      <c r="U138" s="322"/>
      <c r="V138" s="791"/>
      <c r="W138" s="792"/>
      <c r="X138" s="480"/>
      <c r="Y138" s="480"/>
      <c r="Z138" s="480"/>
      <c r="AA138" s="323"/>
      <c r="AB138" s="220"/>
      <c r="AC138" s="322"/>
      <c r="AD138" s="323"/>
      <c r="AE138" s="220"/>
      <c r="AF138" s="324"/>
      <c r="AG138" s="208"/>
      <c r="AH138" s="208"/>
      <c r="AI138" s="208"/>
      <c r="AJ138" s="208"/>
      <c r="AK138" s="208"/>
      <c r="AL138" s="208"/>
      <c r="AM138" s="208"/>
      <c r="AN138" s="208"/>
      <c r="AO138" s="208"/>
      <c r="AP138" s="208"/>
      <c r="AQ138" s="208"/>
      <c r="AR138" s="208"/>
      <c r="AS138" s="208"/>
      <c r="AT138" s="208"/>
      <c r="AU138" s="208"/>
      <c r="AV138" s="208"/>
      <c r="AW138" s="208">
        <v>373.1</v>
      </c>
      <c r="AX138" s="208">
        <v>13972.629569999999</v>
      </c>
      <c r="AY138" s="208">
        <v>166.56825000000001</v>
      </c>
      <c r="AZ138" s="208">
        <v>77.603830000000002</v>
      </c>
      <c r="BA138" s="208">
        <v>151.66641000000001</v>
      </c>
      <c r="BB138" s="208">
        <v>1000.57731</v>
      </c>
      <c r="BC138" s="208">
        <v>34714.772259999998</v>
      </c>
      <c r="BD138" s="208">
        <v>2447.3175799999999</v>
      </c>
      <c r="BE138" s="208">
        <v>467.98336999999998</v>
      </c>
      <c r="BF138" s="208">
        <v>282.8</v>
      </c>
      <c r="BG138" s="208">
        <v>185.28856999999999</v>
      </c>
      <c r="BH138" s="208"/>
      <c r="BI138" s="323"/>
    </row>
    <row r="139" spans="3:61" ht="15" customHeight="1">
      <c r="C139" s="325"/>
      <c r="D139" s="326"/>
      <c r="E139" s="311"/>
      <c r="F139" s="311"/>
      <c r="G139" s="311"/>
      <c r="H139" s="311"/>
      <c r="I139" s="311"/>
      <c r="J139" s="317"/>
      <c r="K139" s="312"/>
      <c r="L139" s="312"/>
      <c r="M139" s="312"/>
      <c r="N139" s="312"/>
      <c r="O139" s="312"/>
      <c r="P139" s="318" t="str">
        <f t="shared" si="5"/>
        <v/>
      </c>
      <c r="Q139" s="205" t="str">
        <f t="shared" ref="Q139:Q202" si="6">IF($AA139 = "", "", $AA139/$AA$10*100)</f>
        <v/>
      </c>
      <c r="R139" s="205"/>
      <c r="S139" s="319" t="str">
        <f t="shared" ref="S139:S202" si="7">IF($AD139 = "", "", $AD139/$AD$10*100)</f>
        <v/>
      </c>
      <c r="U139" s="318"/>
      <c r="V139" s="794"/>
      <c r="W139" s="795"/>
      <c r="X139" s="482"/>
      <c r="Y139" s="482"/>
      <c r="Z139" s="482"/>
      <c r="AA139" s="319"/>
      <c r="AB139" s="220"/>
      <c r="AC139" s="318"/>
      <c r="AD139" s="319"/>
      <c r="AE139" s="220"/>
      <c r="AF139" s="320"/>
      <c r="AG139" s="205"/>
      <c r="AH139" s="205"/>
      <c r="AI139" s="205"/>
      <c r="AJ139" s="205"/>
      <c r="AK139" s="205"/>
      <c r="AL139" s="205"/>
      <c r="AM139" s="205"/>
      <c r="AN139" s="205"/>
      <c r="AO139" s="205"/>
      <c r="AP139" s="205"/>
      <c r="AQ139" s="205"/>
      <c r="AR139" s="205"/>
      <c r="AS139" s="205"/>
      <c r="AT139" s="205"/>
      <c r="AU139" s="205"/>
      <c r="AV139" s="205"/>
      <c r="AW139" s="205">
        <v>376.6</v>
      </c>
      <c r="AX139" s="205">
        <v>13938.91886</v>
      </c>
      <c r="AY139" s="205">
        <v>173.16246000000001</v>
      </c>
      <c r="AZ139" s="205">
        <v>82.939719999999994</v>
      </c>
      <c r="BA139" s="205">
        <v>151.97798</v>
      </c>
      <c r="BB139" s="205">
        <v>1005.21048</v>
      </c>
      <c r="BC139" s="205">
        <v>34954.966079999998</v>
      </c>
      <c r="BD139" s="205">
        <v>2454.6057900000001</v>
      </c>
      <c r="BE139" s="205">
        <v>468.51053999999999</v>
      </c>
      <c r="BF139" s="205">
        <v>291.5</v>
      </c>
      <c r="BG139" s="205">
        <v>190.44450000000001</v>
      </c>
      <c r="BH139" s="205"/>
      <c r="BI139" s="319"/>
    </row>
    <row r="140" spans="3:61" ht="15" customHeight="1">
      <c r="C140" s="325"/>
      <c r="D140" s="326"/>
      <c r="E140" s="311"/>
      <c r="F140" s="311"/>
      <c r="G140" s="311"/>
      <c r="H140" s="311"/>
      <c r="I140" s="311"/>
      <c r="J140" s="317"/>
      <c r="K140" s="312"/>
      <c r="L140" s="312"/>
      <c r="M140" s="312"/>
      <c r="N140" s="312"/>
      <c r="O140" s="312"/>
      <c r="P140" s="322" t="str">
        <f t="shared" ref="P140:P203" si="8">IF(U140="", "", U140)</f>
        <v/>
      </c>
      <c r="Q140" s="208" t="str">
        <f t="shared" si="6"/>
        <v/>
      </c>
      <c r="R140" s="208"/>
      <c r="S140" s="323" t="str">
        <f t="shared" si="7"/>
        <v/>
      </c>
      <c r="U140" s="322"/>
      <c r="V140" s="791"/>
      <c r="W140" s="792"/>
      <c r="X140" s="480"/>
      <c r="Y140" s="480"/>
      <c r="Z140" s="480"/>
      <c r="AA140" s="323"/>
      <c r="AB140" s="220"/>
      <c r="AC140" s="322"/>
      <c r="AD140" s="323"/>
      <c r="AE140" s="220"/>
      <c r="AF140" s="324"/>
      <c r="AG140" s="208"/>
      <c r="AH140" s="208"/>
      <c r="AI140" s="208"/>
      <c r="AJ140" s="208"/>
      <c r="AK140" s="208"/>
      <c r="AL140" s="208"/>
      <c r="AM140" s="208"/>
      <c r="AN140" s="208"/>
      <c r="AO140" s="208"/>
      <c r="AP140" s="208"/>
      <c r="AQ140" s="208"/>
      <c r="AR140" s="208"/>
      <c r="AS140" s="208"/>
      <c r="AT140" s="208"/>
      <c r="AU140" s="208"/>
      <c r="AV140" s="208"/>
      <c r="AW140" s="208">
        <v>370</v>
      </c>
      <c r="AX140" s="208">
        <v>14127.495500000001</v>
      </c>
      <c r="AY140" s="208">
        <v>175.61313000000001</v>
      </c>
      <c r="AZ140" s="208">
        <v>83.024140000000003</v>
      </c>
      <c r="BA140" s="208">
        <v>153.02321000000001</v>
      </c>
      <c r="BB140" s="208">
        <v>1005.50588</v>
      </c>
      <c r="BC140" s="208">
        <v>35111.029240000003</v>
      </c>
      <c r="BD140" s="208">
        <v>2449.3696599999998</v>
      </c>
      <c r="BE140" s="208">
        <v>471.37974000000003</v>
      </c>
      <c r="BF140" s="208">
        <v>286.39999999999998</v>
      </c>
      <c r="BG140" s="208">
        <v>190.68116000000001</v>
      </c>
      <c r="BH140" s="208"/>
      <c r="BI140" s="323"/>
    </row>
    <row r="141" spans="3:61" ht="15" customHeight="1">
      <c r="C141" s="325"/>
      <c r="D141" s="326"/>
      <c r="E141" s="311"/>
      <c r="F141" s="311"/>
      <c r="G141" s="311"/>
      <c r="H141" s="311"/>
      <c r="I141" s="311"/>
      <c r="J141" s="317"/>
      <c r="K141" s="312"/>
      <c r="L141" s="312"/>
      <c r="M141" s="312"/>
      <c r="N141" s="312"/>
      <c r="O141" s="312"/>
      <c r="P141" s="318" t="str">
        <f t="shared" si="8"/>
        <v/>
      </c>
      <c r="Q141" s="205" t="str">
        <f t="shared" si="6"/>
        <v/>
      </c>
      <c r="R141" s="205"/>
      <c r="S141" s="319" t="str">
        <f t="shared" si="7"/>
        <v/>
      </c>
      <c r="U141" s="318"/>
      <c r="V141" s="794"/>
      <c r="W141" s="795"/>
      <c r="X141" s="482"/>
      <c r="Y141" s="482"/>
      <c r="Z141" s="482"/>
      <c r="AA141" s="319"/>
      <c r="AB141" s="220"/>
      <c r="AC141" s="318"/>
      <c r="AD141" s="319"/>
      <c r="AE141" s="220"/>
      <c r="AF141" s="320"/>
      <c r="AG141" s="205"/>
      <c r="AH141" s="205"/>
      <c r="AI141" s="205"/>
      <c r="AJ141" s="205"/>
      <c r="AK141" s="205"/>
      <c r="AL141" s="205"/>
      <c r="AM141" s="205"/>
      <c r="AN141" s="205"/>
      <c r="AO141" s="205"/>
      <c r="AP141" s="205"/>
      <c r="AQ141" s="205"/>
      <c r="AR141" s="205"/>
      <c r="AS141" s="205"/>
      <c r="AT141" s="205"/>
      <c r="AU141" s="205"/>
      <c r="AV141" s="205"/>
      <c r="AW141" s="205">
        <v>369.3</v>
      </c>
      <c r="AX141" s="205">
        <v>13861.00243</v>
      </c>
      <c r="AY141" s="205">
        <v>173.20565999999999</v>
      </c>
      <c r="AZ141" s="205">
        <v>79.430880000000002</v>
      </c>
      <c r="BA141" s="205">
        <v>151.14080000000001</v>
      </c>
      <c r="BB141" s="205">
        <v>1003.91799</v>
      </c>
      <c r="BC141" s="205">
        <v>35296.159979999997</v>
      </c>
      <c r="BD141" s="205">
        <v>2435.3286199999998</v>
      </c>
      <c r="BE141" s="205">
        <v>472.08589000000001</v>
      </c>
      <c r="BF141" s="205">
        <v>284.8</v>
      </c>
      <c r="BG141" s="205">
        <v>191.44573</v>
      </c>
      <c r="BH141" s="205"/>
      <c r="BI141" s="319"/>
    </row>
    <row r="142" spans="3:61" ht="15" customHeight="1">
      <c r="C142" s="325"/>
      <c r="D142" s="326"/>
      <c r="E142" s="311"/>
      <c r="F142" s="311"/>
      <c r="G142" s="311"/>
      <c r="H142" s="311"/>
      <c r="I142" s="311"/>
      <c r="J142" s="317"/>
      <c r="K142" s="312"/>
      <c r="L142" s="312"/>
      <c r="M142" s="312"/>
      <c r="N142" s="312"/>
      <c r="O142" s="312"/>
      <c r="P142" s="322" t="str">
        <f t="shared" si="8"/>
        <v/>
      </c>
      <c r="Q142" s="208" t="str">
        <f t="shared" si="6"/>
        <v/>
      </c>
      <c r="R142" s="208"/>
      <c r="S142" s="323" t="str">
        <f t="shared" si="7"/>
        <v/>
      </c>
      <c r="U142" s="322"/>
      <c r="V142" s="791"/>
      <c r="W142" s="792"/>
      <c r="X142" s="480"/>
      <c r="Y142" s="480"/>
      <c r="Z142" s="480"/>
      <c r="AA142" s="323"/>
      <c r="AB142" s="220"/>
      <c r="AC142" s="322"/>
      <c r="AD142" s="323"/>
      <c r="AE142" s="220"/>
      <c r="AF142" s="324"/>
      <c r="AG142" s="208"/>
      <c r="AH142" s="208"/>
      <c r="AI142" s="208"/>
      <c r="AJ142" s="208"/>
      <c r="AK142" s="208"/>
      <c r="AL142" s="208"/>
      <c r="AM142" s="208"/>
      <c r="AN142" s="208"/>
      <c r="AO142" s="208"/>
      <c r="AP142" s="208"/>
      <c r="AQ142" s="208"/>
      <c r="AR142" s="208"/>
      <c r="AS142" s="208"/>
      <c r="AT142" s="208"/>
      <c r="AU142" s="208"/>
      <c r="AV142" s="208"/>
      <c r="AW142" s="208">
        <v>375.4</v>
      </c>
      <c r="AX142" s="208">
        <v>13994.82458</v>
      </c>
      <c r="AY142" s="208">
        <v>174.10495</v>
      </c>
      <c r="AZ142" s="208">
        <v>85.326589999999996</v>
      </c>
      <c r="BA142" s="208">
        <v>150.46878000000001</v>
      </c>
      <c r="BB142" s="208">
        <v>1005.6066499999999</v>
      </c>
      <c r="BC142" s="208">
        <v>36226.687639999996</v>
      </c>
      <c r="BD142" s="208">
        <v>2465.1572000000001</v>
      </c>
      <c r="BE142" s="208">
        <v>476.05763000000002</v>
      </c>
      <c r="BF142" s="208">
        <v>288.8</v>
      </c>
      <c r="BG142" s="208">
        <v>190.30882</v>
      </c>
      <c r="BH142" s="208"/>
      <c r="BI142" s="323"/>
    </row>
    <row r="143" spans="3:61" ht="15" customHeight="1">
      <c r="C143" s="325"/>
      <c r="D143" s="326"/>
      <c r="E143" s="311"/>
      <c r="F143" s="311"/>
      <c r="G143" s="311"/>
      <c r="H143" s="311"/>
      <c r="I143" s="311"/>
      <c r="J143" s="317"/>
      <c r="K143" s="312"/>
      <c r="L143" s="312"/>
      <c r="M143" s="312"/>
      <c r="N143" s="312"/>
      <c r="O143" s="312"/>
      <c r="P143" s="318" t="str">
        <f t="shared" si="8"/>
        <v/>
      </c>
      <c r="Q143" s="205" t="str">
        <f t="shared" si="6"/>
        <v/>
      </c>
      <c r="R143" s="205"/>
      <c r="S143" s="319" t="str">
        <f t="shared" si="7"/>
        <v/>
      </c>
      <c r="U143" s="318"/>
      <c r="V143" s="794"/>
      <c r="W143" s="795"/>
      <c r="X143" s="482"/>
      <c r="Y143" s="482"/>
      <c r="Z143" s="482"/>
      <c r="AA143" s="319"/>
      <c r="AB143" s="220"/>
      <c r="AC143" s="318"/>
      <c r="AD143" s="319"/>
      <c r="AE143" s="220"/>
      <c r="AF143" s="320"/>
      <c r="AG143" s="205"/>
      <c r="AH143" s="205"/>
      <c r="AI143" s="205"/>
      <c r="AJ143" s="205"/>
      <c r="AK143" s="205"/>
      <c r="AL143" s="205"/>
      <c r="AM143" s="205"/>
      <c r="AN143" s="205"/>
      <c r="AO143" s="205"/>
      <c r="AP143" s="205"/>
      <c r="AQ143" s="205"/>
      <c r="AR143" s="205"/>
      <c r="AS143" s="205"/>
      <c r="AT143" s="205"/>
      <c r="AU143" s="205"/>
      <c r="AV143" s="205"/>
      <c r="AW143" s="205">
        <v>375.5</v>
      </c>
      <c r="AX143" s="205">
        <v>14084.707640000001</v>
      </c>
      <c r="AY143" s="205">
        <v>174.10495</v>
      </c>
      <c r="AZ143" s="205">
        <v>88.939390000000003</v>
      </c>
      <c r="BA143" s="205">
        <v>150.96091999999999</v>
      </c>
      <c r="BB143" s="205">
        <v>1010.85469</v>
      </c>
      <c r="BC143" s="205">
        <v>36249.284140000003</v>
      </c>
      <c r="BD143" s="205">
        <v>2477.0095500000002</v>
      </c>
      <c r="BE143" s="205">
        <v>480.76969000000003</v>
      </c>
      <c r="BF143" s="205">
        <v>290.39999999999998</v>
      </c>
      <c r="BG143" s="205">
        <v>191.65219999999999</v>
      </c>
      <c r="BH143" s="205"/>
      <c r="BI143" s="319"/>
    </row>
    <row r="144" spans="3:61" ht="15" customHeight="1">
      <c r="C144" s="325"/>
      <c r="D144" s="326"/>
      <c r="E144" s="311"/>
      <c r="F144" s="311"/>
      <c r="G144" s="311"/>
      <c r="H144" s="311"/>
      <c r="I144" s="311"/>
      <c r="J144" s="317"/>
      <c r="K144" s="312"/>
      <c r="L144" s="312"/>
      <c r="M144" s="312"/>
      <c r="N144" s="312"/>
      <c r="O144" s="312"/>
      <c r="P144" s="322" t="str">
        <f t="shared" si="8"/>
        <v/>
      </c>
      <c r="Q144" s="208" t="str">
        <f t="shared" si="6"/>
        <v/>
      </c>
      <c r="R144" s="208"/>
      <c r="S144" s="323" t="str">
        <f t="shared" si="7"/>
        <v/>
      </c>
      <c r="U144" s="322"/>
      <c r="V144" s="791"/>
      <c r="W144" s="792"/>
      <c r="X144" s="480"/>
      <c r="Y144" s="480"/>
      <c r="Z144" s="480"/>
      <c r="AA144" s="323"/>
      <c r="AB144" s="220"/>
      <c r="AC144" s="322"/>
      <c r="AD144" s="323"/>
      <c r="AE144" s="220"/>
      <c r="AF144" s="324"/>
      <c r="AG144" s="208"/>
      <c r="AH144" s="208"/>
      <c r="AI144" s="208"/>
      <c r="AJ144" s="208"/>
      <c r="AK144" s="208"/>
      <c r="AL144" s="208"/>
      <c r="AM144" s="208"/>
      <c r="AN144" s="208"/>
      <c r="AO144" s="208"/>
      <c r="AP144" s="208"/>
      <c r="AQ144" s="208"/>
      <c r="AR144" s="208"/>
      <c r="AS144" s="208"/>
      <c r="AT144" s="208"/>
      <c r="AU144" s="208"/>
      <c r="AV144" s="208"/>
      <c r="AW144" s="208">
        <v>367.9</v>
      </c>
      <c r="AX144" s="208">
        <v>13991.60728</v>
      </c>
      <c r="AY144" s="208">
        <v>179.16048000000001</v>
      </c>
      <c r="AZ144" s="208">
        <v>94.197019999999995</v>
      </c>
      <c r="BA144" s="208">
        <v>160.00366</v>
      </c>
      <c r="BB144" s="208">
        <v>1005.03095</v>
      </c>
      <c r="BC144" s="208">
        <v>36546.994939999997</v>
      </c>
      <c r="BD144" s="208">
        <v>2431.1500799999999</v>
      </c>
      <c r="BE144" s="208">
        <v>480.50664999999998</v>
      </c>
      <c r="BF144" s="208">
        <v>292.3</v>
      </c>
      <c r="BG144" s="208">
        <v>190.34878</v>
      </c>
      <c r="BH144" s="208"/>
      <c r="BI144" s="323"/>
    </row>
    <row r="145" spans="3:61" ht="15" customHeight="1">
      <c r="C145" s="325"/>
      <c r="D145" s="326"/>
      <c r="E145" s="311"/>
      <c r="F145" s="311"/>
      <c r="G145" s="311"/>
      <c r="H145" s="311"/>
      <c r="I145" s="311"/>
      <c r="J145" s="317"/>
      <c r="K145" s="312"/>
      <c r="L145" s="312"/>
      <c r="M145" s="312"/>
      <c r="N145" s="312"/>
      <c r="O145" s="312"/>
      <c r="P145" s="318" t="str">
        <f t="shared" si="8"/>
        <v/>
      </c>
      <c r="Q145" s="205" t="str">
        <f t="shared" si="6"/>
        <v/>
      </c>
      <c r="R145" s="205"/>
      <c r="S145" s="319" t="str">
        <f t="shared" si="7"/>
        <v/>
      </c>
      <c r="U145" s="318"/>
      <c r="V145" s="794"/>
      <c r="W145" s="795"/>
      <c r="X145" s="482"/>
      <c r="Y145" s="482"/>
      <c r="Z145" s="482"/>
      <c r="AA145" s="319"/>
      <c r="AB145" s="220"/>
      <c r="AC145" s="318"/>
      <c r="AD145" s="319"/>
      <c r="AE145" s="220"/>
      <c r="AF145" s="320"/>
      <c r="AG145" s="205"/>
      <c r="AH145" s="205"/>
      <c r="AI145" s="205"/>
      <c r="AJ145" s="205"/>
      <c r="AK145" s="205"/>
      <c r="AL145" s="205"/>
      <c r="AM145" s="205"/>
      <c r="AN145" s="205"/>
      <c r="AO145" s="205"/>
      <c r="AP145" s="205"/>
      <c r="AQ145" s="205"/>
      <c r="AR145" s="205"/>
      <c r="AS145" s="205"/>
      <c r="AT145" s="205"/>
      <c r="AU145" s="205"/>
      <c r="AV145" s="205"/>
      <c r="AW145" s="205">
        <v>367.5</v>
      </c>
      <c r="AX145" s="205">
        <v>13671.74878</v>
      </c>
      <c r="AY145" s="205">
        <v>179.95803000000001</v>
      </c>
      <c r="AZ145" s="205">
        <v>102.40101</v>
      </c>
      <c r="BA145" s="205">
        <v>155.81438</v>
      </c>
      <c r="BB145" s="205">
        <v>998.15517</v>
      </c>
      <c r="BC145" s="205">
        <v>36807.162349999999</v>
      </c>
      <c r="BD145" s="205">
        <v>2433.9630200000001</v>
      </c>
      <c r="BE145" s="205">
        <v>476.94155000000001</v>
      </c>
      <c r="BF145" s="205">
        <v>300.10000000000002</v>
      </c>
      <c r="BG145" s="205">
        <v>187.49608000000001</v>
      </c>
      <c r="BH145" s="205"/>
      <c r="BI145" s="319"/>
    </row>
    <row r="146" spans="3:61" ht="15" customHeight="1">
      <c r="C146" s="325"/>
      <c r="D146" s="326"/>
      <c r="E146" s="311"/>
      <c r="F146" s="311"/>
      <c r="G146" s="311"/>
      <c r="H146" s="311"/>
      <c r="I146" s="311"/>
      <c r="J146" s="317"/>
      <c r="K146" s="312"/>
      <c r="L146" s="312"/>
      <c r="M146" s="312"/>
      <c r="N146" s="312"/>
      <c r="O146" s="312"/>
      <c r="P146" s="322" t="str">
        <f t="shared" si="8"/>
        <v/>
      </c>
      <c r="Q146" s="208" t="str">
        <f t="shared" si="6"/>
        <v/>
      </c>
      <c r="R146" s="208"/>
      <c r="S146" s="323" t="str">
        <f t="shared" si="7"/>
        <v/>
      </c>
      <c r="U146" s="322"/>
      <c r="V146" s="791"/>
      <c r="W146" s="792"/>
      <c r="X146" s="480"/>
      <c r="Y146" s="480"/>
      <c r="Z146" s="480"/>
      <c r="AA146" s="323"/>
      <c r="AB146" s="220"/>
      <c r="AC146" s="322"/>
      <c r="AD146" s="323"/>
      <c r="AE146" s="220"/>
      <c r="AF146" s="324"/>
      <c r="AG146" s="208"/>
      <c r="AH146" s="208"/>
      <c r="AI146" s="208"/>
      <c r="AJ146" s="208"/>
      <c r="AK146" s="208"/>
      <c r="AL146" s="208"/>
      <c r="AM146" s="208"/>
      <c r="AN146" s="208"/>
      <c r="AO146" s="208"/>
      <c r="AP146" s="208"/>
      <c r="AQ146" s="208"/>
      <c r="AR146" s="208"/>
      <c r="AS146" s="208"/>
      <c r="AT146" s="208"/>
      <c r="AU146" s="208"/>
      <c r="AV146" s="208"/>
      <c r="AW146" s="208">
        <v>367.3</v>
      </c>
      <c r="AX146" s="208">
        <v>14389.84893</v>
      </c>
      <c r="AY146" s="208">
        <v>179.68743000000001</v>
      </c>
      <c r="AZ146" s="208">
        <v>106.29353999999999</v>
      </c>
      <c r="BA146" s="208">
        <v>154.63348999999999</v>
      </c>
      <c r="BB146" s="208">
        <v>998.11270000000002</v>
      </c>
      <c r="BC146" s="208">
        <v>36440.595130000002</v>
      </c>
      <c r="BD146" s="208">
        <v>2459.5902999999998</v>
      </c>
      <c r="BE146" s="208">
        <v>474.36212</v>
      </c>
      <c r="BF146" s="208">
        <v>300.89999999999998</v>
      </c>
      <c r="BG146" s="208">
        <v>186.37181000000001</v>
      </c>
      <c r="BH146" s="208"/>
      <c r="BI146" s="323"/>
    </row>
    <row r="147" spans="3:61" ht="15" customHeight="1">
      <c r="C147" s="325"/>
      <c r="D147" s="326"/>
      <c r="E147" s="311"/>
      <c r="F147" s="311"/>
      <c r="G147" s="311"/>
      <c r="H147" s="311"/>
      <c r="I147" s="311"/>
      <c r="J147" s="317"/>
      <c r="K147" s="312"/>
      <c r="L147" s="312"/>
      <c r="M147" s="312"/>
      <c r="N147" s="312"/>
      <c r="O147" s="312"/>
      <c r="P147" s="318" t="str">
        <f t="shared" si="8"/>
        <v/>
      </c>
      <c r="Q147" s="205" t="str">
        <f t="shared" si="6"/>
        <v/>
      </c>
      <c r="R147" s="205"/>
      <c r="S147" s="319" t="str">
        <f t="shared" si="7"/>
        <v/>
      </c>
      <c r="U147" s="318"/>
      <c r="V147" s="794"/>
      <c r="W147" s="795"/>
      <c r="X147" s="482"/>
      <c r="Y147" s="482"/>
      <c r="Z147" s="482"/>
      <c r="AA147" s="319"/>
      <c r="AB147" s="220"/>
      <c r="AC147" s="318"/>
      <c r="AD147" s="319"/>
      <c r="AE147" s="220"/>
      <c r="AF147" s="320"/>
      <c r="AG147" s="205"/>
      <c r="AH147" s="205"/>
      <c r="AI147" s="205"/>
      <c r="AJ147" s="205"/>
      <c r="AK147" s="205"/>
      <c r="AL147" s="205"/>
      <c r="AM147" s="205"/>
      <c r="AN147" s="205"/>
      <c r="AO147" s="205"/>
      <c r="AP147" s="205"/>
      <c r="AQ147" s="205"/>
      <c r="AR147" s="205"/>
      <c r="AS147" s="205"/>
      <c r="AT147" s="205"/>
      <c r="AU147" s="205"/>
      <c r="AV147" s="205"/>
      <c r="AW147" s="205">
        <v>362.2</v>
      </c>
      <c r="AX147" s="205">
        <v>14077.039839999999</v>
      </c>
      <c r="AY147" s="205">
        <v>180.64651000000001</v>
      </c>
      <c r="AZ147" s="205">
        <v>93.899230000000003</v>
      </c>
      <c r="BA147" s="205">
        <v>154.63348999999999</v>
      </c>
      <c r="BB147" s="205">
        <v>1000.96425</v>
      </c>
      <c r="BC147" s="205">
        <v>36371.28916</v>
      </c>
      <c r="BD147" s="205">
        <v>2464.9921199999999</v>
      </c>
      <c r="BE147" s="205">
        <v>478.73950000000002</v>
      </c>
      <c r="BF147" s="205">
        <v>295.89999999999998</v>
      </c>
      <c r="BG147" s="205">
        <v>185.22008</v>
      </c>
      <c r="BH147" s="205"/>
      <c r="BI147" s="319"/>
    </row>
    <row r="148" spans="3:61" ht="15" customHeight="1">
      <c r="C148" s="325"/>
      <c r="D148" s="326"/>
      <c r="E148" s="311"/>
      <c r="F148" s="311"/>
      <c r="G148" s="311"/>
      <c r="H148" s="311"/>
      <c r="I148" s="311"/>
      <c r="J148" s="317"/>
      <c r="K148" s="312"/>
      <c r="L148" s="312"/>
      <c r="M148" s="312"/>
      <c r="N148" s="312"/>
      <c r="O148" s="312"/>
      <c r="P148" s="322" t="str">
        <f t="shared" si="8"/>
        <v/>
      </c>
      <c r="Q148" s="208" t="str">
        <f t="shared" si="6"/>
        <v/>
      </c>
      <c r="R148" s="208"/>
      <c r="S148" s="323" t="str">
        <f t="shared" si="7"/>
        <v/>
      </c>
      <c r="U148" s="322"/>
      <c r="V148" s="791"/>
      <c r="W148" s="792"/>
      <c r="X148" s="480"/>
      <c r="Y148" s="480"/>
      <c r="Z148" s="480"/>
      <c r="AA148" s="323"/>
      <c r="AB148" s="220"/>
      <c r="AC148" s="322"/>
      <c r="AD148" s="323"/>
      <c r="AE148" s="220"/>
      <c r="AF148" s="324"/>
      <c r="AG148" s="208"/>
      <c r="AH148" s="208"/>
      <c r="AI148" s="208"/>
      <c r="AJ148" s="208"/>
      <c r="AK148" s="208"/>
      <c r="AL148" s="208"/>
      <c r="AM148" s="208"/>
      <c r="AN148" s="208"/>
      <c r="AO148" s="208"/>
      <c r="AP148" s="208"/>
      <c r="AQ148" s="208"/>
      <c r="AR148" s="208"/>
      <c r="AS148" s="208"/>
      <c r="AT148" s="208"/>
      <c r="AU148" s="208"/>
      <c r="AV148" s="208"/>
      <c r="AW148" s="208">
        <v>371.3</v>
      </c>
      <c r="AX148" s="208">
        <v>14353.40933</v>
      </c>
      <c r="AY148" s="208">
        <v>175.67504</v>
      </c>
      <c r="AZ148" s="208">
        <v>96.549350000000004</v>
      </c>
      <c r="BA148" s="208">
        <v>151.99556000000001</v>
      </c>
      <c r="BB148" s="208">
        <v>997.54629999999997</v>
      </c>
      <c r="BC148" s="208">
        <v>37303.837820000001</v>
      </c>
      <c r="BD148" s="208">
        <v>2498.4781499999999</v>
      </c>
      <c r="BE148" s="208">
        <v>472.82555000000002</v>
      </c>
      <c r="BF148" s="208">
        <v>299.10000000000002</v>
      </c>
      <c r="BG148" s="208">
        <v>183.40172000000001</v>
      </c>
      <c r="BH148" s="208"/>
      <c r="BI148" s="323"/>
    </row>
    <row r="149" spans="3:61" ht="15" customHeight="1">
      <c r="C149" s="325"/>
      <c r="D149" s="326"/>
      <c r="E149" s="311"/>
      <c r="F149" s="311"/>
      <c r="G149" s="311"/>
      <c r="H149" s="311"/>
      <c r="I149" s="311"/>
      <c r="J149" s="317"/>
      <c r="K149" s="312"/>
      <c r="L149" s="312"/>
      <c r="M149" s="312"/>
      <c r="N149" s="312"/>
      <c r="O149" s="312"/>
      <c r="P149" s="318" t="str">
        <f t="shared" si="8"/>
        <v/>
      </c>
      <c r="Q149" s="205" t="str">
        <f t="shared" si="6"/>
        <v/>
      </c>
      <c r="R149" s="205"/>
      <c r="S149" s="319" t="str">
        <f t="shared" si="7"/>
        <v/>
      </c>
      <c r="U149" s="318"/>
      <c r="V149" s="794"/>
      <c r="W149" s="795"/>
      <c r="X149" s="482"/>
      <c r="Y149" s="482"/>
      <c r="Z149" s="482"/>
      <c r="AA149" s="319"/>
      <c r="AB149" s="220"/>
      <c r="AC149" s="318"/>
      <c r="AD149" s="319"/>
      <c r="AE149" s="220"/>
      <c r="AF149" s="320"/>
      <c r="AG149" s="205"/>
      <c r="AH149" s="205"/>
      <c r="AI149" s="205"/>
      <c r="AJ149" s="205"/>
      <c r="AK149" s="205"/>
      <c r="AL149" s="205"/>
      <c r="AM149" s="205"/>
      <c r="AN149" s="205"/>
      <c r="AO149" s="205"/>
      <c r="AP149" s="205"/>
      <c r="AQ149" s="205"/>
      <c r="AR149" s="205"/>
      <c r="AS149" s="205"/>
      <c r="AT149" s="205"/>
      <c r="AU149" s="205"/>
      <c r="AV149" s="205"/>
      <c r="AW149" s="205">
        <v>371.4</v>
      </c>
      <c r="AX149" s="205">
        <v>14323.446970000001</v>
      </c>
      <c r="AY149" s="205">
        <v>177.57514</v>
      </c>
      <c r="AZ149" s="205">
        <v>97.83775</v>
      </c>
      <c r="BA149" s="205">
        <v>146.45094</v>
      </c>
      <c r="BB149" s="205">
        <v>997.94507999999996</v>
      </c>
      <c r="BC149" s="205">
        <v>36629.422310000002</v>
      </c>
      <c r="BD149" s="205">
        <v>2535.8761399999999</v>
      </c>
      <c r="BE149" s="205">
        <v>471.17786999999998</v>
      </c>
      <c r="BF149" s="205">
        <v>295.5</v>
      </c>
      <c r="BG149" s="205">
        <v>184.41023000000001</v>
      </c>
      <c r="BH149" s="205"/>
      <c r="BI149" s="319"/>
    </row>
    <row r="150" spans="3:61" ht="15" customHeight="1">
      <c r="C150" s="325"/>
      <c r="D150" s="326"/>
      <c r="E150" s="311"/>
      <c r="F150" s="311"/>
      <c r="G150" s="311"/>
      <c r="H150" s="311"/>
      <c r="I150" s="311"/>
      <c r="J150" s="317"/>
      <c r="K150" s="312"/>
      <c r="L150" s="312"/>
      <c r="M150" s="312"/>
      <c r="N150" s="312"/>
      <c r="O150" s="312"/>
      <c r="P150" s="322" t="str">
        <f t="shared" si="8"/>
        <v/>
      </c>
      <c r="Q150" s="208" t="str">
        <f t="shared" si="6"/>
        <v/>
      </c>
      <c r="R150" s="208"/>
      <c r="S150" s="323" t="str">
        <f t="shared" si="7"/>
        <v/>
      </c>
      <c r="U150" s="322"/>
      <c r="V150" s="791"/>
      <c r="W150" s="792"/>
      <c r="X150" s="480"/>
      <c r="Y150" s="480"/>
      <c r="Z150" s="480"/>
      <c r="AA150" s="323"/>
      <c r="AB150" s="220"/>
      <c r="AC150" s="322"/>
      <c r="AD150" s="323"/>
      <c r="AE150" s="220"/>
      <c r="AF150" s="324"/>
      <c r="AG150" s="208"/>
      <c r="AH150" s="208"/>
      <c r="AI150" s="208"/>
      <c r="AJ150" s="208"/>
      <c r="AK150" s="208"/>
      <c r="AL150" s="208"/>
      <c r="AM150" s="208"/>
      <c r="AN150" s="208"/>
      <c r="AO150" s="208"/>
      <c r="AP150" s="208"/>
      <c r="AQ150" s="208"/>
      <c r="AR150" s="208"/>
      <c r="AS150" s="208"/>
      <c r="AT150" s="208"/>
      <c r="AU150" s="208"/>
      <c r="AV150" s="208"/>
      <c r="AW150" s="208">
        <v>373.5</v>
      </c>
      <c r="AX150" s="208">
        <v>14608.59823</v>
      </c>
      <c r="AY150" s="208">
        <v>176.99332999999999</v>
      </c>
      <c r="AZ150" s="208">
        <v>95.481549999999999</v>
      </c>
      <c r="BA150" s="208">
        <v>144.01788999999999</v>
      </c>
      <c r="BB150" s="208">
        <v>1002.28163</v>
      </c>
      <c r="BC150" s="208">
        <v>35651.285170000003</v>
      </c>
      <c r="BD150" s="208">
        <v>2494.28872</v>
      </c>
      <c r="BE150" s="208">
        <v>470.87858</v>
      </c>
      <c r="BF150" s="208">
        <v>293.5</v>
      </c>
      <c r="BG150" s="208">
        <v>183.27411000000001</v>
      </c>
      <c r="BH150" s="208"/>
      <c r="BI150" s="323"/>
    </row>
    <row r="151" spans="3:61" ht="15" customHeight="1">
      <c r="C151" s="325"/>
      <c r="D151" s="326"/>
      <c r="E151" s="311"/>
      <c r="F151" s="311"/>
      <c r="G151" s="311"/>
      <c r="H151" s="311"/>
      <c r="I151" s="311"/>
      <c r="J151" s="317"/>
      <c r="K151" s="312"/>
      <c r="L151" s="312"/>
      <c r="M151" s="312"/>
      <c r="N151" s="312"/>
      <c r="O151" s="312"/>
      <c r="P151" s="318" t="str">
        <f t="shared" si="8"/>
        <v/>
      </c>
      <c r="Q151" s="205" t="str">
        <f t="shared" si="6"/>
        <v/>
      </c>
      <c r="R151" s="205"/>
      <c r="S151" s="319" t="str">
        <f t="shared" si="7"/>
        <v/>
      </c>
      <c r="U151" s="318"/>
      <c r="V151" s="794"/>
      <c r="W151" s="795"/>
      <c r="X151" s="482"/>
      <c r="Y151" s="482"/>
      <c r="Z151" s="482"/>
      <c r="AA151" s="319"/>
      <c r="AB151" s="220"/>
      <c r="AC151" s="318"/>
      <c r="AD151" s="319"/>
      <c r="AE151" s="220"/>
      <c r="AF151" s="320"/>
      <c r="AG151" s="205"/>
      <c r="AH151" s="205"/>
      <c r="AI151" s="205"/>
      <c r="AJ151" s="205"/>
      <c r="AK151" s="205"/>
      <c r="AL151" s="205"/>
      <c r="AM151" s="205"/>
      <c r="AN151" s="205"/>
      <c r="AO151" s="205"/>
      <c r="AP151" s="205"/>
      <c r="AQ151" s="205"/>
      <c r="AR151" s="205"/>
      <c r="AS151" s="205"/>
      <c r="AT151" s="205"/>
      <c r="AU151" s="205"/>
      <c r="AV151" s="205"/>
      <c r="AW151" s="205">
        <v>375.1</v>
      </c>
      <c r="AX151" s="205">
        <v>14501.30148</v>
      </c>
      <c r="AY151" s="205">
        <v>174.85535999999999</v>
      </c>
      <c r="AZ151" s="205">
        <v>106.65372000000001</v>
      </c>
      <c r="BA151" s="205">
        <v>146.72297</v>
      </c>
      <c r="BB151" s="205">
        <v>1003.06219</v>
      </c>
      <c r="BC151" s="205">
        <v>36593.629560000001</v>
      </c>
      <c r="BD151" s="205">
        <v>2511.57359</v>
      </c>
      <c r="BE151" s="205">
        <v>477.27938</v>
      </c>
      <c r="BF151" s="205">
        <v>296.60000000000002</v>
      </c>
      <c r="BG151" s="205">
        <v>184.32736</v>
      </c>
      <c r="BH151" s="205"/>
      <c r="BI151" s="319"/>
    </row>
    <row r="152" spans="3:61" ht="15" customHeight="1">
      <c r="C152" s="325"/>
      <c r="D152" s="326"/>
      <c r="E152" s="311"/>
      <c r="F152" s="311"/>
      <c r="G152" s="311"/>
      <c r="H152" s="311"/>
      <c r="I152" s="311"/>
      <c r="J152" s="317"/>
      <c r="K152" s="312"/>
      <c r="L152" s="312"/>
      <c r="M152" s="312"/>
      <c r="N152" s="312"/>
      <c r="O152" s="312"/>
      <c r="P152" s="322" t="str">
        <f t="shared" si="8"/>
        <v/>
      </c>
      <c r="Q152" s="208" t="str">
        <f t="shared" si="6"/>
        <v/>
      </c>
      <c r="R152" s="208"/>
      <c r="S152" s="323" t="str">
        <f t="shared" si="7"/>
        <v/>
      </c>
      <c r="U152" s="322"/>
      <c r="V152" s="791"/>
      <c r="W152" s="792"/>
      <c r="X152" s="480"/>
      <c r="Y152" s="480"/>
      <c r="Z152" s="480"/>
      <c r="AA152" s="323"/>
      <c r="AB152" s="220"/>
      <c r="AC152" s="322"/>
      <c r="AD152" s="323"/>
      <c r="AE152" s="220"/>
      <c r="AF152" s="324"/>
      <c r="AG152" s="208"/>
      <c r="AH152" s="208"/>
      <c r="AI152" s="208"/>
      <c r="AJ152" s="208"/>
      <c r="AK152" s="208"/>
      <c r="AL152" s="208"/>
      <c r="AM152" s="208"/>
      <c r="AN152" s="208"/>
      <c r="AO152" s="208"/>
      <c r="AP152" s="208"/>
      <c r="AQ152" s="208"/>
      <c r="AR152" s="208"/>
      <c r="AS152" s="208"/>
      <c r="AT152" s="208"/>
      <c r="AU152" s="208"/>
      <c r="AV152" s="208"/>
      <c r="AW152" s="208">
        <v>367.1</v>
      </c>
      <c r="AX152" s="208">
        <v>14703.141890000001</v>
      </c>
      <c r="AY152" s="208">
        <v>182.27947</v>
      </c>
      <c r="AZ152" s="208">
        <v>114.19152</v>
      </c>
      <c r="BA152" s="208">
        <v>149.54662999999999</v>
      </c>
      <c r="BB152" s="208">
        <v>1007.6417</v>
      </c>
      <c r="BC152" s="208">
        <v>36850.719799999999</v>
      </c>
      <c r="BD152" s="208">
        <v>2564.6628500000002</v>
      </c>
      <c r="BE152" s="208">
        <v>488.58823000000001</v>
      </c>
      <c r="BF152" s="208">
        <v>284.39999999999998</v>
      </c>
      <c r="BG152" s="208">
        <v>182.95330000000001</v>
      </c>
      <c r="BH152" s="208"/>
      <c r="BI152" s="323"/>
    </row>
    <row r="153" spans="3:61" ht="15" customHeight="1">
      <c r="C153" s="325"/>
      <c r="D153" s="326"/>
      <c r="E153" s="311"/>
      <c r="F153" s="311"/>
      <c r="G153" s="311"/>
      <c r="H153" s="311"/>
      <c r="I153" s="311"/>
      <c r="J153" s="317"/>
      <c r="K153" s="312"/>
      <c r="L153" s="312"/>
      <c r="M153" s="312"/>
      <c r="N153" s="312"/>
      <c r="O153" s="312"/>
      <c r="P153" s="318" t="str">
        <f t="shared" si="8"/>
        <v/>
      </c>
      <c r="Q153" s="205" t="str">
        <f t="shared" si="6"/>
        <v/>
      </c>
      <c r="R153" s="205"/>
      <c r="S153" s="319" t="str">
        <f t="shared" si="7"/>
        <v/>
      </c>
      <c r="U153" s="318"/>
      <c r="V153" s="794"/>
      <c r="W153" s="795"/>
      <c r="X153" s="482"/>
      <c r="Y153" s="482"/>
      <c r="Z153" s="482"/>
      <c r="AA153" s="319"/>
      <c r="AB153" s="220"/>
      <c r="AC153" s="318"/>
      <c r="AD153" s="319"/>
      <c r="AE153" s="220"/>
      <c r="AF153" s="320"/>
      <c r="AG153" s="205"/>
      <c r="AH153" s="205"/>
      <c r="AI153" s="205"/>
      <c r="AJ153" s="205"/>
      <c r="AK153" s="205"/>
      <c r="AL153" s="205"/>
      <c r="AM153" s="205"/>
      <c r="AN153" s="205"/>
      <c r="AO153" s="205"/>
      <c r="AP153" s="205"/>
      <c r="AQ153" s="205"/>
      <c r="AR153" s="205"/>
      <c r="AS153" s="205"/>
      <c r="AT153" s="205"/>
      <c r="AU153" s="205"/>
      <c r="AV153" s="205"/>
      <c r="AW153" s="205">
        <v>368.9</v>
      </c>
      <c r="AX153" s="205">
        <v>14922.60815</v>
      </c>
      <c r="AY153" s="205">
        <v>185.81390999999999</v>
      </c>
      <c r="AZ153" s="205">
        <v>114.98463</v>
      </c>
      <c r="BA153" s="205">
        <v>145.22989000000001</v>
      </c>
      <c r="BB153" s="205">
        <v>1015.73722</v>
      </c>
      <c r="BC153" s="205">
        <v>37597.647259999998</v>
      </c>
      <c r="BD153" s="205">
        <v>2612.6665200000002</v>
      </c>
      <c r="BE153" s="205">
        <v>495.8571</v>
      </c>
      <c r="BF153" s="205">
        <v>287.2</v>
      </c>
      <c r="BG153" s="205">
        <v>179.01787999999999</v>
      </c>
      <c r="BH153" s="205"/>
      <c r="BI153" s="319"/>
    </row>
    <row r="154" spans="3:61" ht="15" customHeight="1">
      <c r="C154" s="325"/>
      <c r="D154" s="326"/>
      <c r="E154" s="311"/>
      <c r="F154" s="311"/>
      <c r="G154" s="311"/>
      <c r="H154" s="311"/>
      <c r="I154" s="311"/>
      <c r="J154" s="317"/>
      <c r="K154" s="312"/>
      <c r="L154" s="312"/>
      <c r="M154" s="312"/>
      <c r="N154" s="312"/>
      <c r="O154" s="312"/>
      <c r="P154" s="322" t="str">
        <f t="shared" si="8"/>
        <v/>
      </c>
      <c r="Q154" s="208" t="str">
        <f t="shared" si="6"/>
        <v/>
      </c>
      <c r="R154" s="208"/>
      <c r="S154" s="323" t="str">
        <f t="shared" si="7"/>
        <v/>
      </c>
      <c r="U154" s="322"/>
      <c r="V154" s="791"/>
      <c r="W154" s="792"/>
      <c r="X154" s="480"/>
      <c r="Y154" s="480"/>
      <c r="Z154" s="480"/>
      <c r="AA154" s="323"/>
      <c r="AB154" s="220"/>
      <c r="AC154" s="322"/>
      <c r="AD154" s="323"/>
      <c r="AE154" s="220"/>
      <c r="AF154" s="324"/>
      <c r="AG154" s="208"/>
      <c r="AH154" s="208"/>
      <c r="AI154" s="208"/>
      <c r="AJ154" s="208"/>
      <c r="AK154" s="208"/>
      <c r="AL154" s="208"/>
      <c r="AM154" s="208"/>
      <c r="AN154" s="208"/>
      <c r="AO154" s="208"/>
      <c r="AP154" s="208"/>
      <c r="AQ154" s="208"/>
      <c r="AR154" s="208"/>
      <c r="AS154" s="208"/>
      <c r="AT154" s="208"/>
      <c r="AU154" s="208"/>
      <c r="AV154" s="208"/>
      <c r="AW154" s="208">
        <v>374.2</v>
      </c>
      <c r="AX154" s="208">
        <v>14732.46041</v>
      </c>
      <c r="AY154" s="208">
        <v>185.96691000000001</v>
      </c>
      <c r="AZ154" s="208">
        <v>111.48241</v>
      </c>
      <c r="BA154" s="208">
        <v>145.92945</v>
      </c>
      <c r="BB154" s="208">
        <v>1021.32267</v>
      </c>
      <c r="BC154" s="208">
        <v>37688.590730000004</v>
      </c>
      <c r="BD154" s="208">
        <v>2693.87842</v>
      </c>
      <c r="BE154" s="208">
        <v>499.59715999999997</v>
      </c>
      <c r="BF154" s="208">
        <v>290.3</v>
      </c>
      <c r="BG154" s="208">
        <v>184.56182000000001</v>
      </c>
      <c r="BH154" s="208"/>
      <c r="BI154" s="323"/>
    </row>
    <row r="155" spans="3:61" ht="15" customHeight="1">
      <c r="C155" s="325"/>
      <c r="D155" s="326"/>
      <c r="E155" s="311"/>
      <c r="F155" s="311"/>
      <c r="G155" s="311"/>
      <c r="H155" s="311"/>
      <c r="I155" s="311"/>
      <c r="J155" s="317"/>
      <c r="K155" s="312"/>
      <c r="L155" s="312"/>
      <c r="M155" s="312"/>
      <c r="N155" s="312"/>
      <c r="O155" s="312"/>
      <c r="P155" s="318" t="str">
        <f t="shared" si="8"/>
        <v/>
      </c>
      <c r="Q155" s="205" t="str">
        <f t="shared" si="6"/>
        <v/>
      </c>
      <c r="R155" s="205"/>
      <c r="S155" s="319" t="str">
        <f t="shared" si="7"/>
        <v/>
      </c>
      <c r="U155" s="318"/>
      <c r="V155" s="794"/>
      <c r="W155" s="795"/>
      <c r="X155" s="482"/>
      <c r="Y155" s="482"/>
      <c r="Z155" s="482"/>
      <c r="AA155" s="319"/>
      <c r="AB155" s="220"/>
      <c r="AC155" s="318"/>
      <c r="AD155" s="319"/>
      <c r="AE155" s="220"/>
      <c r="AF155" s="320"/>
      <c r="AG155" s="205"/>
      <c r="AH155" s="205"/>
      <c r="AI155" s="205"/>
      <c r="AJ155" s="205"/>
      <c r="AK155" s="205"/>
      <c r="AL155" s="205"/>
      <c r="AM155" s="205"/>
      <c r="AN155" s="205"/>
      <c r="AO155" s="205"/>
      <c r="AP155" s="205"/>
      <c r="AQ155" s="205"/>
      <c r="AR155" s="205"/>
      <c r="AS155" s="205"/>
      <c r="AT155" s="205"/>
      <c r="AU155" s="205"/>
      <c r="AV155" s="205"/>
      <c r="AW155" s="205">
        <v>375.8</v>
      </c>
      <c r="AX155" s="205">
        <v>15084.384190000001</v>
      </c>
      <c r="AY155" s="205">
        <v>186.23333</v>
      </c>
      <c r="AZ155" s="205">
        <v>115.0234</v>
      </c>
      <c r="BA155" s="205">
        <v>147.90329</v>
      </c>
      <c r="BB155" s="205">
        <v>1020.4844399999999</v>
      </c>
      <c r="BC155" s="205">
        <v>37701.509769999997</v>
      </c>
      <c r="BD155" s="205">
        <v>2735.0894499999999</v>
      </c>
      <c r="BE155" s="205">
        <v>500.71728999999999</v>
      </c>
      <c r="BF155" s="205">
        <v>294.10000000000002</v>
      </c>
      <c r="BG155" s="205">
        <v>182.33340999999999</v>
      </c>
      <c r="BH155" s="205"/>
      <c r="BI155" s="319"/>
    </row>
    <row r="156" spans="3:61" ht="15" customHeight="1">
      <c r="C156" s="325"/>
      <c r="D156" s="326"/>
      <c r="E156" s="311"/>
      <c r="F156" s="311"/>
      <c r="G156" s="311"/>
      <c r="H156" s="311"/>
      <c r="I156" s="311"/>
      <c r="J156" s="317"/>
      <c r="K156" s="312"/>
      <c r="L156" s="312"/>
      <c r="M156" s="312"/>
      <c r="N156" s="312"/>
      <c r="O156" s="312"/>
      <c r="P156" s="322" t="str">
        <f t="shared" si="8"/>
        <v/>
      </c>
      <c r="Q156" s="208" t="str">
        <f t="shared" si="6"/>
        <v/>
      </c>
      <c r="R156" s="208"/>
      <c r="S156" s="323" t="str">
        <f t="shared" si="7"/>
        <v/>
      </c>
      <c r="U156" s="322"/>
      <c r="V156" s="791"/>
      <c r="W156" s="792"/>
      <c r="X156" s="480"/>
      <c r="Y156" s="480"/>
      <c r="Z156" s="480"/>
      <c r="AA156" s="323"/>
      <c r="AB156" s="220"/>
      <c r="AC156" s="322"/>
      <c r="AD156" s="323"/>
      <c r="AE156" s="220"/>
      <c r="AF156" s="324"/>
      <c r="AG156" s="208"/>
      <c r="AH156" s="208"/>
      <c r="AI156" s="208"/>
      <c r="AJ156" s="208"/>
      <c r="AK156" s="208"/>
      <c r="AL156" s="208"/>
      <c r="AM156" s="208"/>
      <c r="AN156" s="208"/>
      <c r="AO156" s="208"/>
      <c r="AP156" s="208"/>
      <c r="AQ156" s="208"/>
      <c r="AR156" s="208"/>
      <c r="AS156" s="208"/>
      <c r="AT156" s="208"/>
      <c r="AU156" s="208"/>
      <c r="AV156" s="208"/>
      <c r="AW156" s="208">
        <v>381.2</v>
      </c>
      <c r="AX156" s="208">
        <v>15124.41383</v>
      </c>
      <c r="AY156" s="208">
        <v>189.42116999999999</v>
      </c>
      <c r="AZ156" s="208">
        <v>115.32514999999999</v>
      </c>
      <c r="BA156" s="208">
        <v>148.29338999999999</v>
      </c>
      <c r="BB156" s="208">
        <v>1025.11249</v>
      </c>
      <c r="BC156" s="208">
        <v>38303.55457</v>
      </c>
      <c r="BD156" s="208">
        <v>2795.75405</v>
      </c>
      <c r="BE156" s="208">
        <v>509.91350999999997</v>
      </c>
      <c r="BF156" s="208">
        <v>298.5</v>
      </c>
      <c r="BG156" s="208">
        <v>180.42329000000001</v>
      </c>
      <c r="BH156" s="208"/>
      <c r="BI156" s="323"/>
    </row>
    <row r="157" spans="3:61" ht="15" customHeight="1">
      <c r="C157" s="325"/>
      <c r="D157" s="326"/>
      <c r="E157" s="311"/>
      <c r="F157" s="311"/>
      <c r="G157" s="311"/>
      <c r="H157" s="311"/>
      <c r="I157" s="311"/>
      <c r="J157" s="317"/>
      <c r="K157" s="312"/>
      <c r="L157" s="312"/>
      <c r="M157" s="312"/>
      <c r="N157" s="312"/>
      <c r="O157" s="312"/>
      <c r="P157" s="318" t="str">
        <f t="shared" si="8"/>
        <v/>
      </c>
      <c r="Q157" s="205" t="str">
        <f t="shared" si="6"/>
        <v/>
      </c>
      <c r="R157" s="205"/>
      <c r="S157" s="319" t="str">
        <f t="shared" si="7"/>
        <v/>
      </c>
      <c r="U157" s="318"/>
      <c r="V157" s="794"/>
      <c r="W157" s="795"/>
      <c r="X157" s="482"/>
      <c r="Y157" s="482"/>
      <c r="Z157" s="482"/>
      <c r="AA157" s="319"/>
      <c r="AB157" s="220"/>
      <c r="AC157" s="318"/>
      <c r="AD157" s="319"/>
      <c r="AE157" s="220"/>
      <c r="AF157" s="320"/>
      <c r="AG157" s="205"/>
      <c r="AH157" s="205"/>
      <c r="AI157" s="205"/>
      <c r="AJ157" s="205"/>
      <c r="AK157" s="205"/>
      <c r="AL157" s="205"/>
      <c r="AM157" s="205"/>
      <c r="AN157" s="205"/>
      <c r="AO157" s="205"/>
      <c r="AP157" s="205"/>
      <c r="AQ157" s="205"/>
      <c r="AR157" s="205"/>
      <c r="AS157" s="205"/>
      <c r="AT157" s="205"/>
      <c r="AU157" s="205"/>
      <c r="AV157" s="205"/>
      <c r="AW157" s="205">
        <v>381</v>
      </c>
      <c r="AX157" s="205">
        <v>15334.44325</v>
      </c>
      <c r="AY157" s="205">
        <v>190.00738000000001</v>
      </c>
      <c r="AZ157" s="205">
        <v>114.89831</v>
      </c>
      <c r="BA157" s="205">
        <v>147.72434999999999</v>
      </c>
      <c r="BB157" s="205">
        <v>1023.76316</v>
      </c>
      <c r="BC157" s="205">
        <v>38269.095150000001</v>
      </c>
      <c r="BD157" s="205">
        <v>2797.6458499999999</v>
      </c>
      <c r="BE157" s="205">
        <v>515.85897999999997</v>
      </c>
      <c r="BF157" s="205">
        <v>298</v>
      </c>
      <c r="BG157" s="205">
        <v>173.02403000000001</v>
      </c>
      <c r="BH157" s="205"/>
      <c r="BI157" s="319"/>
    </row>
    <row r="158" spans="3:61" ht="15" customHeight="1">
      <c r="C158" s="325"/>
      <c r="D158" s="326"/>
      <c r="E158" s="311"/>
      <c r="F158" s="311"/>
      <c r="G158" s="311"/>
      <c r="H158" s="311"/>
      <c r="I158" s="311"/>
      <c r="J158" s="317"/>
      <c r="K158" s="312"/>
      <c r="L158" s="312"/>
      <c r="M158" s="312"/>
      <c r="N158" s="312"/>
      <c r="O158" s="312"/>
      <c r="P158" s="322" t="str">
        <f t="shared" si="8"/>
        <v/>
      </c>
      <c r="Q158" s="208" t="str">
        <f t="shared" si="6"/>
        <v/>
      </c>
      <c r="R158" s="208"/>
      <c r="S158" s="323" t="str">
        <f t="shared" si="7"/>
        <v/>
      </c>
      <c r="U158" s="322"/>
      <c r="V158" s="791"/>
      <c r="W158" s="792"/>
      <c r="X158" s="480"/>
      <c r="Y158" s="480"/>
      <c r="Z158" s="480"/>
      <c r="AA158" s="323"/>
      <c r="AB158" s="220"/>
      <c r="AC158" s="322"/>
      <c r="AD158" s="323"/>
      <c r="AE158" s="220"/>
      <c r="AF158" s="324"/>
      <c r="AG158" s="208"/>
      <c r="AH158" s="208"/>
      <c r="AI158" s="208"/>
      <c r="AJ158" s="208"/>
      <c r="AK158" s="208"/>
      <c r="AL158" s="208"/>
      <c r="AM158" s="208"/>
      <c r="AN158" s="208"/>
      <c r="AO158" s="208"/>
      <c r="AP158" s="208"/>
      <c r="AQ158" s="208"/>
      <c r="AR158" s="208"/>
      <c r="AS158" s="208"/>
      <c r="AT158" s="208"/>
      <c r="AU158" s="208"/>
      <c r="AV158" s="208"/>
      <c r="AW158" s="208">
        <v>375.6</v>
      </c>
      <c r="AX158" s="208">
        <v>15230.153550000001</v>
      </c>
      <c r="AY158" s="208">
        <v>197.56363999999999</v>
      </c>
      <c r="AZ158" s="208">
        <v>114.77565</v>
      </c>
      <c r="BA158" s="208">
        <v>148.09854000000001</v>
      </c>
      <c r="BB158" s="208">
        <v>1022.27059</v>
      </c>
      <c r="BC158" s="208">
        <v>38172.639819999997</v>
      </c>
      <c r="BD158" s="208">
        <v>2785.0680200000002</v>
      </c>
      <c r="BE158" s="208">
        <v>517.71445000000006</v>
      </c>
      <c r="BF158" s="208">
        <v>293.39999999999998</v>
      </c>
      <c r="BG158" s="208">
        <v>172.60643999999999</v>
      </c>
      <c r="BH158" s="208"/>
      <c r="BI158" s="323"/>
    </row>
    <row r="159" spans="3:61" ht="15" customHeight="1">
      <c r="C159" s="325"/>
      <c r="D159" s="326"/>
      <c r="E159" s="311"/>
      <c r="F159" s="311"/>
      <c r="G159" s="311"/>
      <c r="H159" s="311"/>
      <c r="I159" s="311"/>
      <c r="J159" s="317"/>
      <c r="K159" s="312"/>
      <c r="L159" s="312"/>
      <c r="M159" s="312"/>
      <c r="N159" s="312"/>
      <c r="O159" s="312"/>
      <c r="P159" s="318" t="str">
        <f t="shared" si="8"/>
        <v/>
      </c>
      <c r="Q159" s="205" t="str">
        <f t="shared" si="6"/>
        <v/>
      </c>
      <c r="R159" s="205"/>
      <c r="S159" s="319" t="str">
        <f t="shared" si="7"/>
        <v/>
      </c>
      <c r="U159" s="318"/>
      <c r="V159" s="794"/>
      <c r="W159" s="795"/>
      <c r="X159" s="482"/>
      <c r="Y159" s="482"/>
      <c r="Z159" s="482"/>
      <c r="AA159" s="319"/>
      <c r="AB159" s="220"/>
      <c r="AC159" s="318"/>
      <c r="AD159" s="319"/>
      <c r="AE159" s="220"/>
      <c r="AF159" s="320"/>
      <c r="AG159" s="205"/>
      <c r="AH159" s="205"/>
      <c r="AI159" s="205"/>
      <c r="AJ159" s="205"/>
      <c r="AK159" s="205"/>
      <c r="AL159" s="205"/>
      <c r="AM159" s="205"/>
      <c r="AN159" s="205"/>
      <c r="AO159" s="205"/>
      <c r="AP159" s="205"/>
      <c r="AQ159" s="205"/>
      <c r="AR159" s="205"/>
      <c r="AS159" s="205"/>
      <c r="AT159" s="205"/>
      <c r="AU159" s="205"/>
      <c r="AV159" s="205"/>
      <c r="AW159" s="205">
        <v>380</v>
      </c>
      <c r="AX159" s="205">
        <v>15561.183789999999</v>
      </c>
      <c r="AY159" s="205">
        <v>199.30824999999999</v>
      </c>
      <c r="AZ159" s="205">
        <v>118.17318</v>
      </c>
      <c r="BA159" s="205">
        <v>151.95518999999999</v>
      </c>
      <c r="BB159" s="205">
        <v>1012.74335</v>
      </c>
      <c r="BC159" s="205">
        <v>38167.599309999998</v>
      </c>
      <c r="BD159" s="205">
        <v>2761.5954999999999</v>
      </c>
      <c r="BE159" s="205">
        <v>517.52787000000001</v>
      </c>
      <c r="BF159" s="205">
        <v>282.5</v>
      </c>
      <c r="BG159" s="205">
        <v>177.68657999999999</v>
      </c>
      <c r="BH159" s="205"/>
      <c r="BI159" s="319"/>
    </row>
    <row r="160" spans="3:61" ht="15" customHeight="1">
      <c r="C160" s="325"/>
      <c r="D160" s="326"/>
      <c r="E160" s="311"/>
      <c r="F160" s="311"/>
      <c r="G160" s="311"/>
      <c r="H160" s="311"/>
      <c r="I160" s="311"/>
      <c r="J160" s="317"/>
      <c r="K160" s="312"/>
      <c r="L160" s="312"/>
      <c r="M160" s="312"/>
      <c r="N160" s="312"/>
      <c r="O160" s="312"/>
      <c r="P160" s="322" t="str">
        <f t="shared" si="8"/>
        <v/>
      </c>
      <c r="Q160" s="208" t="str">
        <f t="shared" si="6"/>
        <v/>
      </c>
      <c r="R160" s="208"/>
      <c r="S160" s="323" t="str">
        <f t="shared" si="7"/>
        <v/>
      </c>
      <c r="U160" s="322"/>
      <c r="V160" s="791"/>
      <c r="W160" s="792"/>
      <c r="X160" s="480"/>
      <c r="Y160" s="480"/>
      <c r="Z160" s="480"/>
      <c r="AA160" s="323"/>
      <c r="AB160" s="220"/>
      <c r="AC160" s="322"/>
      <c r="AD160" s="323"/>
      <c r="AE160" s="220"/>
      <c r="AF160" s="324"/>
      <c r="AG160" s="208"/>
      <c r="AH160" s="208"/>
      <c r="AI160" s="208"/>
      <c r="AJ160" s="208"/>
      <c r="AK160" s="208"/>
      <c r="AL160" s="208"/>
      <c r="AM160" s="208"/>
      <c r="AN160" s="208"/>
      <c r="AO160" s="208"/>
      <c r="AP160" s="208"/>
      <c r="AQ160" s="208"/>
      <c r="AR160" s="208"/>
      <c r="AS160" s="208"/>
      <c r="AT160" s="208"/>
      <c r="AU160" s="208"/>
      <c r="AV160" s="208"/>
      <c r="AW160" s="208">
        <v>394.1</v>
      </c>
      <c r="AX160" s="208">
        <v>15795.02102</v>
      </c>
      <c r="AY160" s="208">
        <v>198.72948</v>
      </c>
      <c r="AZ160" s="208">
        <v>118.12617</v>
      </c>
      <c r="BA160" s="208">
        <v>152.81601000000001</v>
      </c>
      <c r="BB160" s="208">
        <v>1012.62315</v>
      </c>
      <c r="BC160" s="208">
        <v>38218.399250000002</v>
      </c>
      <c r="BD160" s="208">
        <v>2807.6344100000001</v>
      </c>
      <c r="BE160" s="208">
        <v>517.23604999999998</v>
      </c>
      <c r="BF160" s="208">
        <v>300.5</v>
      </c>
      <c r="BG160" s="208">
        <v>173.62379999999999</v>
      </c>
      <c r="BH160" s="208"/>
      <c r="BI160" s="323"/>
    </row>
    <row r="161" spans="3:61" ht="15" customHeight="1">
      <c r="C161" s="325"/>
      <c r="D161" s="326"/>
      <c r="E161" s="311"/>
      <c r="F161" s="311"/>
      <c r="G161" s="311"/>
      <c r="H161" s="311"/>
      <c r="I161" s="311"/>
      <c r="J161" s="317"/>
      <c r="K161" s="312"/>
      <c r="L161" s="312"/>
      <c r="M161" s="312"/>
      <c r="N161" s="312"/>
      <c r="O161" s="312"/>
      <c r="P161" s="318" t="str">
        <f t="shared" si="8"/>
        <v/>
      </c>
      <c r="Q161" s="205" t="str">
        <f t="shared" si="6"/>
        <v/>
      </c>
      <c r="R161" s="205"/>
      <c r="S161" s="319" t="str">
        <f t="shared" si="7"/>
        <v/>
      </c>
      <c r="U161" s="318"/>
      <c r="V161" s="794"/>
      <c r="W161" s="795"/>
      <c r="X161" s="482"/>
      <c r="Y161" s="482"/>
      <c r="Z161" s="482"/>
      <c r="AA161" s="319"/>
      <c r="AB161" s="220"/>
      <c r="AC161" s="318"/>
      <c r="AD161" s="319"/>
      <c r="AE161" s="220"/>
      <c r="AF161" s="320"/>
      <c r="AG161" s="205"/>
      <c r="AH161" s="205"/>
      <c r="AI161" s="205"/>
      <c r="AJ161" s="205"/>
      <c r="AK161" s="205"/>
      <c r="AL161" s="205"/>
      <c r="AM161" s="205"/>
      <c r="AN161" s="205"/>
      <c r="AO161" s="205"/>
      <c r="AP161" s="205"/>
      <c r="AQ161" s="205"/>
      <c r="AR161" s="205"/>
      <c r="AS161" s="205"/>
      <c r="AT161" s="205"/>
      <c r="AU161" s="205"/>
      <c r="AV161" s="205"/>
      <c r="AW161" s="205">
        <v>395.8</v>
      </c>
      <c r="AX161" s="205">
        <v>15548.226909999999</v>
      </c>
      <c r="AY161" s="205">
        <v>200.3081</v>
      </c>
      <c r="AZ161" s="205">
        <v>123.35456000000001</v>
      </c>
      <c r="BA161" s="205">
        <v>154.71274</v>
      </c>
      <c r="BB161" s="205">
        <v>1013.8078400000001</v>
      </c>
      <c r="BC161" s="205">
        <v>38278.657879999999</v>
      </c>
      <c r="BD161" s="205">
        <v>2805.6616800000002</v>
      </c>
      <c r="BE161" s="205">
        <v>517.78044999999997</v>
      </c>
      <c r="BF161" s="205">
        <v>301.8</v>
      </c>
      <c r="BG161" s="205">
        <v>179.74191999999999</v>
      </c>
      <c r="BH161" s="205"/>
      <c r="BI161" s="319"/>
    </row>
    <row r="162" spans="3:61" ht="15" customHeight="1">
      <c r="C162" s="325"/>
      <c r="D162" s="326"/>
      <c r="E162" s="311"/>
      <c r="F162" s="311"/>
      <c r="G162" s="311"/>
      <c r="H162" s="311"/>
      <c r="I162" s="311"/>
      <c r="J162" s="317"/>
      <c r="K162" s="312"/>
      <c r="L162" s="312"/>
      <c r="M162" s="312"/>
      <c r="N162" s="312"/>
      <c r="O162" s="312"/>
      <c r="P162" s="322" t="str">
        <f t="shared" si="8"/>
        <v/>
      </c>
      <c r="Q162" s="208" t="str">
        <f t="shared" si="6"/>
        <v/>
      </c>
      <c r="R162" s="208"/>
      <c r="S162" s="323" t="str">
        <f t="shared" si="7"/>
        <v/>
      </c>
      <c r="U162" s="322"/>
      <c r="V162" s="791"/>
      <c r="W162" s="792"/>
      <c r="X162" s="480"/>
      <c r="Y162" s="480"/>
      <c r="Z162" s="480"/>
      <c r="AA162" s="323"/>
      <c r="AB162" s="220"/>
      <c r="AC162" s="322"/>
      <c r="AD162" s="323"/>
      <c r="AE162" s="220"/>
      <c r="AF162" s="324"/>
      <c r="AG162" s="208"/>
      <c r="AH162" s="208"/>
      <c r="AI162" s="208"/>
      <c r="AJ162" s="208"/>
      <c r="AK162" s="208"/>
      <c r="AL162" s="208"/>
      <c r="AM162" s="208"/>
      <c r="AN162" s="208"/>
      <c r="AO162" s="208"/>
      <c r="AP162" s="208"/>
      <c r="AQ162" s="208"/>
      <c r="AR162" s="208"/>
      <c r="AS162" s="208"/>
      <c r="AT162" s="208"/>
      <c r="AU162" s="208"/>
      <c r="AV162" s="208"/>
      <c r="AW162" s="208">
        <v>404.4</v>
      </c>
      <c r="AX162" s="208">
        <v>15532.217989999999</v>
      </c>
      <c r="AY162" s="208">
        <v>198.67514</v>
      </c>
      <c r="AZ162" s="208">
        <v>123.19611999999999</v>
      </c>
      <c r="BA162" s="208">
        <v>144.89439999999999</v>
      </c>
      <c r="BB162" s="208">
        <v>1014.09023</v>
      </c>
      <c r="BC162" s="208">
        <v>38159.488899999997</v>
      </c>
      <c r="BD162" s="208">
        <v>2807.12842</v>
      </c>
      <c r="BE162" s="208">
        <v>520.62197000000003</v>
      </c>
      <c r="BF162" s="208">
        <v>299.60000000000002</v>
      </c>
      <c r="BG162" s="208">
        <v>179.72058000000001</v>
      </c>
      <c r="BH162" s="208"/>
      <c r="BI162" s="323"/>
    </row>
    <row r="163" spans="3:61" ht="15" customHeight="1">
      <c r="C163" s="325"/>
      <c r="D163" s="326"/>
      <c r="E163" s="311"/>
      <c r="F163" s="311"/>
      <c r="G163" s="311"/>
      <c r="H163" s="311"/>
      <c r="I163" s="311"/>
      <c r="J163" s="317"/>
      <c r="K163" s="312"/>
      <c r="L163" s="312"/>
      <c r="M163" s="312"/>
      <c r="N163" s="312"/>
      <c r="O163" s="312"/>
      <c r="P163" s="318" t="str">
        <f t="shared" si="8"/>
        <v/>
      </c>
      <c r="Q163" s="205" t="str">
        <f t="shared" si="6"/>
        <v/>
      </c>
      <c r="R163" s="205"/>
      <c r="S163" s="319" t="str">
        <f t="shared" si="7"/>
        <v/>
      </c>
      <c r="U163" s="318"/>
      <c r="V163" s="794"/>
      <c r="W163" s="795"/>
      <c r="X163" s="482"/>
      <c r="Y163" s="482"/>
      <c r="Z163" s="482"/>
      <c r="AA163" s="319"/>
      <c r="AB163" s="220"/>
      <c r="AC163" s="318"/>
      <c r="AD163" s="319"/>
      <c r="AE163" s="220"/>
      <c r="AF163" s="320"/>
      <c r="AG163" s="205"/>
      <c r="AH163" s="205"/>
      <c r="AI163" s="205"/>
      <c r="AJ163" s="205"/>
      <c r="AK163" s="205"/>
      <c r="AL163" s="205"/>
      <c r="AM163" s="205"/>
      <c r="AN163" s="205"/>
      <c r="AO163" s="205"/>
      <c r="AP163" s="205"/>
      <c r="AQ163" s="205"/>
      <c r="AR163" s="205"/>
      <c r="AS163" s="205"/>
      <c r="AT163" s="205"/>
      <c r="AU163" s="205"/>
      <c r="AV163" s="205"/>
      <c r="AW163" s="205">
        <v>410.2</v>
      </c>
      <c r="AX163" s="205">
        <v>15719.852140000001</v>
      </c>
      <c r="AY163" s="205">
        <v>204.63713999999999</v>
      </c>
      <c r="AZ163" s="205">
        <v>120.10763</v>
      </c>
      <c r="BA163" s="205">
        <v>137.46773999999999</v>
      </c>
      <c r="BB163" s="205">
        <v>1018.80562</v>
      </c>
      <c r="BC163" s="205">
        <v>38854.072890000003</v>
      </c>
      <c r="BD163" s="205">
        <v>2799.6459500000001</v>
      </c>
      <c r="BE163" s="205">
        <v>518.80032000000006</v>
      </c>
      <c r="BF163" s="205">
        <v>312.3</v>
      </c>
      <c r="BG163" s="205">
        <v>180.50032999999999</v>
      </c>
      <c r="BH163" s="205"/>
      <c r="BI163" s="319"/>
    </row>
    <row r="164" spans="3:61" ht="15" customHeight="1">
      <c r="C164" s="325"/>
      <c r="D164" s="326"/>
      <c r="E164" s="311"/>
      <c r="F164" s="311"/>
      <c r="G164" s="311"/>
      <c r="H164" s="311"/>
      <c r="I164" s="311"/>
      <c r="J164" s="317"/>
      <c r="K164" s="312"/>
      <c r="L164" s="312"/>
      <c r="M164" s="312"/>
      <c r="N164" s="312"/>
      <c r="O164" s="312"/>
      <c r="P164" s="322" t="str">
        <f t="shared" si="8"/>
        <v/>
      </c>
      <c r="Q164" s="208" t="str">
        <f t="shared" si="6"/>
        <v/>
      </c>
      <c r="R164" s="208"/>
      <c r="S164" s="323" t="str">
        <f t="shared" si="7"/>
        <v/>
      </c>
      <c r="U164" s="322"/>
      <c r="V164" s="791"/>
      <c r="W164" s="792"/>
      <c r="X164" s="480"/>
      <c r="Y164" s="480"/>
      <c r="Z164" s="480"/>
      <c r="AA164" s="323"/>
      <c r="AB164" s="220"/>
      <c r="AC164" s="322"/>
      <c r="AD164" s="323"/>
      <c r="AE164" s="220"/>
      <c r="AF164" s="324"/>
      <c r="AG164" s="208"/>
      <c r="AH164" s="208"/>
      <c r="AI164" s="208"/>
      <c r="AJ164" s="208"/>
      <c r="AK164" s="208"/>
      <c r="AL164" s="208"/>
      <c r="AM164" s="208"/>
      <c r="AN164" s="208"/>
      <c r="AO164" s="208"/>
      <c r="AP164" s="208"/>
      <c r="AQ164" s="208"/>
      <c r="AR164" s="208"/>
      <c r="AS164" s="208"/>
      <c r="AT164" s="208"/>
      <c r="AU164" s="208"/>
      <c r="AV164" s="208"/>
      <c r="AW164" s="208">
        <v>411.8</v>
      </c>
      <c r="AX164" s="208">
        <v>15828.69493</v>
      </c>
      <c r="AY164" s="208">
        <v>203.58838</v>
      </c>
      <c r="AZ164" s="208">
        <v>111.05073</v>
      </c>
      <c r="BA164" s="208">
        <v>133.74426</v>
      </c>
      <c r="BB164" s="208">
        <v>1015.32095</v>
      </c>
      <c r="BC164" s="208">
        <v>38063.793389999999</v>
      </c>
      <c r="BD164" s="208">
        <v>2791.0221200000001</v>
      </c>
      <c r="BE164" s="208">
        <v>515.9982</v>
      </c>
      <c r="BF164" s="208">
        <v>302.10000000000002</v>
      </c>
      <c r="BG164" s="208">
        <v>180.39070000000001</v>
      </c>
      <c r="BH164" s="208"/>
      <c r="BI164" s="323"/>
    </row>
    <row r="165" spans="3:61" ht="15" customHeight="1">
      <c r="C165" s="325"/>
      <c r="D165" s="326"/>
      <c r="E165" s="311"/>
      <c r="F165" s="311"/>
      <c r="G165" s="311"/>
      <c r="H165" s="311"/>
      <c r="I165" s="311"/>
      <c r="J165" s="317"/>
      <c r="K165" s="312"/>
      <c r="L165" s="312"/>
      <c r="M165" s="312"/>
      <c r="N165" s="312"/>
      <c r="O165" s="312"/>
      <c r="P165" s="318" t="str">
        <f t="shared" si="8"/>
        <v/>
      </c>
      <c r="Q165" s="205" t="str">
        <f t="shared" si="6"/>
        <v/>
      </c>
      <c r="R165" s="205"/>
      <c r="S165" s="319" t="str">
        <f t="shared" si="7"/>
        <v/>
      </c>
      <c r="U165" s="318"/>
      <c r="V165" s="794"/>
      <c r="W165" s="795"/>
      <c r="X165" s="482"/>
      <c r="Y165" s="482"/>
      <c r="Z165" s="482"/>
      <c r="AA165" s="319"/>
      <c r="AB165" s="220"/>
      <c r="AC165" s="318"/>
      <c r="AD165" s="319"/>
      <c r="AE165" s="220"/>
      <c r="AF165" s="320"/>
      <c r="AG165" s="205"/>
      <c r="AH165" s="205"/>
      <c r="AI165" s="205"/>
      <c r="AJ165" s="205"/>
      <c r="AK165" s="205"/>
      <c r="AL165" s="205"/>
      <c r="AM165" s="205"/>
      <c r="AN165" s="205"/>
      <c r="AO165" s="205"/>
      <c r="AP165" s="205"/>
      <c r="AQ165" s="205"/>
      <c r="AR165" s="205"/>
      <c r="AS165" s="205"/>
      <c r="AT165" s="205"/>
      <c r="AU165" s="205"/>
      <c r="AV165" s="205"/>
      <c r="AW165" s="205">
        <v>417.9</v>
      </c>
      <c r="AX165" s="205">
        <v>15375.58711</v>
      </c>
      <c r="AY165" s="205">
        <v>202.90696</v>
      </c>
      <c r="AZ165" s="205">
        <v>110.47615</v>
      </c>
      <c r="BA165" s="205">
        <v>125.81668999999999</v>
      </c>
      <c r="BB165" s="205">
        <v>1003.3927200000001</v>
      </c>
      <c r="BC165" s="205">
        <v>38133.058069999999</v>
      </c>
      <c r="BD165" s="205">
        <v>2752.3213799999999</v>
      </c>
      <c r="BE165" s="205">
        <v>516.20911999999998</v>
      </c>
      <c r="BF165" s="205">
        <v>304.89999999999998</v>
      </c>
      <c r="BG165" s="205">
        <v>180.70892000000001</v>
      </c>
      <c r="BH165" s="205"/>
      <c r="BI165" s="319"/>
    </row>
    <row r="166" spans="3:61" ht="15" customHeight="1">
      <c r="C166" s="325"/>
      <c r="D166" s="326"/>
      <c r="E166" s="311"/>
      <c r="F166" s="311"/>
      <c r="G166" s="311"/>
      <c r="H166" s="311"/>
      <c r="I166" s="311"/>
      <c r="J166" s="317"/>
      <c r="K166" s="312"/>
      <c r="L166" s="312"/>
      <c r="M166" s="312"/>
      <c r="N166" s="312"/>
      <c r="O166" s="312"/>
      <c r="P166" s="322" t="str">
        <f t="shared" si="8"/>
        <v/>
      </c>
      <c r="Q166" s="208" t="str">
        <f t="shared" si="6"/>
        <v/>
      </c>
      <c r="R166" s="208"/>
      <c r="S166" s="323" t="str">
        <f t="shared" si="7"/>
        <v/>
      </c>
      <c r="U166" s="322"/>
      <c r="V166" s="791"/>
      <c r="W166" s="792"/>
      <c r="X166" s="480"/>
      <c r="Y166" s="480"/>
      <c r="Z166" s="480"/>
      <c r="AA166" s="323"/>
      <c r="AB166" s="220"/>
      <c r="AC166" s="322"/>
      <c r="AD166" s="323"/>
      <c r="AE166" s="220"/>
      <c r="AF166" s="324"/>
      <c r="AG166" s="208"/>
      <c r="AH166" s="208"/>
      <c r="AI166" s="208"/>
      <c r="AJ166" s="208"/>
      <c r="AK166" s="208"/>
      <c r="AL166" s="208"/>
      <c r="AM166" s="208"/>
      <c r="AN166" s="208"/>
      <c r="AO166" s="208"/>
      <c r="AP166" s="208"/>
      <c r="AQ166" s="208"/>
      <c r="AR166" s="208"/>
      <c r="AS166" s="208"/>
      <c r="AT166" s="208"/>
      <c r="AU166" s="208"/>
      <c r="AV166" s="208"/>
      <c r="AW166" s="208">
        <v>408.3</v>
      </c>
      <c r="AX166" s="208">
        <v>15253.90508</v>
      </c>
      <c r="AY166" s="208">
        <v>202.10157000000001</v>
      </c>
      <c r="AZ166" s="208">
        <v>113.0035</v>
      </c>
      <c r="BA166" s="208">
        <v>128.84523999999999</v>
      </c>
      <c r="BB166" s="208">
        <v>988.97654999999997</v>
      </c>
      <c r="BC166" s="208">
        <v>37544.808409999998</v>
      </c>
      <c r="BD166" s="208">
        <v>2756.5174200000001</v>
      </c>
      <c r="BE166" s="208">
        <v>536.59825000000001</v>
      </c>
      <c r="BF166" s="208">
        <v>304</v>
      </c>
      <c r="BG166" s="208">
        <v>178.35822999999999</v>
      </c>
      <c r="BH166" s="208"/>
      <c r="BI166" s="323"/>
    </row>
    <row r="167" spans="3:61" ht="15" customHeight="1">
      <c r="C167" s="325"/>
      <c r="D167" s="326"/>
      <c r="E167" s="311"/>
      <c r="F167" s="311"/>
      <c r="G167" s="311"/>
      <c r="H167" s="311"/>
      <c r="I167" s="311"/>
      <c r="J167" s="317"/>
      <c r="K167" s="312"/>
      <c r="L167" s="312"/>
      <c r="M167" s="312"/>
      <c r="N167" s="312"/>
      <c r="O167" s="312"/>
      <c r="P167" s="318" t="str">
        <f t="shared" si="8"/>
        <v/>
      </c>
      <c r="Q167" s="205" t="str">
        <f t="shared" si="6"/>
        <v/>
      </c>
      <c r="R167" s="205"/>
      <c r="S167" s="319" t="str">
        <f t="shared" si="7"/>
        <v/>
      </c>
      <c r="U167" s="318"/>
      <c r="V167" s="794"/>
      <c r="W167" s="795"/>
      <c r="X167" s="482"/>
      <c r="Y167" s="482"/>
      <c r="Z167" s="482"/>
      <c r="AA167" s="319"/>
      <c r="AB167" s="220"/>
      <c r="AC167" s="318"/>
      <c r="AD167" s="319"/>
      <c r="AE167" s="220"/>
      <c r="AF167" s="320"/>
      <c r="AG167" s="205"/>
      <c r="AH167" s="205"/>
      <c r="AI167" s="205"/>
      <c r="AJ167" s="205"/>
      <c r="AK167" s="205"/>
      <c r="AL167" s="205"/>
      <c r="AM167" s="205"/>
      <c r="AN167" s="205"/>
      <c r="AO167" s="205"/>
      <c r="AP167" s="205"/>
      <c r="AQ167" s="205"/>
      <c r="AR167" s="205"/>
      <c r="AS167" s="205"/>
      <c r="AT167" s="205"/>
      <c r="AU167" s="205"/>
      <c r="AV167" s="205"/>
      <c r="AW167" s="205">
        <v>411.5</v>
      </c>
      <c r="AX167" s="205">
        <v>15157.89474</v>
      </c>
      <c r="AY167" s="205">
        <v>208.38416000000001</v>
      </c>
      <c r="AZ167" s="205">
        <v>111.39474</v>
      </c>
      <c r="BA167" s="205">
        <v>124.58167</v>
      </c>
      <c r="BB167" s="205">
        <v>989.21051</v>
      </c>
      <c r="BC167" s="205">
        <v>37644.739020000001</v>
      </c>
      <c r="BD167" s="205">
        <v>2794.18433</v>
      </c>
      <c r="BE167" s="205">
        <v>538.48474999999996</v>
      </c>
      <c r="BF167" s="205">
        <v>305</v>
      </c>
      <c r="BG167" s="205">
        <v>176.67771999999999</v>
      </c>
      <c r="BH167" s="205"/>
      <c r="BI167" s="319"/>
    </row>
    <row r="168" spans="3:61" ht="15" customHeight="1">
      <c r="C168" s="325"/>
      <c r="D168" s="326"/>
      <c r="E168" s="311"/>
      <c r="F168" s="311"/>
      <c r="G168" s="311"/>
      <c r="H168" s="311"/>
      <c r="I168" s="311"/>
      <c r="J168" s="317"/>
      <c r="K168" s="312"/>
      <c r="L168" s="312"/>
      <c r="M168" s="312"/>
      <c r="N168" s="312"/>
      <c r="O168" s="312"/>
      <c r="P168" s="322" t="str">
        <f t="shared" si="8"/>
        <v/>
      </c>
      <c r="Q168" s="208" t="str">
        <f t="shared" si="6"/>
        <v/>
      </c>
      <c r="R168" s="208"/>
      <c r="S168" s="323" t="str">
        <f t="shared" si="7"/>
        <v/>
      </c>
      <c r="U168" s="322"/>
      <c r="V168" s="791"/>
      <c r="W168" s="792"/>
      <c r="X168" s="480"/>
      <c r="Y168" s="480"/>
      <c r="Z168" s="480"/>
      <c r="AA168" s="323"/>
      <c r="AB168" s="220"/>
      <c r="AC168" s="322"/>
      <c r="AD168" s="323"/>
      <c r="AE168" s="220"/>
      <c r="AF168" s="324"/>
      <c r="AG168" s="208"/>
      <c r="AH168" s="208"/>
      <c r="AI168" s="208"/>
      <c r="AJ168" s="208"/>
      <c r="AK168" s="208"/>
      <c r="AL168" s="208"/>
      <c r="AM168" s="208"/>
      <c r="AN168" s="208"/>
      <c r="AO168" s="208"/>
      <c r="AP168" s="208"/>
      <c r="AQ168" s="208"/>
      <c r="AR168" s="208"/>
      <c r="AS168" s="208"/>
      <c r="AT168" s="208"/>
      <c r="AU168" s="208"/>
      <c r="AV168" s="208"/>
      <c r="AW168" s="208">
        <v>420</v>
      </c>
      <c r="AX168" s="208">
        <v>15313.02478</v>
      </c>
      <c r="AY168" s="208">
        <v>203.14435</v>
      </c>
      <c r="AZ168" s="208">
        <v>109.36749</v>
      </c>
      <c r="BA168" s="208">
        <v>123.09238000000001</v>
      </c>
      <c r="BB168" s="208">
        <v>989.59046000000001</v>
      </c>
      <c r="BC168" s="208">
        <v>38364.230530000001</v>
      </c>
      <c r="BD168" s="208">
        <v>2878.0917300000001</v>
      </c>
      <c r="BE168" s="208">
        <v>529.96415999999999</v>
      </c>
      <c r="BF168" s="208">
        <v>309.3</v>
      </c>
      <c r="BG168" s="208">
        <v>176.72103999999999</v>
      </c>
      <c r="BH168" s="208"/>
      <c r="BI168" s="323"/>
    </row>
    <row r="169" spans="3:61" ht="15" customHeight="1">
      <c r="C169" s="325"/>
      <c r="D169" s="326"/>
      <c r="E169" s="311"/>
      <c r="F169" s="311"/>
      <c r="G169" s="311"/>
      <c r="H169" s="311"/>
      <c r="I169" s="311"/>
      <c r="J169" s="317"/>
      <c r="K169" s="312"/>
      <c r="L169" s="312"/>
      <c r="M169" s="312"/>
      <c r="N169" s="312"/>
      <c r="O169" s="312"/>
      <c r="P169" s="318" t="str">
        <f t="shared" si="8"/>
        <v/>
      </c>
      <c r="Q169" s="205" t="str">
        <f t="shared" si="6"/>
        <v/>
      </c>
      <c r="R169" s="205"/>
      <c r="S169" s="319" t="str">
        <f t="shared" si="7"/>
        <v/>
      </c>
      <c r="U169" s="318"/>
      <c r="V169" s="794"/>
      <c r="W169" s="795"/>
      <c r="X169" s="482"/>
      <c r="Y169" s="482"/>
      <c r="Z169" s="482"/>
      <c r="AA169" s="319"/>
      <c r="AB169" s="220"/>
      <c r="AC169" s="318"/>
      <c r="AD169" s="319"/>
      <c r="AE169" s="220"/>
      <c r="AF169" s="320"/>
      <c r="AG169" s="205"/>
      <c r="AH169" s="205"/>
      <c r="AI169" s="205"/>
      <c r="AJ169" s="205"/>
      <c r="AK169" s="205"/>
      <c r="AL169" s="205"/>
      <c r="AM169" s="205"/>
      <c r="AN169" s="205"/>
      <c r="AO169" s="205"/>
      <c r="AP169" s="205"/>
      <c r="AQ169" s="205"/>
      <c r="AR169" s="205"/>
      <c r="AS169" s="205"/>
      <c r="AT169" s="205"/>
      <c r="AU169" s="205"/>
      <c r="AV169" s="205"/>
      <c r="AW169" s="205">
        <v>416.5</v>
      </c>
      <c r="AX169" s="205">
        <v>15430.169529999999</v>
      </c>
      <c r="AY169" s="205">
        <v>201.84433000000001</v>
      </c>
      <c r="AZ169" s="205">
        <v>101.0304</v>
      </c>
      <c r="BA169" s="205">
        <v>117.37063999999999</v>
      </c>
      <c r="BB169" s="205">
        <v>989.04281000000003</v>
      </c>
      <c r="BC169" s="205">
        <v>38285.712390000001</v>
      </c>
      <c r="BD169" s="205">
        <v>2870.0350899999999</v>
      </c>
      <c r="BE169" s="205">
        <v>519.11512000000005</v>
      </c>
      <c r="BF169" s="205">
        <v>308.5</v>
      </c>
      <c r="BG169" s="205">
        <v>172.06608</v>
      </c>
      <c r="BH169" s="205"/>
      <c r="BI169" s="319"/>
    </row>
    <row r="170" spans="3:61" ht="15" customHeight="1">
      <c r="C170" s="325"/>
      <c r="D170" s="326"/>
      <c r="E170" s="311"/>
      <c r="F170" s="311"/>
      <c r="G170" s="311"/>
      <c r="H170" s="311"/>
      <c r="I170" s="311"/>
      <c r="J170" s="317"/>
      <c r="K170" s="312"/>
      <c r="L170" s="312"/>
      <c r="M170" s="312"/>
      <c r="N170" s="312"/>
      <c r="O170" s="312"/>
      <c r="P170" s="322" t="str">
        <f t="shared" si="8"/>
        <v/>
      </c>
      <c r="Q170" s="208" t="str">
        <f t="shared" si="6"/>
        <v/>
      </c>
      <c r="R170" s="208"/>
      <c r="S170" s="323" t="str">
        <f t="shared" si="7"/>
        <v/>
      </c>
      <c r="U170" s="322"/>
      <c r="V170" s="791"/>
      <c r="W170" s="792"/>
      <c r="X170" s="480"/>
      <c r="Y170" s="480"/>
      <c r="Z170" s="480"/>
      <c r="AA170" s="323"/>
      <c r="AB170" s="220"/>
      <c r="AC170" s="322"/>
      <c r="AD170" s="323"/>
      <c r="AE170" s="220"/>
      <c r="AF170" s="324"/>
      <c r="AG170" s="208"/>
      <c r="AH170" s="208"/>
      <c r="AI170" s="208"/>
      <c r="AJ170" s="208"/>
      <c r="AK170" s="208"/>
      <c r="AL170" s="208"/>
      <c r="AM170" s="208"/>
      <c r="AN170" s="208"/>
      <c r="AO170" s="208"/>
      <c r="AP170" s="208"/>
      <c r="AQ170" s="208"/>
      <c r="AR170" s="208"/>
      <c r="AS170" s="208"/>
      <c r="AT170" s="208"/>
      <c r="AU170" s="208"/>
      <c r="AV170" s="208"/>
      <c r="AW170" s="208">
        <v>408.5</v>
      </c>
      <c r="AX170" s="208">
        <v>15176.40741</v>
      </c>
      <c r="AY170" s="208">
        <v>199.95070999999999</v>
      </c>
      <c r="AZ170" s="208">
        <v>100.35947</v>
      </c>
      <c r="BA170" s="208">
        <v>114.01006</v>
      </c>
      <c r="BB170" s="208">
        <v>991.74127999999996</v>
      </c>
      <c r="BC170" s="208">
        <v>37642.742919999997</v>
      </c>
      <c r="BD170" s="208">
        <v>2810.22336</v>
      </c>
      <c r="BE170" s="208">
        <v>509.92525000000001</v>
      </c>
      <c r="BF170" s="208">
        <v>304.3</v>
      </c>
      <c r="BG170" s="208">
        <v>171.09431000000001</v>
      </c>
      <c r="BH170" s="208"/>
      <c r="BI170" s="323"/>
    </row>
    <row r="171" spans="3:61" ht="15" customHeight="1">
      <c r="C171" s="325"/>
      <c r="D171" s="326"/>
      <c r="E171" s="311"/>
      <c r="F171" s="311"/>
      <c r="G171" s="311"/>
      <c r="H171" s="311"/>
      <c r="I171" s="311"/>
      <c r="J171" s="317"/>
      <c r="K171" s="312"/>
      <c r="L171" s="312"/>
      <c r="M171" s="312"/>
      <c r="N171" s="312"/>
      <c r="O171" s="312"/>
      <c r="P171" s="318" t="str">
        <f t="shared" si="8"/>
        <v/>
      </c>
      <c r="Q171" s="205" t="str">
        <f t="shared" si="6"/>
        <v/>
      </c>
      <c r="R171" s="205"/>
      <c r="S171" s="319" t="str">
        <f t="shared" si="7"/>
        <v/>
      </c>
      <c r="U171" s="318"/>
      <c r="V171" s="794"/>
      <c r="W171" s="795"/>
      <c r="X171" s="482"/>
      <c r="Y171" s="482"/>
      <c r="Z171" s="482"/>
      <c r="AA171" s="319"/>
      <c r="AB171" s="220"/>
      <c r="AC171" s="318"/>
      <c r="AD171" s="319"/>
      <c r="AE171" s="220"/>
      <c r="AF171" s="320"/>
      <c r="AG171" s="205"/>
      <c r="AH171" s="205"/>
      <c r="AI171" s="205"/>
      <c r="AJ171" s="205"/>
      <c r="AK171" s="205"/>
      <c r="AL171" s="205"/>
      <c r="AM171" s="205"/>
      <c r="AN171" s="205"/>
      <c r="AO171" s="205"/>
      <c r="AP171" s="205"/>
      <c r="AQ171" s="205"/>
      <c r="AR171" s="205"/>
      <c r="AS171" s="205"/>
      <c r="AT171" s="205"/>
      <c r="AU171" s="205"/>
      <c r="AV171" s="205"/>
      <c r="AW171" s="205">
        <v>410.1</v>
      </c>
      <c r="AX171" s="205">
        <v>15154.26468</v>
      </c>
      <c r="AY171" s="205">
        <v>199.11484999999999</v>
      </c>
      <c r="AZ171" s="205">
        <v>95.253119999999996</v>
      </c>
      <c r="BA171" s="205">
        <v>111.50528</v>
      </c>
      <c r="BB171" s="205">
        <v>993.27482999999995</v>
      </c>
      <c r="BC171" s="205">
        <v>37480.562140000002</v>
      </c>
      <c r="BD171" s="205">
        <v>2786.3910799999999</v>
      </c>
      <c r="BE171" s="205">
        <v>498.20699000000002</v>
      </c>
      <c r="BF171" s="205">
        <v>304.3</v>
      </c>
      <c r="BG171" s="205">
        <v>167.75990999999999</v>
      </c>
      <c r="BH171" s="205"/>
      <c r="BI171" s="319"/>
    </row>
    <row r="172" spans="3:61" ht="15" customHeight="1">
      <c r="C172" s="325"/>
      <c r="D172" s="326"/>
      <c r="E172" s="311"/>
      <c r="F172" s="311"/>
      <c r="G172" s="311"/>
      <c r="H172" s="311"/>
      <c r="I172" s="311"/>
      <c r="J172" s="317"/>
      <c r="K172" s="312"/>
      <c r="L172" s="312"/>
      <c r="M172" s="312"/>
      <c r="N172" s="312"/>
      <c r="O172" s="312"/>
      <c r="P172" s="322" t="str">
        <f t="shared" si="8"/>
        <v/>
      </c>
      <c r="Q172" s="208" t="str">
        <f t="shared" si="6"/>
        <v/>
      </c>
      <c r="R172" s="208"/>
      <c r="S172" s="323" t="str">
        <f t="shared" si="7"/>
        <v/>
      </c>
      <c r="U172" s="322"/>
      <c r="V172" s="791"/>
      <c r="W172" s="792"/>
      <c r="X172" s="480"/>
      <c r="Y172" s="480"/>
      <c r="Z172" s="480"/>
      <c r="AA172" s="323"/>
      <c r="AB172" s="220"/>
      <c r="AC172" s="322"/>
      <c r="AD172" s="323"/>
      <c r="AE172" s="220"/>
      <c r="AF172" s="324"/>
      <c r="AG172" s="208"/>
      <c r="AH172" s="208"/>
      <c r="AI172" s="208"/>
      <c r="AJ172" s="208"/>
      <c r="AK172" s="208"/>
      <c r="AL172" s="208"/>
      <c r="AM172" s="208"/>
      <c r="AN172" s="208"/>
      <c r="AO172" s="208"/>
      <c r="AP172" s="208"/>
      <c r="AQ172" s="208"/>
      <c r="AR172" s="208"/>
      <c r="AS172" s="208"/>
      <c r="AT172" s="208"/>
      <c r="AU172" s="208"/>
      <c r="AV172" s="208"/>
      <c r="AW172" s="208">
        <v>411.1</v>
      </c>
      <c r="AX172" s="208">
        <v>14894.21257</v>
      </c>
      <c r="AY172" s="208">
        <v>200.15662</v>
      </c>
      <c r="AZ172" s="208">
        <v>89.909459999999996</v>
      </c>
      <c r="BA172" s="208">
        <v>105.96029</v>
      </c>
      <c r="BB172" s="208">
        <v>989.79277000000002</v>
      </c>
      <c r="BC172" s="208">
        <v>37972.224150000002</v>
      </c>
      <c r="BD172" s="208">
        <v>2878.68012</v>
      </c>
      <c r="BE172" s="208">
        <v>502.78017</v>
      </c>
      <c r="BF172" s="208">
        <v>306</v>
      </c>
      <c r="BG172" s="208">
        <v>167.23419999999999</v>
      </c>
      <c r="BH172" s="208"/>
      <c r="BI172" s="323"/>
    </row>
    <row r="173" spans="3:61" ht="15" customHeight="1">
      <c r="C173" s="325"/>
      <c r="D173" s="326"/>
      <c r="E173" s="311"/>
      <c r="F173" s="311"/>
      <c r="G173" s="311"/>
      <c r="H173" s="311"/>
      <c r="I173" s="311"/>
      <c r="J173" s="317"/>
      <c r="K173" s="312"/>
      <c r="L173" s="312"/>
      <c r="M173" s="312"/>
      <c r="N173" s="312"/>
      <c r="O173" s="312"/>
      <c r="P173" s="318" t="str">
        <f t="shared" si="8"/>
        <v/>
      </c>
      <c r="Q173" s="205" t="str">
        <f t="shared" si="6"/>
        <v/>
      </c>
      <c r="R173" s="205"/>
      <c r="S173" s="319" t="str">
        <f t="shared" si="7"/>
        <v/>
      </c>
      <c r="U173" s="318"/>
      <c r="V173" s="794"/>
      <c r="W173" s="795"/>
      <c r="X173" s="482"/>
      <c r="Y173" s="482"/>
      <c r="Z173" s="482"/>
      <c r="AA173" s="319"/>
      <c r="AB173" s="220"/>
      <c r="AC173" s="318"/>
      <c r="AD173" s="319"/>
      <c r="AE173" s="220"/>
      <c r="AF173" s="320"/>
      <c r="AG173" s="205"/>
      <c r="AH173" s="205"/>
      <c r="AI173" s="205"/>
      <c r="AJ173" s="205"/>
      <c r="AK173" s="205"/>
      <c r="AL173" s="205"/>
      <c r="AM173" s="205"/>
      <c r="AN173" s="205"/>
      <c r="AO173" s="205"/>
      <c r="AP173" s="205"/>
      <c r="AQ173" s="205"/>
      <c r="AR173" s="205"/>
      <c r="AS173" s="205"/>
      <c r="AT173" s="205"/>
      <c r="AU173" s="205"/>
      <c r="AV173" s="205"/>
      <c r="AW173" s="205">
        <v>397.4</v>
      </c>
      <c r="AX173" s="205">
        <v>14921.043589999999</v>
      </c>
      <c r="AY173" s="205">
        <v>202.11224000000001</v>
      </c>
      <c r="AZ173" s="205">
        <v>87.267300000000006</v>
      </c>
      <c r="BA173" s="205">
        <v>103.5147</v>
      </c>
      <c r="BB173" s="205">
        <v>994.73625000000004</v>
      </c>
      <c r="BC173" s="205">
        <v>37617.79567</v>
      </c>
      <c r="BD173" s="205">
        <v>2853.0302700000002</v>
      </c>
      <c r="BE173" s="205">
        <v>496.86511999999999</v>
      </c>
      <c r="BF173" s="205">
        <v>302.8</v>
      </c>
      <c r="BG173" s="205">
        <v>167.72582</v>
      </c>
      <c r="BH173" s="205"/>
      <c r="BI173" s="319"/>
    </row>
    <row r="174" spans="3:61" ht="15" customHeight="1">
      <c r="C174" s="325"/>
      <c r="D174" s="326"/>
      <c r="E174" s="311"/>
      <c r="F174" s="311"/>
      <c r="G174" s="311"/>
      <c r="H174" s="311"/>
      <c r="I174" s="311"/>
      <c r="J174" s="317"/>
      <c r="K174" s="312"/>
      <c r="L174" s="312"/>
      <c r="M174" s="312"/>
      <c r="N174" s="312"/>
      <c r="O174" s="312"/>
      <c r="P174" s="322" t="str">
        <f t="shared" si="8"/>
        <v/>
      </c>
      <c r="Q174" s="208" t="str">
        <f t="shared" si="6"/>
        <v/>
      </c>
      <c r="R174" s="208"/>
      <c r="S174" s="323" t="str">
        <f t="shared" si="7"/>
        <v/>
      </c>
      <c r="U174" s="322"/>
      <c r="V174" s="791"/>
      <c r="W174" s="792"/>
      <c r="X174" s="480"/>
      <c r="Y174" s="480"/>
      <c r="Z174" s="480"/>
      <c r="AA174" s="323"/>
      <c r="AB174" s="220"/>
      <c r="AC174" s="322"/>
      <c r="AD174" s="323"/>
      <c r="AE174" s="220"/>
      <c r="AF174" s="324"/>
      <c r="AG174" s="208"/>
      <c r="AH174" s="208"/>
      <c r="AI174" s="208"/>
      <c r="AJ174" s="208"/>
      <c r="AK174" s="208"/>
      <c r="AL174" s="208"/>
      <c r="AM174" s="208"/>
      <c r="AN174" s="208"/>
      <c r="AO174" s="208"/>
      <c r="AP174" s="208"/>
      <c r="AQ174" s="208"/>
      <c r="AR174" s="208"/>
      <c r="AS174" s="208"/>
      <c r="AT174" s="208"/>
      <c r="AU174" s="208"/>
      <c r="AV174" s="208"/>
      <c r="AW174" s="208">
        <v>398</v>
      </c>
      <c r="AX174" s="208">
        <v>14702.63473</v>
      </c>
      <c r="AY174" s="208">
        <v>190.57123999999999</v>
      </c>
      <c r="AZ174" s="208">
        <v>84.287689999999998</v>
      </c>
      <c r="BA174" s="208">
        <v>92.04777</v>
      </c>
      <c r="BB174" s="208">
        <v>995.15134999999998</v>
      </c>
      <c r="BC174" s="208">
        <v>37308.207340000001</v>
      </c>
      <c r="BD174" s="208">
        <v>2816.5606400000001</v>
      </c>
      <c r="BE174" s="208">
        <v>488.19650999999999</v>
      </c>
      <c r="BF174" s="208">
        <v>299.8</v>
      </c>
      <c r="BG174" s="208">
        <v>158.95622</v>
      </c>
      <c r="BH174" s="208"/>
      <c r="BI174" s="323"/>
    </row>
    <row r="175" spans="3:61" ht="15" customHeight="1">
      <c r="C175" s="325"/>
      <c r="D175" s="326"/>
      <c r="E175" s="311"/>
      <c r="F175" s="311"/>
      <c r="G175" s="311"/>
      <c r="H175" s="311"/>
      <c r="I175" s="311"/>
      <c r="J175" s="317"/>
      <c r="K175" s="312"/>
      <c r="L175" s="312"/>
      <c r="M175" s="312"/>
      <c r="N175" s="312"/>
      <c r="O175" s="312"/>
      <c r="P175" s="318" t="str">
        <f t="shared" si="8"/>
        <v/>
      </c>
      <c r="Q175" s="205" t="str">
        <f t="shared" si="6"/>
        <v/>
      </c>
      <c r="R175" s="205"/>
      <c r="S175" s="319" t="str">
        <f t="shared" si="7"/>
        <v/>
      </c>
      <c r="U175" s="318"/>
      <c r="V175" s="794"/>
      <c r="W175" s="795"/>
      <c r="X175" s="482"/>
      <c r="Y175" s="482"/>
      <c r="Z175" s="482"/>
      <c r="AA175" s="319"/>
      <c r="AB175" s="220"/>
      <c r="AC175" s="318"/>
      <c r="AD175" s="319"/>
      <c r="AE175" s="220"/>
      <c r="AF175" s="320"/>
      <c r="AG175" s="205"/>
      <c r="AH175" s="205"/>
      <c r="AI175" s="205"/>
      <c r="AJ175" s="205"/>
      <c r="AK175" s="205"/>
      <c r="AL175" s="205"/>
      <c r="AM175" s="205"/>
      <c r="AN175" s="205"/>
      <c r="AO175" s="205"/>
      <c r="AP175" s="205"/>
      <c r="AQ175" s="205"/>
      <c r="AR175" s="205"/>
      <c r="AS175" s="205"/>
      <c r="AT175" s="205"/>
      <c r="AU175" s="205"/>
      <c r="AV175" s="205"/>
      <c r="AW175" s="205">
        <v>405.4</v>
      </c>
      <c r="AX175" s="205">
        <v>14784.662700000001</v>
      </c>
      <c r="AY175" s="205">
        <v>182.95340999999999</v>
      </c>
      <c r="AZ175" s="205">
        <v>80.354879999999994</v>
      </c>
      <c r="BA175" s="205">
        <v>82.820769999999996</v>
      </c>
      <c r="BB175" s="205">
        <v>995.70178999999996</v>
      </c>
      <c r="BC175" s="205">
        <v>37420.459869999999</v>
      </c>
      <c r="BD175" s="205">
        <v>2838.5441700000001</v>
      </c>
      <c r="BE175" s="205">
        <v>484.74711000000002</v>
      </c>
      <c r="BF175" s="205">
        <v>298.60000000000002</v>
      </c>
      <c r="BG175" s="205">
        <v>154.07514</v>
      </c>
      <c r="BH175" s="205"/>
      <c r="BI175" s="319"/>
    </row>
    <row r="176" spans="3:61" ht="15" customHeight="1">
      <c r="C176" s="325"/>
      <c r="D176" s="326"/>
      <c r="E176" s="311"/>
      <c r="F176" s="311"/>
      <c r="G176" s="311"/>
      <c r="H176" s="311"/>
      <c r="I176" s="311"/>
      <c r="J176" s="317"/>
      <c r="K176" s="312"/>
      <c r="L176" s="312"/>
      <c r="M176" s="312"/>
      <c r="N176" s="312"/>
      <c r="O176" s="312"/>
      <c r="P176" s="322" t="str">
        <f t="shared" si="8"/>
        <v/>
      </c>
      <c r="Q176" s="208" t="str">
        <f t="shared" si="6"/>
        <v/>
      </c>
      <c r="R176" s="208"/>
      <c r="S176" s="323" t="str">
        <f t="shared" si="7"/>
        <v/>
      </c>
      <c r="U176" s="322"/>
      <c r="V176" s="791"/>
      <c r="W176" s="792"/>
      <c r="X176" s="480"/>
      <c r="Y176" s="480"/>
      <c r="Z176" s="480"/>
      <c r="AA176" s="323"/>
      <c r="AB176" s="220"/>
      <c r="AC176" s="322"/>
      <c r="AD176" s="323"/>
      <c r="AE176" s="220"/>
      <c r="AF176" s="324"/>
      <c r="AG176" s="208"/>
      <c r="AH176" s="208"/>
      <c r="AI176" s="208"/>
      <c r="AJ176" s="208"/>
      <c r="AK176" s="208"/>
      <c r="AL176" s="208"/>
      <c r="AM176" s="208"/>
      <c r="AN176" s="208"/>
      <c r="AO176" s="208"/>
      <c r="AP176" s="208"/>
      <c r="AQ176" s="208"/>
      <c r="AR176" s="208"/>
      <c r="AS176" s="208"/>
      <c r="AT176" s="208"/>
      <c r="AU176" s="208"/>
      <c r="AV176" s="208"/>
      <c r="AW176" s="208">
        <v>401.8</v>
      </c>
      <c r="AX176" s="208">
        <v>14768.88495</v>
      </c>
      <c r="AY176" s="208">
        <v>188.99995000000001</v>
      </c>
      <c r="AZ176" s="208">
        <v>79.692509999999999</v>
      </c>
      <c r="BA176" s="208">
        <v>89.44632</v>
      </c>
      <c r="BB176" s="208">
        <v>994.37216999999998</v>
      </c>
      <c r="BC176" s="208">
        <v>37375.328520000003</v>
      </c>
      <c r="BD176" s="208">
        <v>2857.6700599999999</v>
      </c>
      <c r="BE176" s="208">
        <v>492.19092000000001</v>
      </c>
      <c r="BF176" s="208">
        <v>297.8</v>
      </c>
      <c r="BG176" s="208">
        <v>153.90861000000001</v>
      </c>
      <c r="BH176" s="208"/>
      <c r="BI176" s="323"/>
    </row>
    <row r="177" spans="3:61" ht="15" customHeight="1">
      <c r="C177" s="325"/>
      <c r="D177" s="326"/>
      <c r="E177" s="311"/>
      <c r="F177" s="311"/>
      <c r="G177" s="311"/>
      <c r="H177" s="311"/>
      <c r="I177" s="311"/>
      <c r="J177" s="317"/>
      <c r="K177" s="312"/>
      <c r="L177" s="312"/>
      <c r="M177" s="312"/>
      <c r="N177" s="312"/>
      <c r="O177" s="312"/>
      <c r="P177" s="318" t="str">
        <f t="shared" si="8"/>
        <v/>
      </c>
      <c r="Q177" s="205" t="str">
        <f t="shared" si="6"/>
        <v/>
      </c>
      <c r="R177" s="205"/>
      <c r="S177" s="319" t="str">
        <f t="shared" si="7"/>
        <v/>
      </c>
      <c r="U177" s="318"/>
      <c r="V177" s="794"/>
      <c r="W177" s="795"/>
      <c r="X177" s="482"/>
      <c r="Y177" s="482"/>
      <c r="Z177" s="482"/>
      <c r="AA177" s="319"/>
      <c r="AB177" s="220"/>
      <c r="AC177" s="318"/>
      <c r="AD177" s="319"/>
      <c r="AE177" s="220"/>
      <c r="AF177" s="320"/>
      <c r="AG177" s="205"/>
      <c r="AH177" s="205"/>
      <c r="AI177" s="205"/>
      <c r="AJ177" s="205"/>
      <c r="AK177" s="205"/>
      <c r="AL177" s="205"/>
      <c r="AM177" s="205"/>
      <c r="AN177" s="205"/>
      <c r="AO177" s="205"/>
      <c r="AP177" s="205"/>
      <c r="AQ177" s="205"/>
      <c r="AR177" s="205"/>
      <c r="AS177" s="205"/>
      <c r="AT177" s="205"/>
      <c r="AU177" s="205"/>
      <c r="AV177" s="205"/>
      <c r="AW177" s="205">
        <v>400.8</v>
      </c>
      <c r="AX177" s="205">
        <v>14973.600189999999</v>
      </c>
      <c r="AY177" s="205">
        <v>193.07686000000001</v>
      </c>
      <c r="AZ177" s="205">
        <v>80.476240000000004</v>
      </c>
      <c r="BA177" s="205">
        <v>91.118160000000003</v>
      </c>
      <c r="BB177" s="205">
        <v>985.95158000000004</v>
      </c>
      <c r="BC177" s="205">
        <v>33975.388700000003</v>
      </c>
      <c r="BD177" s="205">
        <v>2923.2642099999998</v>
      </c>
      <c r="BE177" s="205">
        <v>495.64478000000003</v>
      </c>
      <c r="BF177" s="205">
        <v>301.8</v>
      </c>
      <c r="BG177" s="205">
        <v>155.84219999999999</v>
      </c>
      <c r="BH177" s="205"/>
      <c r="BI177" s="319"/>
    </row>
    <row r="178" spans="3:61" ht="15" customHeight="1">
      <c r="C178" s="325"/>
      <c r="D178" s="326"/>
      <c r="E178" s="311"/>
      <c r="F178" s="311"/>
      <c r="G178" s="311"/>
      <c r="H178" s="311"/>
      <c r="I178" s="311"/>
      <c r="J178" s="317"/>
      <c r="K178" s="312"/>
      <c r="L178" s="312"/>
      <c r="M178" s="312"/>
      <c r="N178" s="312"/>
      <c r="O178" s="312"/>
      <c r="P178" s="322" t="str">
        <f t="shared" si="8"/>
        <v/>
      </c>
      <c r="Q178" s="208" t="str">
        <f t="shared" si="6"/>
        <v/>
      </c>
      <c r="R178" s="208"/>
      <c r="S178" s="323" t="str">
        <f t="shared" si="7"/>
        <v/>
      </c>
      <c r="U178" s="322"/>
      <c r="V178" s="791"/>
      <c r="W178" s="792"/>
      <c r="X178" s="480"/>
      <c r="Y178" s="480"/>
      <c r="Z178" s="480"/>
      <c r="AA178" s="323"/>
      <c r="AB178" s="220"/>
      <c r="AC178" s="322"/>
      <c r="AD178" s="323"/>
      <c r="AE178" s="220"/>
      <c r="AF178" s="324"/>
      <c r="AG178" s="208"/>
      <c r="AH178" s="208"/>
      <c r="AI178" s="208"/>
      <c r="AJ178" s="208"/>
      <c r="AK178" s="208"/>
      <c r="AL178" s="208"/>
      <c r="AM178" s="208"/>
      <c r="AN178" s="208"/>
      <c r="AO178" s="208"/>
      <c r="AP178" s="208"/>
      <c r="AQ178" s="208"/>
      <c r="AR178" s="208"/>
      <c r="AS178" s="208"/>
      <c r="AT178" s="208"/>
      <c r="AU178" s="208"/>
      <c r="AV178" s="208"/>
      <c r="AW178" s="208">
        <v>404.8</v>
      </c>
      <c r="AX178" s="208">
        <v>14973.84338</v>
      </c>
      <c r="AY178" s="208">
        <v>196.81593000000001</v>
      </c>
      <c r="AZ178" s="208">
        <v>79.139619999999994</v>
      </c>
      <c r="BA178" s="208">
        <v>96.634309999999999</v>
      </c>
      <c r="BB178" s="208">
        <v>984.54385000000002</v>
      </c>
      <c r="BC178" s="208">
        <v>34030.484109999998</v>
      </c>
      <c r="BD178" s="208">
        <v>2904.0322900000001</v>
      </c>
      <c r="BE178" s="208">
        <v>502.97537</v>
      </c>
      <c r="BF178" s="208">
        <v>305</v>
      </c>
      <c r="BG178" s="208">
        <v>153.41417999999999</v>
      </c>
      <c r="BH178" s="208"/>
      <c r="BI178" s="323"/>
    </row>
    <row r="179" spans="3:61" ht="15" customHeight="1">
      <c r="C179" s="325"/>
      <c r="D179" s="326"/>
      <c r="E179" s="311"/>
      <c r="F179" s="311"/>
      <c r="G179" s="311"/>
      <c r="H179" s="311"/>
      <c r="I179" s="311"/>
      <c r="J179" s="317"/>
      <c r="K179" s="312"/>
      <c r="L179" s="312"/>
      <c r="M179" s="312"/>
      <c r="N179" s="312"/>
      <c r="O179" s="312"/>
      <c r="P179" s="318" t="str">
        <f t="shared" si="8"/>
        <v/>
      </c>
      <c r="Q179" s="205" t="str">
        <f t="shared" si="6"/>
        <v/>
      </c>
      <c r="R179" s="205"/>
      <c r="S179" s="319" t="str">
        <f t="shared" si="7"/>
        <v/>
      </c>
      <c r="U179" s="318"/>
      <c r="V179" s="794"/>
      <c r="W179" s="795"/>
      <c r="X179" s="482"/>
      <c r="Y179" s="482"/>
      <c r="Z179" s="482"/>
      <c r="AA179" s="319"/>
      <c r="AB179" s="220"/>
      <c r="AC179" s="318"/>
      <c r="AD179" s="319"/>
      <c r="AE179" s="220"/>
      <c r="AF179" s="320"/>
      <c r="AG179" s="205"/>
      <c r="AH179" s="205"/>
      <c r="AI179" s="205"/>
      <c r="AJ179" s="205"/>
      <c r="AK179" s="205"/>
      <c r="AL179" s="205"/>
      <c r="AM179" s="205"/>
      <c r="AN179" s="205"/>
      <c r="AO179" s="205"/>
      <c r="AP179" s="205"/>
      <c r="AQ179" s="205"/>
      <c r="AR179" s="205"/>
      <c r="AS179" s="205"/>
      <c r="AT179" s="205"/>
      <c r="AU179" s="205"/>
      <c r="AV179" s="205"/>
      <c r="AW179" s="205">
        <v>411</v>
      </c>
      <c r="AX179" s="205">
        <v>15439.639380000001</v>
      </c>
      <c r="AY179" s="205">
        <v>202.03800000000001</v>
      </c>
      <c r="AZ179" s="205">
        <v>77.57114</v>
      </c>
      <c r="BA179" s="205">
        <v>101.90142</v>
      </c>
      <c r="BB179" s="205">
        <v>986.91211999999996</v>
      </c>
      <c r="BC179" s="205">
        <v>34386.75</v>
      </c>
      <c r="BD179" s="205">
        <v>2952.5709700000002</v>
      </c>
      <c r="BE179" s="205">
        <v>506.29948999999999</v>
      </c>
      <c r="BF179" s="205">
        <v>305.2</v>
      </c>
      <c r="BG179" s="205">
        <v>155.33584999999999</v>
      </c>
      <c r="BH179" s="205"/>
      <c r="BI179" s="319"/>
    </row>
    <row r="180" spans="3:61" ht="15" customHeight="1">
      <c r="C180" s="325"/>
      <c r="D180" s="326"/>
      <c r="E180" s="311"/>
      <c r="F180" s="311"/>
      <c r="G180" s="311"/>
      <c r="H180" s="311"/>
      <c r="I180" s="311"/>
      <c r="J180" s="317"/>
      <c r="K180" s="312"/>
      <c r="L180" s="312"/>
      <c r="M180" s="312"/>
      <c r="N180" s="312"/>
      <c r="O180" s="312"/>
      <c r="P180" s="322" t="str">
        <f t="shared" si="8"/>
        <v/>
      </c>
      <c r="Q180" s="208" t="str">
        <f t="shared" si="6"/>
        <v/>
      </c>
      <c r="R180" s="208"/>
      <c r="S180" s="323" t="str">
        <f t="shared" si="7"/>
        <v/>
      </c>
      <c r="U180" s="322"/>
      <c r="V180" s="791"/>
      <c r="W180" s="792"/>
      <c r="X180" s="480"/>
      <c r="Y180" s="480"/>
      <c r="Z180" s="480"/>
      <c r="AA180" s="323"/>
      <c r="AB180" s="220"/>
      <c r="AC180" s="322"/>
      <c r="AD180" s="323"/>
      <c r="AE180" s="220"/>
      <c r="AF180" s="324"/>
      <c r="AG180" s="208"/>
      <c r="AH180" s="208"/>
      <c r="AI180" s="208"/>
      <c r="AJ180" s="208"/>
      <c r="AK180" s="208"/>
      <c r="AL180" s="208"/>
      <c r="AM180" s="208"/>
      <c r="AN180" s="208"/>
      <c r="AO180" s="208"/>
      <c r="AP180" s="208"/>
      <c r="AQ180" s="208"/>
      <c r="AR180" s="208"/>
      <c r="AS180" s="208"/>
      <c r="AT180" s="208"/>
      <c r="AU180" s="208"/>
      <c r="AV180" s="208"/>
      <c r="AW180" s="208">
        <v>414.1</v>
      </c>
      <c r="AX180" s="208">
        <v>15570.211569999999</v>
      </c>
      <c r="AY180" s="208">
        <v>196.58492000000001</v>
      </c>
      <c r="AZ180" s="208">
        <v>78.949759999999998</v>
      </c>
      <c r="BA180" s="208">
        <v>102.23220999999999</v>
      </c>
      <c r="BB180" s="208">
        <v>986.87203999999997</v>
      </c>
      <c r="BC180" s="208">
        <v>34553.268170000003</v>
      </c>
      <c r="BD180" s="208">
        <v>2953.7101200000002</v>
      </c>
      <c r="BE180" s="208">
        <v>506.11117000000002</v>
      </c>
      <c r="BF180" s="208">
        <v>305.2</v>
      </c>
      <c r="BG180" s="208">
        <v>154.41304</v>
      </c>
      <c r="BH180" s="208"/>
      <c r="BI180" s="323"/>
    </row>
    <row r="181" spans="3:61" ht="15" customHeight="1">
      <c r="C181" s="325"/>
      <c r="D181" s="326"/>
      <c r="E181" s="311"/>
      <c r="F181" s="311"/>
      <c r="G181" s="311"/>
      <c r="H181" s="311"/>
      <c r="I181" s="311"/>
      <c r="J181" s="317"/>
      <c r="K181" s="312"/>
      <c r="L181" s="312"/>
      <c r="M181" s="312"/>
      <c r="N181" s="312"/>
      <c r="O181" s="312"/>
      <c r="P181" s="318" t="str">
        <f t="shared" si="8"/>
        <v/>
      </c>
      <c r="Q181" s="205" t="str">
        <f t="shared" si="6"/>
        <v/>
      </c>
      <c r="R181" s="205"/>
      <c r="S181" s="319" t="str">
        <f t="shared" si="7"/>
        <v/>
      </c>
      <c r="U181" s="318"/>
      <c r="V181" s="794"/>
      <c r="W181" s="795"/>
      <c r="X181" s="482"/>
      <c r="Y181" s="482"/>
      <c r="Z181" s="482"/>
      <c r="AA181" s="319"/>
      <c r="AB181" s="220"/>
      <c r="AC181" s="318"/>
      <c r="AD181" s="319"/>
      <c r="AE181" s="220"/>
      <c r="AF181" s="320"/>
      <c r="AG181" s="205"/>
      <c r="AH181" s="205"/>
      <c r="AI181" s="205"/>
      <c r="AJ181" s="205"/>
      <c r="AK181" s="205"/>
      <c r="AL181" s="205"/>
      <c r="AM181" s="205"/>
      <c r="AN181" s="205"/>
      <c r="AO181" s="205"/>
      <c r="AP181" s="205"/>
      <c r="AQ181" s="205"/>
      <c r="AR181" s="205"/>
      <c r="AS181" s="205"/>
      <c r="AT181" s="205"/>
      <c r="AU181" s="205"/>
      <c r="AV181" s="205"/>
      <c r="AW181" s="205">
        <v>416.7</v>
      </c>
      <c r="AX181" s="205">
        <v>15435.440039999999</v>
      </c>
      <c r="AY181" s="205">
        <v>197.81301999999999</v>
      </c>
      <c r="AZ181" s="205">
        <v>77.921930000000003</v>
      </c>
      <c r="BA181" s="205">
        <v>104.27826</v>
      </c>
      <c r="BB181" s="205">
        <v>987.35082</v>
      </c>
      <c r="BC181" s="205">
        <v>34553.268170000003</v>
      </c>
      <c r="BD181" s="205">
        <v>2953.7101200000002</v>
      </c>
      <c r="BE181" s="205">
        <v>506.11117000000002</v>
      </c>
      <c r="BF181" s="205">
        <v>305.2</v>
      </c>
      <c r="BG181" s="205">
        <v>154.41304</v>
      </c>
      <c r="BH181" s="205"/>
      <c r="BI181" s="319"/>
    </row>
    <row r="182" spans="3:61" ht="15" customHeight="1">
      <c r="C182" s="325"/>
      <c r="D182" s="326"/>
      <c r="E182" s="311"/>
      <c r="F182" s="311"/>
      <c r="G182" s="311"/>
      <c r="H182" s="311"/>
      <c r="I182" s="311"/>
      <c r="J182" s="317"/>
      <c r="K182" s="312"/>
      <c r="L182" s="312"/>
      <c r="M182" s="312"/>
      <c r="N182" s="312"/>
      <c r="O182" s="312"/>
      <c r="P182" s="322" t="str">
        <f t="shared" si="8"/>
        <v/>
      </c>
      <c r="Q182" s="208" t="str">
        <f t="shared" si="6"/>
        <v/>
      </c>
      <c r="R182" s="208"/>
      <c r="S182" s="323" t="str">
        <f t="shared" si="7"/>
        <v/>
      </c>
      <c r="U182" s="322"/>
      <c r="V182" s="791"/>
      <c r="W182" s="792"/>
      <c r="X182" s="480"/>
      <c r="Y182" s="480"/>
      <c r="Z182" s="480"/>
      <c r="AA182" s="323"/>
      <c r="AB182" s="220"/>
      <c r="AC182" s="322"/>
      <c r="AD182" s="323"/>
      <c r="AE182" s="220"/>
      <c r="AF182" s="324"/>
      <c r="AG182" s="208"/>
      <c r="AH182" s="208"/>
      <c r="AI182" s="208"/>
      <c r="AJ182" s="208"/>
      <c r="AK182" s="208"/>
      <c r="AL182" s="208"/>
      <c r="AM182" s="208"/>
      <c r="AN182" s="208"/>
      <c r="AO182" s="208"/>
      <c r="AP182" s="208"/>
      <c r="AQ182" s="208"/>
      <c r="AR182" s="208"/>
      <c r="AS182" s="208"/>
      <c r="AT182" s="208"/>
      <c r="AU182" s="208"/>
      <c r="AV182" s="208"/>
      <c r="AW182" s="208">
        <v>416.7</v>
      </c>
      <c r="AX182" s="208">
        <v>15435.440039999999</v>
      </c>
      <c r="AY182" s="208">
        <v>196.95138</v>
      </c>
      <c r="AZ182" s="208">
        <v>77.921930000000003</v>
      </c>
      <c r="BA182" s="208">
        <v>103.37719</v>
      </c>
      <c r="BB182" s="208">
        <v>987.35082</v>
      </c>
      <c r="BC182" s="208">
        <v>34553.268170000003</v>
      </c>
      <c r="BD182" s="208">
        <v>2953.7101200000002</v>
      </c>
      <c r="BE182" s="208">
        <v>506.11117000000002</v>
      </c>
      <c r="BF182" s="208">
        <v>305.2</v>
      </c>
      <c r="BG182" s="208">
        <v>154.41304</v>
      </c>
      <c r="BH182" s="208"/>
      <c r="BI182" s="323"/>
    </row>
    <row r="183" spans="3:61" ht="15" customHeight="1">
      <c r="C183" s="325"/>
      <c r="D183" s="326"/>
      <c r="E183" s="311"/>
      <c r="F183" s="311"/>
      <c r="G183" s="311"/>
      <c r="H183" s="311"/>
      <c r="I183" s="311"/>
      <c r="J183" s="317"/>
      <c r="K183" s="312"/>
      <c r="L183" s="312"/>
      <c r="M183" s="312"/>
      <c r="N183" s="312"/>
      <c r="O183" s="312"/>
      <c r="P183" s="318" t="str">
        <f t="shared" si="8"/>
        <v/>
      </c>
      <c r="Q183" s="205" t="str">
        <f t="shared" si="6"/>
        <v/>
      </c>
      <c r="R183" s="205"/>
      <c r="S183" s="319" t="str">
        <f t="shared" si="7"/>
        <v/>
      </c>
      <c r="U183" s="318"/>
      <c r="V183" s="794"/>
      <c r="W183" s="795"/>
      <c r="X183" s="482"/>
      <c r="Y183" s="482"/>
      <c r="Z183" s="482"/>
      <c r="AA183" s="319"/>
      <c r="AB183" s="220"/>
      <c r="AC183" s="318"/>
      <c r="AD183" s="319"/>
      <c r="AE183" s="220"/>
      <c r="AF183" s="320"/>
      <c r="AG183" s="205"/>
      <c r="AH183" s="205"/>
      <c r="AI183" s="205"/>
      <c r="AJ183" s="205"/>
      <c r="AK183" s="205"/>
      <c r="AL183" s="205"/>
      <c r="AM183" s="205"/>
      <c r="AN183" s="205"/>
      <c r="AO183" s="205"/>
      <c r="AP183" s="205"/>
      <c r="AQ183" s="205"/>
      <c r="AR183" s="205"/>
      <c r="AS183" s="205"/>
      <c r="AT183" s="205"/>
      <c r="AU183" s="205"/>
      <c r="AV183" s="205"/>
      <c r="AW183" s="205">
        <v>405.5</v>
      </c>
      <c r="AX183" s="205">
        <v>15346.349459999999</v>
      </c>
      <c r="AY183" s="205">
        <v>195.25157999999999</v>
      </c>
      <c r="AZ183" s="205">
        <v>71.752219999999994</v>
      </c>
      <c r="BA183" s="205">
        <v>97.553880000000007</v>
      </c>
      <c r="BB183" s="205">
        <v>987.67133000000001</v>
      </c>
      <c r="BC183" s="205">
        <v>34477.1469</v>
      </c>
      <c r="BD183" s="205">
        <v>2920.1977099999999</v>
      </c>
      <c r="BE183" s="205">
        <v>500.89010999999999</v>
      </c>
      <c r="BF183" s="205">
        <v>305.3</v>
      </c>
      <c r="BG183" s="205">
        <v>152.26299</v>
      </c>
      <c r="BH183" s="205"/>
      <c r="BI183" s="319"/>
    </row>
    <row r="184" spans="3:61" ht="15" customHeight="1">
      <c r="C184" s="325"/>
      <c r="D184" s="326"/>
      <c r="E184" s="311"/>
      <c r="F184" s="311"/>
      <c r="G184" s="311"/>
      <c r="H184" s="311"/>
      <c r="I184" s="311"/>
      <c r="J184" s="317"/>
      <c r="K184" s="312"/>
      <c r="L184" s="312"/>
      <c r="M184" s="312"/>
      <c r="N184" s="312"/>
      <c r="O184" s="312"/>
      <c r="P184" s="322" t="str">
        <f t="shared" si="8"/>
        <v/>
      </c>
      <c r="Q184" s="208" t="str">
        <f t="shared" si="6"/>
        <v/>
      </c>
      <c r="R184" s="208"/>
      <c r="S184" s="323" t="str">
        <f t="shared" si="7"/>
        <v/>
      </c>
      <c r="U184" s="322"/>
      <c r="V184" s="791"/>
      <c r="W184" s="792"/>
      <c r="X184" s="480"/>
      <c r="Y184" s="480"/>
      <c r="Z184" s="480"/>
      <c r="AA184" s="323"/>
      <c r="AB184" s="220"/>
      <c r="AC184" s="322"/>
      <c r="AD184" s="323"/>
      <c r="AE184" s="220"/>
      <c r="AF184" s="324"/>
      <c r="AG184" s="208"/>
      <c r="AH184" s="208"/>
      <c r="AI184" s="208"/>
      <c r="AJ184" s="208"/>
      <c r="AK184" s="208"/>
      <c r="AL184" s="208"/>
      <c r="AM184" s="208"/>
      <c r="AN184" s="208"/>
      <c r="AO184" s="208"/>
      <c r="AP184" s="208"/>
      <c r="AQ184" s="208"/>
      <c r="AR184" s="208"/>
      <c r="AS184" s="208"/>
      <c r="AT184" s="208"/>
      <c r="AU184" s="208"/>
      <c r="AV184" s="208"/>
      <c r="AW184" s="208">
        <v>402.4</v>
      </c>
      <c r="AX184" s="208">
        <v>15163.040800000001</v>
      </c>
      <c r="AY184" s="208">
        <v>195.08396999999999</v>
      </c>
      <c r="AZ184" s="208">
        <v>67.200280000000006</v>
      </c>
      <c r="BA184" s="208">
        <v>100.37153000000001</v>
      </c>
      <c r="BB184" s="208">
        <v>981.43672000000004</v>
      </c>
      <c r="BC184" s="208">
        <v>33954.108</v>
      </c>
      <c r="BD184" s="208">
        <v>2929.0728399999998</v>
      </c>
      <c r="BE184" s="208">
        <v>495.63056999999998</v>
      </c>
      <c r="BF184" s="208">
        <v>308.7</v>
      </c>
      <c r="BG184" s="208">
        <v>151.80772999999999</v>
      </c>
      <c r="BH184" s="208"/>
      <c r="BI184" s="323"/>
    </row>
    <row r="185" spans="3:61" ht="15" customHeight="1">
      <c r="C185" s="325"/>
      <c r="D185" s="326"/>
      <c r="E185" s="311"/>
      <c r="F185" s="311"/>
      <c r="G185" s="311"/>
      <c r="H185" s="311"/>
      <c r="I185" s="311"/>
      <c r="J185" s="317"/>
      <c r="K185" s="312"/>
      <c r="L185" s="312"/>
      <c r="M185" s="312"/>
      <c r="N185" s="312"/>
      <c r="O185" s="312"/>
      <c r="P185" s="318" t="str">
        <f t="shared" si="8"/>
        <v/>
      </c>
      <c r="Q185" s="205" t="str">
        <f t="shared" si="6"/>
        <v/>
      </c>
      <c r="R185" s="205"/>
      <c r="S185" s="319" t="str">
        <f t="shared" si="7"/>
        <v/>
      </c>
      <c r="U185" s="318"/>
      <c r="V185" s="794"/>
      <c r="W185" s="795"/>
      <c r="X185" s="482"/>
      <c r="Y185" s="482"/>
      <c r="Z185" s="482"/>
      <c r="AA185" s="319"/>
      <c r="AB185" s="220"/>
      <c r="AC185" s="318"/>
      <c r="AD185" s="319"/>
      <c r="AE185" s="220"/>
      <c r="AF185" s="320"/>
      <c r="AG185" s="205"/>
      <c r="AH185" s="205"/>
      <c r="AI185" s="205"/>
      <c r="AJ185" s="205"/>
      <c r="AK185" s="205"/>
      <c r="AL185" s="205"/>
      <c r="AM185" s="205"/>
      <c r="AN185" s="205"/>
      <c r="AO185" s="205"/>
      <c r="AP185" s="205"/>
      <c r="AQ185" s="205"/>
      <c r="AR185" s="205"/>
      <c r="AS185" s="205"/>
      <c r="AT185" s="205"/>
      <c r="AU185" s="205"/>
      <c r="AV185" s="205"/>
      <c r="AW185" s="205">
        <v>401.5</v>
      </c>
      <c r="AX185" s="205">
        <v>15430.780839999999</v>
      </c>
      <c r="AY185" s="205">
        <v>199.65508</v>
      </c>
      <c r="AZ185" s="205">
        <v>67.097110000000001</v>
      </c>
      <c r="BA185" s="205">
        <v>100.37153000000001</v>
      </c>
      <c r="BB185" s="205">
        <v>974.61653000000001</v>
      </c>
      <c r="BC185" s="205">
        <v>33954.108</v>
      </c>
      <c r="BD185" s="205">
        <v>2929.0728399999998</v>
      </c>
      <c r="BE185" s="205">
        <v>495.63056999999998</v>
      </c>
      <c r="BF185" s="205">
        <v>304.10000000000002</v>
      </c>
      <c r="BG185" s="205">
        <v>151.80772999999999</v>
      </c>
      <c r="BH185" s="205"/>
      <c r="BI185" s="319"/>
    </row>
    <row r="186" spans="3:61" ht="15" customHeight="1">
      <c r="C186" s="325"/>
      <c r="D186" s="326"/>
      <c r="E186" s="311"/>
      <c r="F186" s="311"/>
      <c r="G186" s="311"/>
      <c r="H186" s="311"/>
      <c r="I186" s="311"/>
      <c r="J186" s="317"/>
      <c r="K186" s="312"/>
      <c r="L186" s="312"/>
      <c r="M186" s="312"/>
      <c r="N186" s="312"/>
      <c r="O186" s="312"/>
      <c r="P186" s="322" t="str">
        <f t="shared" si="8"/>
        <v/>
      </c>
      <c r="Q186" s="208" t="str">
        <f t="shared" si="6"/>
        <v/>
      </c>
      <c r="R186" s="208"/>
      <c r="S186" s="323" t="str">
        <f t="shared" si="7"/>
        <v/>
      </c>
      <c r="U186" s="322"/>
      <c r="V186" s="791"/>
      <c r="W186" s="792"/>
      <c r="X186" s="480"/>
      <c r="Y186" s="480"/>
      <c r="Z186" s="480"/>
      <c r="AA186" s="323"/>
      <c r="AB186" s="220"/>
      <c r="AC186" s="322"/>
      <c r="AD186" s="323"/>
      <c r="AE186" s="220"/>
      <c r="AF186" s="324"/>
      <c r="AG186" s="208"/>
      <c r="AH186" s="208"/>
      <c r="AI186" s="208"/>
      <c r="AJ186" s="208"/>
      <c r="AK186" s="208"/>
      <c r="AL186" s="208"/>
      <c r="AM186" s="208"/>
      <c r="AN186" s="208"/>
      <c r="AO186" s="208"/>
      <c r="AP186" s="208"/>
      <c r="AQ186" s="208"/>
      <c r="AR186" s="208"/>
      <c r="AS186" s="208"/>
      <c r="AT186" s="208"/>
      <c r="AU186" s="208"/>
      <c r="AV186" s="208"/>
      <c r="AW186" s="208">
        <v>401</v>
      </c>
      <c r="AX186" s="208">
        <v>15435.731019999999</v>
      </c>
      <c r="AY186" s="208">
        <v>200.0685</v>
      </c>
      <c r="AZ186" s="208">
        <v>66.935090000000002</v>
      </c>
      <c r="BA186" s="208">
        <v>100.37153000000001</v>
      </c>
      <c r="BB186" s="208">
        <v>984.08653000000004</v>
      </c>
      <c r="BC186" s="208">
        <v>33954.108</v>
      </c>
      <c r="BD186" s="208">
        <v>2931.7724499999999</v>
      </c>
      <c r="BE186" s="208">
        <v>499.18545999999998</v>
      </c>
      <c r="BF186" s="208">
        <v>306.3</v>
      </c>
      <c r="BG186" s="208">
        <v>150.77698000000001</v>
      </c>
      <c r="BH186" s="208"/>
      <c r="BI186" s="323"/>
    </row>
    <row r="187" spans="3:61" ht="15" customHeight="1">
      <c r="C187" s="325"/>
      <c r="D187" s="326"/>
      <c r="E187" s="311"/>
      <c r="F187" s="311"/>
      <c r="G187" s="311"/>
      <c r="H187" s="311"/>
      <c r="I187" s="311"/>
      <c r="J187" s="317"/>
      <c r="K187" s="312"/>
      <c r="L187" s="312"/>
      <c r="M187" s="312"/>
      <c r="N187" s="312"/>
      <c r="O187" s="312"/>
      <c r="P187" s="318" t="str">
        <f t="shared" si="8"/>
        <v/>
      </c>
      <c r="Q187" s="205" t="str">
        <f t="shared" si="6"/>
        <v/>
      </c>
      <c r="R187" s="205"/>
      <c r="S187" s="319" t="str">
        <f t="shared" si="7"/>
        <v/>
      </c>
      <c r="U187" s="318"/>
      <c r="V187" s="794"/>
      <c r="W187" s="795"/>
      <c r="X187" s="482"/>
      <c r="Y187" s="482"/>
      <c r="Z187" s="482"/>
      <c r="AA187" s="319"/>
      <c r="AB187" s="220"/>
      <c r="AC187" s="318"/>
      <c r="AD187" s="319"/>
      <c r="AE187" s="220"/>
      <c r="AF187" s="320"/>
      <c r="AG187" s="205"/>
      <c r="AH187" s="205"/>
      <c r="AI187" s="205"/>
      <c r="AJ187" s="205"/>
      <c r="AK187" s="205"/>
      <c r="AL187" s="205"/>
      <c r="AM187" s="205"/>
      <c r="AN187" s="205"/>
      <c r="AO187" s="205"/>
      <c r="AP187" s="205"/>
      <c r="AQ187" s="205"/>
      <c r="AR187" s="205"/>
      <c r="AS187" s="205"/>
      <c r="AT187" s="205"/>
      <c r="AU187" s="205"/>
      <c r="AV187" s="205"/>
      <c r="AW187" s="205">
        <v>392.4</v>
      </c>
      <c r="AX187" s="205">
        <v>15465.6016</v>
      </c>
      <c r="AY187" s="205">
        <v>203.77018000000001</v>
      </c>
      <c r="AZ187" s="205">
        <v>67.578810000000004</v>
      </c>
      <c r="BA187" s="205">
        <v>99.49333</v>
      </c>
      <c r="BB187" s="205">
        <v>985.49162999999999</v>
      </c>
      <c r="BC187" s="205">
        <v>33366.433010000001</v>
      </c>
      <c r="BD187" s="205">
        <v>2881.3787299999999</v>
      </c>
      <c r="BE187" s="205">
        <v>501.37945999999999</v>
      </c>
      <c r="BF187" s="205">
        <v>304.60000000000002</v>
      </c>
      <c r="BG187" s="205">
        <v>149.35324</v>
      </c>
      <c r="BH187" s="205"/>
      <c r="BI187" s="319"/>
    </row>
    <row r="188" spans="3:61" ht="15" customHeight="1">
      <c r="C188" s="325"/>
      <c r="D188" s="326"/>
      <c r="E188" s="311"/>
      <c r="F188" s="311"/>
      <c r="G188" s="311"/>
      <c r="H188" s="311"/>
      <c r="I188" s="311"/>
      <c r="J188" s="317"/>
      <c r="K188" s="312"/>
      <c r="L188" s="312"/>
      <c r="M188" s="312"/>
      <c r="N188" s="312"/>
      <c r="O188" s="312"/>
      <c r="P188" s="322" t="str">
        <f t="shared" si="8"/>
        <v/>
      </c>
      <c r="Q188" s="208" t="str">
        <f t="shared" si="6"/>
        <v/>
      </c>
      <c r="R188" s="208"/>
      <c r="S188" s="323" t="str">
        <f t="shared" si="7"/>
        <v/>
      </c>
      <c r="U188" s="322"/>
      <c r="V188" s="791"/>
      <c r="W188" s="792"/>
      <c r="X188" s="480"/>
      <c r="Y188" s="480"/>
      <c r="Z188" s="480"/>
      <c r="AA188" s="323"/>
      <c r="AB188" s="220"/>
      <c r="AC188" s="322"/>
      <c r="AD188" s="323"/>
      <c r="AE188" s="220"/>
      <c r="AF188" s="324"/>
      <c r="AG188" s="208"/>
      <c r="AH188" s="208"/>
      <c r="AI188" s="208"/>
      <c r="AJ188" s="208"/>
      <c r="AK188" s="208"/>
      <c r="AL188" s="208"/>
      <c r="AM188" s="208"/>
      <c r="AN188" s="208"/>
      <c r="AO188" s="208"/>
      <c r="AP188" s="208"/>
      <c r="AQ188" s="208"/>
      <c r="AR188" s="208"/>
      <c r="AS188" s="208"/>
      <c r="AT188" s="208"/>
      <c r="AU188" s="208"/>
      <c r="AV188" s="208"/>
      <c r="AW188" s="208">
        <v>385.9</v>
      </c>
      <c r="AX188" s="208">
        <v>15228.602929999999</v>
      </c>
      <c r="AY188" s="208">
        <v>204.95138</v>
      </c>
      <c r="AZ188" s="208">
        <v>63.727539999999998</v>
      </c>
      <c r="BA188" s="208">
        <v>99.753619999999998</v>
      </c>
      <c r="BB188" s="208">
        <v>988.52332999999999</v>
      </c>
      <c r="BC188" s="208">
        <v>32808.24871</v>
      </c>
      <c r="BD188" s="208">
        <v>2866.95345</v>
      </c>
      <c r="BE188" s="208">
        <v>494.60356999999999</v>
      </c>
      <c r="BF188" s="208">
        <v>303</v>
      </c>
      <c r="BG188" s="208">
        <v>149.35324</v>
      </c>
      <c r="BH188" s="208"/>
      <c r="BI188" s="323"/>
    </row>
    <row r="189" spans="3:61" ht="15" customHeight="1">
      <c r="C189" s="325"/>
      <c r="D189" s="326"/>
      <c r="E189" s="311"/>
      <c r="F189" s="311"/>
      <c r="G189" s="311"/>
      <c r="H189" s="311"/>
      <c r="I189" s="311"/>
      <c r="J189" s="317"/>
      <c r="K189" s="312"/>
      <c r="L189" s="312"/>
      <c r="M189" s="312"/>
      <c r="N189" s="312"/>
      <c r="O189" s="312"/>
      <c r="P189" s="318" t="str">
        <f t="shared" si="8"/>
        <v/>
      </c>
      <c r="Q189" s="205" t="str">
        <f t="shared" si="6"/>
        <v/>
      </c>
      <c r="R189" s="205"/>
      <c r="S189" s="319" t="str">
        <f t="shared" si="7"/>
        <v/>
      </c>
      <c r="U189" s="318"/>
      <c r="V189" s="794"/>
      <c r="W189" s="795"/>
      <c r="X189" s="482"/>
      <c r="Y189" s="482"/>
      <c r="Z189" s="482"/>
      <c r="AA189" s="319"/>
      <c r="AB189" s="220"/>
      <c r="AC189" s="318"/>
      <c r="AD189" s="319"/>
      <c r="AE189" s="220"/>
      <c r="AF189" s="320"/>
      <c r="AG189" s="205"/>
      <c r="AH189" s="205"/>
      <c r="AI189" s="205"/>
      <c r="AJ189" s="205"/>
      <c r="AK189" s="205"/>
      <c r="AL189" s="205"/>
      <c r="AM189" s="205"/>
      <c r="AN189" s="205"/>
      <c r="AO189" s="205"/>
      <c r="AP189" s="205"/>
      <c r="AQ189" s="205"/>
      <c r="AR189" s="205"/>
      <c r="AS189" s="205"/>
      <c r="AT189" s="205"/>
      <c r="AU189" s="205"/>
      <c r="AV189" s="205"/>
      <c r="AW189" s="205">
        <v>393.4</v>
      </c>
      <c r="AX189" s="205">
        <v>15077.604960000001</v>
      </c>
      <c r="AY189" s="205">
        <v>202.99315999999999</v>
      </c>
      <c r="AZ189" s="205">
        <v>51.199559999999998</v>
      </c>
      <c r="BA189" s="205">
        <v>99.753619999999998</v>
      </c>
      <c r="BB189" s="205">
        <v>987.14012000000002</v>
      </c>
      <c r="BC189" s="205">
        <v>33194.405550000003</v>
      </c>
      <c r="BD189" s="205">
        <v>2890.4624199999998</v>
      </c>
      <c r="BE189" s="205">
        <v>496.40676999999999</v>
      </c>
      <c r="BF189" s="205">
        <v>309</v>
      </c>
      <c r="BG189" s="205">
        <v>149.39751000000001</v>
      </c>
      <c r="BH189" s="205"/>
      <c r="BI189" s="319"/>
    </row>
    <row r="190" spans="3:61" ht="15" customHeight="1">
      <c r="C190" s="325"/>
      <c r="D190" s="326"/>
      <c r="E190" s="311"/>
      <c r="F190" s="311"/>
      <c r="G190" s="311"/>
      <c r="H190" s="311"/>
      <c r="I190" s="311"/>
      <c r="J190" s="317"/>
      <c r="K190" s="312"/>
      <c r="L190" s="312"/>
      <c r="M190" s="312"/>
      <c r="N190" s="312"/>
      <c r="O190" s="312"/>
      <c r="P190" s="322" t="str">
        <f t="shared" si="8"/>
        <v/>
      </c>
      <c r="Q190" s="208" t="str">
        <f t="shared" si="6"/>
        <v/>
      </c>
      <c r="R190" s="208"/>
      <c r="S190" s="323" t="str">
        <f t="shared" si="7"/>
        <v/>
      </c>
      <c r="U190" s="322"/>
      <c r="V190" s="791"/>
      <c r="W190" s="792"/>
      <c r="X190" s="480"/>
      <c r="Y190" s="480"/>
      <c r="Z190" s="480"/>
      <c r="AA190" s="323"/>
      <c r="AB190" s="220"/>
      <c r="AC190" s="322"/>
      <c r="AD190" s="323"/>
      <c r="AE190" s="220"/>
      <c r="AF190" s="324"/>
      <c r="AG190" s="208"/>
      <c r="AH190" s="208"/>
      <c r="AI190" s="208"/>
      <c r="AJ190" s="208"/>
      <c r="AK190" s="208"/>
      <c r="AL190" s="208"/>
      <c r="AM190" s="208"/>
      <c r="AN190" s="208"/>
      <c r="AO190" s="208"/>
      <c r="AP190" s="208"/>
      <c r="AQ190" s="208"/>
      <c r="AR190" s="208"/>
      <c r="AS190" s="208"/>
      <c r="AT190" s="208"/>
      <c r="AU190" s="208"/>
      <c r="AV190" s="208"/>
      <c r="AW190" s="208">
        <v>399.3</v>
      </c>
      <c r="AX190" s="208">
        <v>15636.12306</v>
      </c>
      <c r="AY190" s="208">
        <v>205.81144</v>
      </c>
      <c r="AZ190" s="208">
        <v>56.055500000000002</v>
      </c>
      <c r="BA190" s="208">
        <v>98.492059999999995</v>
      </c>
      <c r="BB190" s="208">
        <v>983.90305000000001</v>
      </c>
      <c r="BC190" s="208">
        <v>33685.077140000001</v>
      </c>
      <c r="BD190" s="208">
        <v>2928.3332300000002</v>
      </c>
      <c r="BE190" s="208">
        <v>495.19218999999998</v>
      </c>
      <c r="BF190" s="208">
        <v>310.60000000000002</v>
      </c>
      <c r="BG190" s="208">
        <v>150.03880000000001</v>
      </c>
      <c r="BH190" s="208"/>
      <c r="BI190" s="323"/>
    </row>
    <row r="191" spans="3:61" ht="15" customHeight="1">
      <c r="C191" s="325"/>
      <c r="D191" s="326"/>
      <c r="E191" s="311"/>
      <c r="F191" s="311"/>
      <c r="G191" s="311"/>
      <c r="H191" s="311"/>
      <c r="I191" s="311"/>
      <c r="J191" s="317"/>
      <c r="K191" s="312"/>
      <c r="L191" s="312"/>
      <c r="M191" s="312"/>
      <c r="N191" s="312"/>
      <c r="O191" s="312"/>
      <c r="P191" s="318" t="str">
        <f t="shared" si="8"/>
        <v/>
      </c>
      <c r="Q191" s="205" t="str">
        <f t="shared" si="6"/>
        <v/>
      </c>
      <c r="R191" s="205"/>
      <c r="S191" s="319" t="str">
        <f t="shared" si="7"/>
        <v/>
      </c>
      <c r="U191" s="318"/>
      <c r="V191" s="794"/>
      <c r="W191" s="795"/>
      <c r="X191" s="482"/>
      <c r="Y191" s="482"/>
      <c r="Z191" s="482"/>
      <c r="AA191" s="319"/>
      <c r="AB191" s="220"/>
      <c r="AC191" s="318"/>
      <c r="AD191" s="319"/>
      <c r="AE191" s="220"/>
      <c r="AF191" s="320"/>
      <c r="AG191" s="205"/>
      <c r="AH191" s="205"/>
      <c r="AI191" s="205"/>
      <c r="AJ191" s="205"/>
      <c r="AK191" s="205"/>
      <c r="AL191" s="205"/>
      <c r="AM191" s="205"/>
      <c r="AN191" s="205"/>
      <c r="AO191" s="205"/>
      <c r="AP191" s="205"/>
      <c r="AQ191" s="205"/>
      <c r="AR191" s="205"/>
      <c r="AS191" s="205"/>
      <c r="AT191" s="205"/>
      <c r="AU191" s="205"/>
      <c r="AV191" s="205"/>
      <c r="AW191" s="205">
        <v>392.5</v>
      </c>
      <c r="AX191" s="205">
        <v>15469.15863</v>
      </c>
      <c r="AY191" s="205">
        <v>204.87582</v>
      </c>
      <c r="AZ191" s="205">
        <v>56.055500000000002</v>
      </c>
      <c r="BA191" s="205">
        <v>95.172210000000007</v>
      </c>
      <c r="BB191" s="205">
        <v>983.61974999999995</v>
      </c>
      <c r="BC191" s="205">
        <v>33375.309020000001</v>
      </c>
      <c r="BD191" s="205">
        <v>3046.9554899999998</v>
      </c>
      <c r="BE191" s="205">
        <v>499.90046000000001</v>
      </c>
      <c r="BF191" s="205">
        <v>310.89999999999998</v>
      </c>
      <c r="BG191" s="205">
        <v>148.44687999999999</v>
      </c>
      <c r="BH191" s="205"/>
      <c r="BI191" s="319"/>
    </row>
    <row r="192" spans="3:61" ht="15" customHeight="1">
      <c r="C192" s="325"/>
      <c r="D192" s="326"/>
      <c r="E192" s="311"/>
      <c r="F192" s="311"/>
      <c r="G192" s="311"/>
      <c r="H192" s="311"/>
      <c r="I192" s="311"/>
      <c r="J192" s="317"/>
      <c r="K192" s="312"/>
      <c r="L192" s="312"/>
      <c r="M192" s="312"/>
      <c r="N192" s="312"/>
      <c r="O192" s="312"/>
      <c r="P192" s="322" t="str">
        <f t="shared" si="8"/>
        <v/>
      </c>
      <c r="Q192" s="208" t="str">
        <f t="shared" si="6"/>
        <v/>
      </c>
      <c r="R192" s="208"/>
      <c r="S192" s="323" t="str">
        <f t="shared" si="7"/>
        <v/>
      </c>
      <c r="U192" s="322"/>
      <c r="V192" s="791"/>
      <c r="W192" s="792"/>
      <c r="X192" s="480"/>
      <c r="Y192" s="480"/>
      <c r="Z192" s="480"/>
      <c r="AA192" s="323"/>
      <c r="AB192" s="220"/>
      <c r="AC192" s="322"/>
      <c r="AD192" s="323"/>
      <c r="AE192" s="220"/>
      <c r="AF192" s="324"/>
      <c r="AG192" s="208"/>
      <c r="AH192" s="208"/>
      <c r="AI192" s="208"/>
      <c r="AJ192" s="208"/>
      <c r="AK192" s="208"/>
      <c r="AL192" s="208"/>
      <c r="AM192" s="208"/>
      <c r="AN192" s="208"/>
      <c r="AO192" s="208"/>
      <c r="AP192" s="208"/>
      <c r="AQ192" s="208"/>
      <c r="AR192" s="208"/>
      <c r="AS192" s="208"/>
      <c r="AT192" s="208"/>
      <c r="AU192" s="208"/>
      <c r="AV192" s="208"/>
      <c r="AW192" s="208">
        <v>397.9</v>
      </c>
      <c r="AX192" s="208">
        <v>15616.96452</v>
      </c>
      <c r="AY192" s="208">
        <v>204.84325999999999</v>
      </c>
      <c r="AZ192" s="208">
        <v>56.055500000000002</v>
      </c>
      <c r="BA192" s="208">
        <v>92.974119999999999</v>
      </c>
      <c r="BB192" s="208">
        <v>981.86059999999998</v>
      </c>
      <c r="BC192" s="208">
        <v>33443.638899999998</v>
      </c>
      <c r="BD192" s="208">
        <v>3034.6432199999999</v>
      </c>
      <c r="BE192" s="208">
        <v>503.17793</v>
      </c>
      <c r="BF192" s="208">
        <v>311.7</v>
      </c>
      <c r="BG192" s="208">
        <v>144.96958000000001</v>
      </c>
      <c r="BH192" s="208"/>
      <c r="BI192" s="323"/>
    </row>
    <row r="193" spans="3:61" ht="15" customHeight="1">
      <c r="C193" s="325"/>
      <c r="D193" s="326"/>
      <c r="E193" s="311"/>
      <c r="F193" s="311"/>
      <c r="G193" s="311"/>
      <c r="H193" s="311"/>
      <c r="I193" s="311"/>
      <c r="J193" s="317"/>
      <c r="K193" s="312"/>
      <c r="L193" s="312"/>
      <c r="M193" s="312"/>
      <c r="N193" s="312"/>
      <c r="O193" s="312"/>
      <c r="P193" s="318" t="str">
        <f t="shared" si="8"/>
        <v/>
      </c>
      <c r="Q193" s="205" t="str">
        <f t="shared" si="6"/>
        <v/>
      </c>
      <c r="R193" s="205"/>
      <c r="S193" s="319" t="str">
        <f t="shared" si="7"/>
        <v/>
      </c>
      <c r="U193" s="318"/>
      <c r="V193" s="794"/>
      <c r="W193" s="795"/>
      <c r="X193" s="482"/>
      <c r="Y193" s="482"/>
      <c r="Z193" s="482"/>
      <c r="AA193" s="319"/>
      <c r="AB193" s="220"/>
      <c r="AC193" s="318"/>
      <c r="AD193" s="319"/>
      <c r="AE193" s="220"/>
      <c r="AF193" s="320"/>
      <c r="AG193" s="205"/>
      <c r="AH193" s="205"/>
      <c r="AI193" s="205"/>
      <c r="AJ193" s="205"/>
      <c r="AK193" s="205"/>
      <c r="AL193" s="205"/>
      <c r="AM193" s="205"/>
      <c r="AN193" s="205"/>
      <c r="AO193" s="205"/>
      <c r="AP193" s="205"/>
      <c r="AQ193" s="205"/>
      <c r="AR193" s="205"/>
      <c r="AS193" s="205"/>
      <c r="AT193" s="205"/>
      <c r="AU193" s="205"/>
      <c r="AV193" s="205"/>
      <c r="AW193" s="205">
        <v>399.8</v>
      </c>
      <c r="AX193" s="205">
        <v>15635.859630000001</v>
      </c>
      <c r="AY193" s="205">
        <v>205.43474000000001</v>
      </c>
      <c r="AZ193" s="205">
        <v>54.412640000000003</v>
      </c>
      <c r="BA193" s="205">
        <v>87.455340000000007</v>
      </c>
      <c r="BB193" s="205">
        <v>980.20478000000003</v>
      </c>
      <c r="BC193" s="205">
        <v>34241.567719999999</v>
      </c>
      <c r="BD193" s="205">
        <v>3021.3782700000002</v>
      </c>
      <c r="BE193" s="205">
        <v>520.28393000000005</v>
      </c>
      <c r="BF193" s="205">
        <v>314.2</v>
      </c>
      <c r="BG193" s="205">
        <v>149.03973999999999</v>
      </c>
      <c r="BH193" s="205"/>
      <c r="BI193" s="319"/>
    </row>
    <row r="194" spans="3:61" ht="15" customHeight="1">
      <c r="C194" s="325"/>
      <c r="D194" s="326"/>
      <c r="E194" s="311"/>
      <c r="F194" s="311"/>
      <c r="G194" s="311"/>
      <c r="H194" s="311"/>
      <c r="I194" s="311"/>
      <c r="J194" s="317"/>
      <c r="K194" s="312"/>
      <c r="L194" s="312"/>
      <c r="M194" s="312"/>
      <c r="N194" s="312"/>
      <c r="O194" s="312"/>
      <c r="P194" s="322" t="str">
        <f t="shared" si="8"/>
        <v/>
      </c>
      <c r="Q194" s="208" t="str">
        <f t="shared" si="6"/>
        <v/>
      </c>
      <c r="R194" s="208"/>
      <c r="S194" s="323" t="str">
        <f t="shared" si="7"/>
        <v/>
      </c>
      <c r="U194" s="322"/>
      <c r="V194" s="791"/>
      <c r="W194" s="792"/>
      <c r="X194" s="480"/>
      <c r="Y194" s="480"/>
      <c r="Z194" s="480"/>
      <c r="AA194" s="323"/>
      <c r="AB194" s="220"/>
      <c r="AC194" s="322"/>
      <c r="AD194" s="323"/>
      <c r="AE194" s="220"/>
      <c r="AF194" s="324"/>
      <c r="AG194" s="208"/>
      <c r="AH194" s="208"/>
      <c r="AI194" s="208"/>
      <c r="AJ194" s="208"/>
      <c r="AK194" s="208"/>
      <c r="AL194" s="208"/>
      <c r="AM194" s="208"/>
      <c r="AN194" s="208"/>
      <c r="AO194" s="208"/>
      <c r="AP194" s="208"/>
      <c r="AQ194" s="208"/>
      <c r="AR194" s="208"/>
      <c r="AS194" s="208"/>
      <c r="AT194" s="208"/>
      <c r="AU194" s="208"/>
      <c r="AV194" s="208"/>
      <c r="AW194" s="208">
        <v>401.4</v>
      </c>
      <c r="AX194" s="208">
        <v>14958.623799999999</v>
      </c>
      <c r="AY194" s="208">
        <v>204.98411999999999</v>
      </c>
      <c r="AZ194" s="208">
        <v>53.437489999999997</v>
      </c>
      <c r="BA194" s="208">
        <v>86.267409999999998</v>
      </c>
      <c r="BB194" s="208">
        <v>975.81502</v>
      </c>
      <c r="BC194" s="208">
        <v>33823.096940000003</v>
      </c>
      <c r="BD194" s="208">
        <v>2995.9067700000001</v>
      </c>
      <c r="BE194" s="208">
        <v>513.08729000000005</v>
      </c>
      <c r="BF194" s="208">
        <v>313.8</v>
      </c>
      <c r="BG194" s="208">
        <v>149.86085</v>
      </c>
      <c r="BH194" s="208"/>
      <c r="BI194" s="323"/>
    </row>
    <row r="195" spans="3:61" ht="15" customHeight="1">
      <c r="C195" s="325"/>
      <c r="D195" s="326"/>
      <c r="E195" s="311"/>
      <c r="F195" s="311"/>
      <c r="G195" s="311"/>
      <c r="H195" s="311"/>
      <c r="I195" s="311"/>
      <c r="J195" s="317"/>
      <c r="K195" s="312"/>
      <c r="L195" s="312"/>
      <c r="M195" s="312"/>
      <c r="N195" s="312"/>
      <c r="O195" s="312"/>
      <c r="P195" s="318" t="str">
        <f t="shared" si="8"/>
        <v/>
      </c>
      <c r="Q195" s="205" t="str">
        <f t="shared" si="6"/>
        <v/>
      </c>
      <c r="R195" s="205"/>
      <c r="S195" s="319" t="str">
        <f t="shared" si="7"/>
        <v/>
      </c>
      <c r="U195" s="318"/>
      <c r="V195" s="794"/>
      <c r="W195" s="795"/>
      <c r="X195" s="482"/>
      <c r="Y195" s="482"/>
      <c r="Z195" s="482"/>
      <c r="AA195" s="319"/>
      <c r="AB195" s="220"/>
      <c r="AC195" s="318"/>
      <c r="AD195" s="319"/>
      <c r="AE195" s="220"/>
      <c r="AF195" s="320"/>
      <c r="AG195" s="205"/>
      <c r="AH195" s="205"/>
      <c r="AI195" s="205"/>
      <c r="AJ195" s="205"/>
      <c r="AK195" s="205"/>
      <c r="AL195" s="205"/>
      <c r="AM195" s="205"/>
      <c r="AN195" s="205"/>
      <c r="AO195" s="205"/>
      <c r="AP195" s="205"/>
      <c r="AQ195" s="205"/>
      <c r="AR195" s="205"/>
      <c r="AS195" s="205"/>
      <c r="AT195" s="205"/>
      <c r="AU195" s="205"/>
      <c r="AV195" s="205"/>
      <c r="AW195" s="205">
        <v>400.2</v>
      </c>
      <c r="AX195" s="205">
        <v>15081.14689</v>
      </c>
      <c r="AY195" s="205">
        <v>208.04442</v>
      </c>
      <c r="AZ195" s="205">
        <v>52.59263</v>
      </c>
      <c r="BA195" s="205">
        <v>89.306209999999993</v>
      </c>
      <c r="BB195" s="205">
        <v>964.96370000000002</v>
      </c>
      <c r="BC195" s="205">
        <v>39198.193440000003</v>
      </c>
      <c r="BD195" s="205">
        <v>2946.4885199999999</v>
      </c>
      <c r="BE195" s="205">
        <v>511.09458000000001</v>
      </c>
      <c r="BF195" s="205">
        <v>311.5</v>
      </c>
      <c r="BG195" s="205">
        <v>145.74036000000001</v>
      </c>
      <c r="BH195" s="205"/>
      <c r="BI195" s="319"/>
    </row>
    <row r="196" spans="3:61" ht="15" customHeight="1">
      <c r="C196" s="325"/>
      <c r="D196" s="326"/>
      <c r="E196" s="311"/>
      <c r="F196" s="311"/>
      <c r="G196" s="311"/>
      <c r="H196" s="311"/>
      <c r="I196" s="311"/>
      <c r="J196" s="317"/>
      <c r="K196" s="312"/>
      <c r="L196" s="312"/>
      <c r="M196" s="312"/>
      <c r="N196" s="312"/>
      <c r="O196" s="312"/>
      <c r="P196" s="322" t="str">
        <f t="shared" si="8"/>
        <v/>
      </c>
      <c r="Q196" s="208" t="str">
        <f t="shared" si="6"/>
        <v/>
      </c>
      <c r="R196" s="208"/>
      <c r="S196" s="323" t="str">
        <f t="shared" si="7"/>
        <v/>
      </c>
      <c r="U196" s="322"/>
      <c r="V196" s="791"/>
      <c r="W196" s="792"/>
      <c r="X196" s="480"/>
      <c r="Y196" s="480"/>
      <c r="Z196" s="480"/>
      <c r="AA196" s="323"/>
      <c r="AB196" s="220"/>
      <c r="AC196" s="322"/>
      <c r="AD196" s="323"/>
      <c r="AE196" s="220"/>
      <c r="AF196" s="324"/>
      <c r="AG196" s="208"/>
      <c r="AH196" s="208"/>
      <c r="AI196" s="208"/>
      <c r="AJ196" s="208"/>
      <c r="AK196" s="208"/>
      <c r="AL196" s="208"/>
      <c r="AM196" s="208"/>
      <c r="AN196" s="208"/>
      <c r="AO196" s="208"/>
      <c r="AP196" s="208"/>
      <c r="AQ196" s="208"/>
      <c r="AR196" s="208"/>
      <c r="AS196" s="208"/>
      <c r="AT196" s="208"/>
      <c r="AU196" s="208"/>
      <c r="AV196" s="208"/>
      <c r="AW196" s="208">
        <v>409.1</v>
      </c>
      <c r="AX196" s="208">
        <v>15098.24026</v>
      </c>
      <c r="AY196" s="208">
        <v>212.51447999999999</v>
      </c>
      <c r="AZ196" s="208">
        <v>48.79007</v>
      </c>
      <c r="BA196" s="208">
        <v>89.529219999999995</v>
      </c>
      <c r="BB196" s="208">
        <v>960.55456000000004</v>
      </c>
      <c r="BC196" s="208">
        <v>39379.985509999999</v>
      </c>
      <c r="BD196" s="208">
        <v>2949.6648500000001</v>
      </c>
      <c r="BE196" s="208">
        <v>504.19605000000001</v>
      </c>
      <c r="BF196" s="208">
        <v>311.7</v>
      </c>
      <c r="BG196" s="208">
        <v>141.78593000000001</v>
      </c>
      <c r="BH196" s="208"/>
      <c r="BI196" s="323"/>
    </row>
    <row r="197" spans="3:61" ht="15" customHeight="1">
      <c r="C197" s="325"/>
      <c r="D197" s="326"/>
      <c r="E197" s="311"/>
      <c r="F197" s="311"/>
      <c r="G197" s="311"/>
      <c r="H197" s="311"/>
      <c r="I197" s="311"/>
      <c r="J197" s="317"/>
      <c r="K197" s="312"/>
      <c r="L197" s="312"/>
      <c r="M197" s="312"/>
      <c r="N197" s="312"/>
      <c r="O197" s="312"/>
      <c r="P197" s="318" t="str">
        <f t="shared" si="8"/>
        <v/>
      </c>
      <c r="Q197" s="205" t="str">
        <f t="shared" si="6"/>
        <v/>
      </c>
      <c r="R197" s="205"/>
      <c r="S197" s="319" t="str">
        <f t="shared" si="7"/>
        <v/>
      </c>
      <c r="U197" s="318"/>
      <c r="V197" s="794"/>
      <c r="W197" s="795"/>
      <c r="X197" s="482"/>
      <c r="Y197" s="482"/>
      <c r="Z197" s="482"/>
      <c r="AA197" s="319"/>
      <c r="AB197" s="220"/>
      <c r="AC197" s="318"/>
      <c r="AD197" s="319"/>
      <c r="AE197" s="220"/>
      <c r="AF197" s="320"/>
      <c r="AG197" s="205"/>
      <c r="AH197" s="205"/>
      <c r="AI197" s="205"/>
      <c r="AJ197" s="205"/>
      <c r="AK197" s="205"/>
      <c r="AL197" s="205"/>
      <c r="AM197" s="205"/>
      <c r="AN197" s="205"/>
      <c r="AO197" s="205"/>
      <c r="AP197" s="205"/>
      <c r="AQ197" s="205"/>
      <c r="AR197" s="205"/>
      <c r="AS197" s="205"/>
      <c r="AT197" s="205"/>
      <c r="AU197" s="205"/>
      <c r="AV197" s="205"/>
      <c r="AW197" s="205">
        <v>414.4</v>
      </c>
      <c r="AX197" s="205">
        <v>15319.086590000001</v>
      </c>
      <c r="AY197" s="205">
        <v>210.78124</v>
      </c>
      <c r="AZ197" s="205">
        <v>50.682549999999999</v>
      </c>
      <c r="BA197" s="205">
        <v>88.101330000000004</v>
      </c>
      <c r="BB197" s="205">
        <v>960.68199000000004</v>
      </c>
      <c r="BC197" s="205">
        <v>38933.030729999999</v>
      </c>
      <c r="BD197" s="205">
        <v>2923.4305899999999</v>
      </c>
      <c r="BE197" s="205">
        <v>500.41126000000003</v>
      </c>
      <c r="BF197" s="205">
        <v>325</v>
      </c>
      <c r="BG197" s="205">
        <v>136.95717999999999</v>
      </c>
      <c r="BH197" s="205"/>
      <c r="BI197" s="319"/>
    </row>
    <row r="198" spans="3:61" ht="15" customHeight="1">
      <c r="C198" s="325"/>
      <c r="D198" s="326"/>
      <c r="E198" s="311"/>
      <c r="F198" s="311"/>
      <c r="G198" s="311"/>
      <c r="H198" s="311"/>
      <c r="I198" s="311"/>
      <c r="J198" s="317"/>
      <c r="K198" s="312"/>
      <c r="L198" s="312"/>
      <c r="M198" s="312"/>
      <c r="N198" s="312"/>
      <c r="O198" s="312"/>
      <c r="P198" s="322" t="str">
        <f t="shared" si="8"/>
        <v/>
      </c>
      <c r="Q198" s="208" t="str">
        <f t="shared" si="6"/>
        <v/>
      </c>
      <c r="R198" s="208"/>
      <c r="S198" s="323" t="str">
        <f t="shared" si="7"/>
        <v/>
      </c>
      <c r="U198" s="322"/>
      <c r="V198" s="791"/>
      <c r="W198" s="792"/>
      <c r="X198" s="480"/>
      <c r="Y198" s="480"/>
      <c r="Z198" s="480"/>
      <c r="AA198" s="323"/>
      <c r="AB198" s="220"/>
      <c r="AC198" s="322"/>
      <c r="AD198" s="323"/>
      <c r="AE198" s="220"/>
      <c r="AF198" s="324"/>
      <c r="AG198" s="208"/>
      <c r="AH198" s="208"/>
      <c r="AI198" s="208"/>
      <c r="AJ198" s="208"/>
      <c r="AK198" s="208"/>
      <c r="AL198" s="208"/>
      <c r="AM198" s="208"/>
      <c r="AN198" s="208"/>
      <c r="AO198" s="208"/>
      <c r="AP198" s="208"/>
      <c r="AQ198" s="208"/>
      <c r="AR198" s="208"/>
      <c r="AS198" s="208"/>
      <c r="AT198" s="208"/>
      <c r="AU198" s="208"/>
      <c r="AV198" s="208"/>
      <c r="AW198" s="208">
        <v>421.3</v>
      </c>
      <c r="AX198" s="208">
        <v>15459.89169</v>
      </c>
      <c r="AY198" s="208">
        <v>213.43872999999999</v>
      </c>
      <c r="AZ198" s="208">
        <v>48.953769999999999</v>
      </c>
      <c r="BA198" s="208">
        <v>88.707350000000005</v>
      </c>
      <c r="BB198" s="208">
        <v>966.05165999999997</v>
      </c>
      <c r="BC198" s="208">
        <v>39637.899100000002</v>
      </c>
      <c r="BD198" s="208">
        <v>2853.8744299999998</v>
      </c>
      <c r="BE198" s="208">
        <v>502.54329999999999</v>
      </c>
      <c r="BF198" s="208">
        <v>326.7</v>
      </c>
      <c r="BG198" s="208">
        <v>138.54356999999999</v>
      </c>
      <c r="BH198" s="208"/>
      <c r="BI198" s="323"/>
    </row>
    <row r="199" spans="3:61" ht="15" customHeight="1">
      <c r="C199" s="325"/>
      <c r="D199" s="326"/>
      <c r="E199" s="311"/>
      <c r="F199" s="311"/>
      <c r="G199" s="311"/>
      <c r="H199" s="311"/>
      <c r="I199" s="311"/>
      <c r="J199" s="317"/>
      <c r="K199" s="312"/>
      <c r="L199" s="312"/>
      <c r="M199" s="312"/>
      <c r="N199" s="312"/>
      <c r="O199" s="312"/>
      <c r="P199" s="318" t="str">
        <f t="shared" si="8"/>
        <v/>
      </c>
      <c r="Q199" s="205" t="str">
        <f t="shared" si="6"/>
        <v/>
      </c>
      <c r="R199" s="205"/>
      <c r="S199" s="319" t="str">
        <f t="shared" si="7"/>
        <v/>
      </c>
      <c r="U199" s="318"/>
      <c r="V199" s="794"/>
      <c r="W199" s="795"/>
      <c r="X199" s="482"/>
      <c r="Y199" s="482"/>
      <c r="Z199" s="482"/>
      <c r="AA199" s="319"/>
      <c r="AB199" s="220"/>
      <c r="AC199" s="318"/>
      <c r="AD199" s="319"/>
      <c r="AE199" s="220"/>
      <c r="AF199" s="320"/>
      <c r="AG199" s="205"/>
      <c r="AH199" s="205"/>
      <c r="AI199" s="205"/>
      <c r="AJ199" s="205"/>
      <c r="AK199" s="205"/>
      <c r="AL199" s="205"/>
      <c r="AM199" s="205"/>
      <c r="AN199" s="205"/>
      <c r="AO199" s="205"/>
      <c r="AP199" s="205"/>
      <c r="AQ199" s="205"/>
      <c r="AR199" s="205"/>
      <c r="AS199" s="205"/>
      <c r="AT199" s="205"/>
      <c r="AU199" s="205"/>
      <c r="AV199" s="205"/>
      <c r="AW199" s="205">
        <v>421.2</v>
      </c>
      <c r="AX199" s="205">
        <v>15483.699119999999</v>
      </c>
      <c r="AY199" s="205">
        <v>216.83401000000001</v>
      </c>
      <c r="AZ199" s="205">
        <v>60.010219999999997</v>
      </c>
      <c r="BA199" s="205">
        <v>90.634469999999993</v>
      </c>
      <c r="BB199" s="205">
        <v>954.32928000000004</v>
      </c>
      <c r="BC199" s="205">
        <v>39486.179380000001</v>
      </c>
      <c r="BD199" s="205">
        <v>2886.7039100000002</v>
      </c>
      <c r="BE199" s="205">
        <v>503.70956000000001</v>
      </c>
      <c r="BF199" s="205">
        <v>326</v>
      </c>
      <c r="BG199" s="205">
        <v>139.15136999999999</v>
      </c>
      <c r="BH199" s="205"/>
      <c r="BI199" s="319"/>
    </row>
    <row r="200" spans="3:61" ht="15" customHeight="1">
      <c r="C200" s="325"/>
      <c r="D200" s="326"/>
      <c r="E200" s="311"/>
      <c r="F200" s="311"/>
      <c r="G200" s="311"/>
      <c r="H200" s="311"/>
      <c r="I200" s="311"/>
      <c r="J200" s="317"/>
      <c r="K200" s="312"/>
      <c r="L200" s="312"/>
      <c r="M200" s="312"/>
      <c r="N200" s="312"/>
      <c r="O200" s="312"/>
      <c r="P200" s="322" t="str">
        <f t="shared" si="8"/>
        <v/>
      </c>
      <c r="Q200" s="208" t="str">
        <f t="shared" si="6"/>
        <v/>
      </c>
      <c r="R200" s="208"/>
      <c r="S200" s="323" t="str">
        <f t="shared" si="7"/>
        <v/>
      </c>
      <c r="U200" s="322"/>
      <c r="V200" s="791"/>
      <c r="W200" s="792"/>
      <c r="X200" s="480"/>
      <c r="Y200" s="480"/>
      <c r="Z200" s="480"/>
      <c r="AA200" s="323"/>
      <c r="AB200" s="220"/>
      <c r="AC200" s="322"/>
      <c r="AD200" s="323"/>
      <c r="AE200" s="220"/>
      <c r="AF200" s="324"/>
      <c r="AG200" s="208"/>
      <c r="AH200" s="208"/>
      <c r="AI200" s="208"/>
      <c r="AJ200" s="208"/>
      <c r="AK200" s="208"/>
      <c r="AL200" s="208"/>
      <c r="AM200" s="208"/>
      <c r="AN200" s="208"/>
      <c r="AO200" s="208"/>
      <c r="AP200" s="208"/>
      <c r="AQ200" s="208"/>
      <c r="AR200" s="208"/>
      <c r="AS200" s="208"/>
      <c r="AT200" s="208"/>
      <c r="AU200" s="208"/>
      <c r="AV200" s="208"/>
      <c r="AW200" s="208">
        <v>431.1</v>
      </c>
      <c r="AX200" s="208">
        <v>15614.45811</v>
      </c>
      <c r="AY200" s="208">
        <v>218.35444000000001</v>
      </c>
      <c r="AZ200" s="208">
        <v>66.025139999999993</v>
      </c>
      <c r="BA200" s="208">
        <v>94.324960000000004</v>
      </c>
      <c r="BB200" s="208">
        <v>940.16497000000004</v>
      </c>
      <c r="BC200" s="208">
        <v>40052.188000000002</v>
      </c>
      <c r="BD200" s="208">
        <v>2826.19049</v>
      </c>
      <c r="BE200" s="208">
        <v>499.04835000000003</v>
      </c>
      <c r="BF200" s="208">
        <v>330.2</v>
      </c>
      <c r="BG200" s="208">
        <v>146.27005</v>
      </c>
      <c r="BH200" s="208"/>
      <c r="BI200" s="323"/>
    </row>
    <row r="201" spans="3:61" ht="15" customHeight="1">
      <c r="C201" s="325"/>
      <c r="D201" s="326"/>
      <c r="E201" s="311"/>
      <c r="F201" s="311"/>
      <c r="G201" s="311"/>
      <c r="H201" s="311"/>
      <c r="I201" s="311"/>
      <c r="J201" s="317"/>
      <c r="K201" s="312"/>
      <c r="L201" s="312"/>
      <c r="M201" s="312"/>
      <c r="N201" s="312"/>
      <c r="O201" s="312"/>
      <c r="P201" s="318" t="str">
        <f t="shared" si="8"/>
        <v/>
      </c>
      <c r="Q201" s="205" t="str">
        <f t="shared" si="6"/>
        <v/>
      </c>
      <c r="R201" s="205"/>
      <c r="S201" s="319" t="str">
        <f t="shared" si="7"/>
        <v/>
      </c>
      <c r="U201" s="318"/>
      <c r="V201" s="794"/>
      <c r="W201" s="795"/>
      <c r="X201" s="482"/>
      <c r="Y201" s="482"/>
      <c r="Z201" s="482"/>
      <c r="AA201" s="319"/>
      <c r="AB201" s="220"/>
      <c r="AC201" s="318"/>
      <c r="AD201" s="319"/>
      <c r="AE201" s="220"/>
      <c r="AF201" s="320"/>
      <c r="AG201" s="205"/>
      <c r="AH201" s="205"/>
      <c r="AI201" s="205"/>
      <c r="AJ201" s="205"/>
      <c r="AK201" s="205"/>
      <c r="AL201" s="205"/>
      <c r="AM201" s="205"/>
      <c r="AN201" s="205"/>
      <c r="AO201" s="205"/>
      <c r="AP201" s="205"/>
      <c r="AQ201" s="205"/>
      <c r="AR201" s="205"/>
      <c r="AS201" s="205"/>
      <c r="AT201" s="205"/>
      <c r="AU201" s="205"/>
      <c r="AV201" s="205"/>
      <c r="AW201" s="205">
        <v>426</v>
      </c>
      <c r="AX201" s="205">
        <v>15994.69918</v>
      </c>
      <c r="AY201" s="205">
        <v>216.56263000000001</v>
      </c>
      <c r="AZ201" s="205">
        <v>61.587069999999997</v>
      </c>
      <c r="BA201" s="205">
        <v>86.938469999999995</v>
      </c>
      <c r="BB201" s="205">
        <v>939.50170000000003</v>
      </c>
      <c r="BC201" s="205">
        <v>39508.267200000002</v>
      </c>
      <c r="BD201" s="205">
        <v>2894.7415500000002</v>
      </c>
      <c r="BE201" s="205">
        <v>503.05083999999999</v>
      </c>
      <c r="BF201" s="205">
        <v>325.8</v>
      </c>
      <c r="BG201" s="205">
        <v>155.57884999999999</v>
      </c>
      <c r="BH201" s="205"/>
      <c r="BI201" s="319"/>
    </row>
    <row r="202" spans="3:61" ht="15" customHeight="1">
      <c r="C202" s="325"/>
      <c r="D202" s="326"/>
      <c r="E202" s="311"/>
      <c r="F202" s="311"/>
      <c r="G202" s="311"/>
      <c r="H202" s="311"/>
      <c r="I202" s="311"/>
      <c r="J202" s="317"/>
      <c r="K202" s="312"/>
      <c r="L202" s="312"/>
      <c r="M202" s="312"/>
      <c r="N202" s="312"/>
      <c r="O202" s="312"/>
      <c r="P202" s="322" t="str">
        <f t="shared" si="8"/>
        <v/>
      </c>
      <c r="Q202" s="208" t="str">
        <f t="shared" si="6"/>
        <v/>
      </c>
      <c r="R202" s="208"/>
      <c r="S202" s="323" t="str">
        <f t="shared" si="7"/>
        <v/>
      </c>
      <c r="U202" s="322"/>
      <c r="V202" s="791"/>
      <c r="W202" s="792"/>
      <c r="X202" s="480"/>
      <c r="Y202" s="480"/>
      <c r="Z202" s="480"/>
      <c r="AA202" s="323"/>
      <c r="AB202" s="220"/>
      <c r="AC202" s="322"/>
      <c r="AD202" s="323"/>
      <c r="AE202" s="220"/>
      <c r="AF202" s="324"/>
      <c r="AG202" s="208"/>
      <c r="AH202" s="208"/>
      <c r="AI202" s="208"/>
      <c r="AJ202" s="208"/>
      <c r="AK202" s="208"/>
      <c r="AL202" s="208"/>
      <c r="AM202" s="208"/>
      <c r="AN202" s="208"/>
      <c r="AO202" s="208"/>
      <c r="AP202" s="208"/>
      <c r="AQ202" s="208"/>
      <c r="AR202" s="208"/>
      <c r="AS202" s="208"/>
      <c r="AT202" s="208"/>
      <c r="AU202" s="208"/>
      <c r="AV202" s="208"/>
      <c r="AW202" s="208">
        <v>422.1</v>
      </c>
      <c r="AX202" s="208">
        <v>15559.115299999999</v>
      </c>
      <c r="AY202" s="208">
        <v>208.27334999999999</v>
      </c>
      <c r="AZ202" s="208">
        <v>56.918129999999998</v>
      </c>
      <c r="BA202" s="208">
        <v>85.537809999999993</v>
      </c>
      <c r="BB202" s="208">
        <v>938.92497000000003</v>
      </c>
      <c r="BC202" s="208">
        <v>39534.473749999997</v>
      </c>
      <c r="BD202" s="208">
        <v>2824.9168399999999</v>
      </c>
      <c r="BE202" s="208">
        <v>500.59411999999998</v>
      </c>
      <c r="BF202" s="208">
        <v>324.39999999999998</v>
      </c>
      <c r="BG202" s="208">
        <v>157.81907000000001</v>
      </c>
      <c r="BH202" s="208"/>
      <c r="BI202" s="323"/>
    </row>
    <row r="203" spans="3:61" ht="15" customHeight="1">
      <c r="C203" s="325"/>
      <c r="D203" s="326"/>
      <c r="E203" s="311"/>
      <c r="F203" s="311"/>
      <c r="G203" s="311"/>
      <c r="H203" s="311"/>
      <c r="I203" s="311"/>
      <c r="J203" s="317"/>
      <c r="K203" s="312"/>
      <c r="L203" s="312"/>
      <c r="M203" s="312"/>
      <c r="N203" s="312"/>
      <c r="O203" s="312"/>
      <c r="P203" s="318" t="str">
        <f t="shared" si="8"/>
        <v/>
      </c>
      <c r="Q203" s="205" t="str">
        <f t="shared" ref="Q203:Q266" si="9">IF($AA203 = "", "", $AA203/$AA$10*100)</f>
        <v/>
      </c>
      <c r="R203" s="205"/>
      <c r="S203" s="319" t="str">
        <f t="shared" ref="S203:S266" si="10">IF($AD203 = "", "", $AD203/$AD$10*100)</f>
        <v/>
      </c>
      <c r="U203" s="318"/>
      <c r="V203" s="794"/>
      <c r="W203" s="795"/>
      <c r="X203" s="482"/>
      <c r="Y203" s="482"/>
      <c r="Z203" s="482"/>
      <c r="AA203" s="319"/>
      <c r="AB203" s="220"/>
      <c r="AC203" s="318"/>
      <c r="AD203" s="319"/>
      <c r="AE203" s="220"/>
      <c r="AF203" s="320"/>
      <c r="AG203" s="205"/>
      <c r="AH203" s="205"/>
      <c r="AI203" s="205"/>
      <c r="AJ203" s="205"/>
      <c r="AK203" s="205"/>
      <c r="AL203" s="205"/>
      <c r="AM203" s="205"/>
      <c r="AN203" s="205"/>
      <c r="AO203" s="205"/>
      <c r="AP203" s="205"/>
      <c r="AQ203" s="205"/>
      <c r="AR203" s="205"/>
      <c r="AS203" s="205"/>
      <c r="AT203" s="205"/>
      <c r="AU203" s="205"/>
      <c r="AV203" s="205"/>
      <c r="AW203" s="205">
        <v>426.9</v>
      </c>
      <c r="AX203" s="205">
        <v>15579.30092</v>
      </c>
      <c r="AY203" s="205">
        <v>208.34193999999999</v>
      </c>
      <c r="AZ203" s="205">
        <v>52.068159999999999</v>
      </c>
      <c r="BA203" s="205">
        <v>84.049359999999993</v>
      </c>
      <c r="BB203" s="205">
        <v>939.99476000000004</v>
      </c>
      <c r="BC203" s="205">
        <v>39248.326809999999</v>
      </c>
      <c r="BD203" s="205">
        <v>2903.3232200000002</v>
      </c>
      <c r="BE203" s="205">
        <v>502.19367</v>
      </c>
      <c r="BF203" s="205">
        <v>324.3</v>
      </c>
      <c r="BG203" s="205">
        <v>158.46786</v>
      </c>
      <c r="BH203" s="205"/>
      <c r="BI203" s="319"/>
    </row>
    <row r="204" spans="3:61" ht="15" customHeight="1">
      <c r="C204" s="325"/>
      <c r="D204" s="326"/>
      <c r="E204" s="311"/>
      <c r="F204" s="311"/>
      <c r="G204" s="311"/>
      <c r="H204" s="311"/>
      <c r="I204" s="311"/>
      <c r="J204" s="317"/>
      <c r="K204" s="312"/>
      <c r="L204" s="312"/>
      <c r="M204" s="312"/>
      <c r="N204" s="312"/>
      <c r="O204" s="312"/>
      <c r="P204" s="322" t="str">
        <f t="shared" ref="P204:P267" si="11">IF(U204="", "", U204)</f>
        <v/>
      </c>
      <c r="Q204" s="208" t="str">
        <f t="shared" si="9"/>
        <v/>
      </c>
      <c r="R204" s="208"/>
      <c r="S204" s="323" t="str">
        <f t="shared" si="10"/>
        <v/>
      </c>
      <c r="U204" s="322"/>
      <c r="V204" s="791"/>
      <c r="W204" s="792"/>
      <c r="X204" s="480"/>
      <c r="Y204" s="480"/>
      <c r="Z204" s="480"/>
      <c r="AA204" s="323"/>
      <c r="AB204" s="220"/>
      <c r="AC204" s="322"/>
      <c r="AD204" s="323"/>
      <c r="AE204" s="220"/>
      <c r="AF204" s="324"/>
      <c r="AG204" s="208"/>
      <c r="AH204" s="208"/>
      <c r="AI204" s="208"/>
      <c r="AJ204" s="208"/>
      <c r="AK204" s="208"/>
      <c r="AL204" s="208"/>
      <c r="AM204" s="208"/>
      <c r="AN204" s="208"/>
      <c r="AO204" s="208"/>
      <c r="AP204" s="208"/>
      <c r="AQ204" s="208"/>
      <c r="AR204" s="208"/>
      <c r="AS204" s="208"/>
      <c r="AT204" s="208"/>
      <c r="AU204" s="208"/>
      <c r="AV204" s="208"/>
      <c r="AW204" s="208">
        <v>429.1</v>
      </c>
      <c r="AX204" s="208">
        <v>15618.749540000001</v>
      </c>
      <c r="AY204" s="208">
        <v>202.96977999999999</v>
      </c>
      <c r="AZ204" s="208">
        <v>51.386360000000003</v>
      </c>
      <c r="BA204" s="208">
        <v>82.199730000000002</v>
      </c>
      <c r="BB204" s="208">
        <v>944.33709999999996</v>
      </c>
      <c r="BC204" s="208">
        <v>38944.641219999998</v>
      </c>
      <c r="BD204" s="208">
        <v>2928.1213400000001</v>
      </c>
      <c r="BE204" s="208">
        <v>502.17775</v>
      </c>
      <c r="BF204" s="208">
        <v>320</v>
      </c>
      <c r="BG204" s="208">
        <v>159.73493999999999</v>
      </c>
      <c r="BH204" s="208"/>
      <c r="BI204" s="323"/>
    </row>
    <row r="205" spans="3:61" ht="15" customHeight="1">
      <c r="C205" s="325"/>
      <c r="D205" s="326"/>
      <c r="E205" s="311"/>
      <c r="F205" s="311"/>
      <c r="G205" s="311"/>
      <c r="H205" s="311"/>
      <c r="I205" s="311"/>
      <c r="J205" s="317"/>
      <c r="K205" s="312"/>
      <c r="L205" s="312"/>
      <c r="M205" s="312"/>
      <c r="N205" s="312"/>
      <c r="O205" s="312"/>
      <c r="P205" s="318" t="str">
        <f t="shared" si="11"/>
        <v/>
      </c>
      <c r="Q205" s="205" t="str">
        <f t="shared" si="9"/>
        <v/>
      </c>
      <c r="R205" s="205"/>
      <c r="S205" s="319" t="str">
        <f t="shared" si="10"/>
        <v/>
      </c>
      <c r="U205" s="318"/>
      <c r="V205" s="794"/>
      <c r="W205" s="795"/>
      <c r="X205" s="482"/>
      <c r="Y205" s="482"/>
      <c r="Z205" s="482"/>
      <c r="AA205" s="319"/>
      <c r="AB205" s="220"/>
      <c r="AC205" s="318"/>
      <c r="AD205" s="319"/>
      <c r="AE205" s="220"/>
      <c r="AF205" s="320"/>
      <c r="AG205" s="205"/>
      <c r="AH205" s="205"/>
      <c r="AI205" s="205"/>
      <c r="AJ205" s="205"/>
      <c r="AK205" s="205"/>
      <c r="AL205" s="205"/>
      <c r="AM205" s="205"/>
      <c r="AN205" s="205"/>
      <c r="AO205" s="205"/>
      <c r="AP205" s="205"/>
      <c r="AQ205" s="205"/>
      <c r="AR205" s="205"/>
      <c r="AS205" s="205"/>
      <c r="AT205" s="205"/>
      <c r="AU205" s="205"/>
      <c r="AV205" s="205"/>
      <c r="AW205" s="205">
        <v>417.9</v>
      </c>
      <c r="AX205" s="205">
        <v>15470.2721</v>
      </c>
      <c r="AY205" s="205">
        <v>199.97617</v>
      </c>
      <c r="AZ205" s="205">
        <v>47.421619999999997</v>
      </c>
      <c r="BA205" s="205">
        <v>82.286540000000002</v>
      </c>
      <c r="BB205" s="205">
        <v>943.17178999999999</v>
      </c>
      <c r="BC205" s="205">
        <v>39059.128929999999</v>
      </c>
      <c r="BD205" s="205">
        <v>2893.6208099999999</v>
      </c>
      <c r="BE205" s="205">
        <v>493.18083999999999</v>
      </c>
      <c r="BF205" s="205">
        <v>318.39999999999998</v>
      </c>
      <c r="BG205" s="205">
        <v>160.58646999999999</v>
      </c>
      <c r="BH205" s="205"/>
      <c r="BI205" s="319"/>
    </row>
    <row r="206" spans="3:61" ht="15" customHeight="1">
      <c r="C206" s="325"/>
      <c r="D206" s="326"/>
      <c r="E206" s="311"/>
      <c r="F206" s="311"/>
      <c r="G206" s="311"/>
      <c r="H206" s="311"/>
      <c r="I206" s="311"/>
      <c r="J206" s="317"/>
      <c r="K206" s="312"/>
      <c r="L206" s="312"/>
      <c r="M206" s="312"/>
      <c r="N206" s="312"/>
      <c r="O206" s="312"/>
      <c r="P206" s="322" t="str">
        <f t="shared" si="11"/>
        <v/>
      </c>
      <c r="Q206" s="208" t="str">
        <f t="shared" si="9"/>
        <v/>
      </c>
      <c r="R206" s="208"/>
      <c r="S206" s="323" t="str">
        <f t="shared" si="10"/>
        <v/>
      </c>
      <c r="U206" s="322"/>
      <c r="V206" s="791"/>
      <c r="W206" s="792"/>
      <c r="X206" s="480"/>
      <c r="Y206" s="480"/>
      <c r="Z206" s="480"/>
      <c r="AA206" s="323"/>
      <c r="AB206" s="220"/>
      <c r="AC206" s="322"/>
      <c r="AD206" s="323"/>
      <c r="AE206" s="220"/>
      <c r="AF206" s="324"/>
      <c r="AG206" s="208"/>
      <c r="AH206" s="208"/>
      <c r="AI206" s="208"/>
      <c r="AJ206" s="208"/>
      <c r="AK206" s="208"/>
      <c r="AL206" s="208"/>
      <c r="AM206" s="208"/>
      <c r="AN206" s="208"/>
      <c r="AO206" s="208"/>
      <c r="AP206" s="208"/>
      <c r="AQ206" s="208"/>
      <c r="AR206" s="208"/>
      <c r="AS206" s="208"/>
      <c r="AT206" s="208"/>
      <c r="AU206" s="208"/>
      <c r="AV206" s="208"/>
      <c r="AW206" s="208">
        <v>413.1</v>
      </c>
      <c r="AX206" s="208">
        <v>15460.60425</v>
      </c>
      <c r="AY206" s="208">
        <v>201.9811</v>
      </c>
      <c r="AZ206" s="208">
        <v>49.398519999999998</v>
      </c>
      <c r="BA206" s="208">
        <v>82.171049999999994</v>
      </c>
      <c r="BB206" s="208">
        <v>946.49066000000005</v>
      </c>
      <c r="BC206" s="208">
        <v>38611.675580000003</v>
      </c>
      <c r="BD206" s="208">
        <v>2883.8174100000001</v>
      </c>
      <c r="BE206" s="208">
        <v>495.02622000000002</v>
      </c>
      <c r="BF206" s="208">
        <v>318.3</v>
      </c>
      <c r="BG206" s="208">
        <v>160.33656999999999</v>
      </c>
      <c r="BH206" s="208"/>
      <c r="BI206" s="323"/>
    </row>
    <row r="207" spans="3:61" ht="15" customHeight="1">
      <c r="C207" s="325"/>
      <c r="D207" s="326"/>
      <c r="E207" s="311"/>
      <c r="F207" s="311"/>
      <c r="G207" s="311"/>
      <c r="H207" s="311"/>
      <c r="I207" s="311"/>
      <c r="J207" s="317"/>
      <c r="K207" s="312"/>
      <c r="L207" s="312"/>
      <c r="M207" s="312"/>
      <c r="N207" s="312"/>
      <c r="O207" s="312"/>
      <c r="P207" s="318" t="str">
        <f t="shared" si="11"/>
        <v/>
      </c>
      <c r="Q207" s="205" t="str">
        <f t="shared" si="9"/>
        <v/>
      </c>
      <c r="R207" s="205"/>
      <c r="S207" s="319" t="str">
        <f t="shared" si="10"/>
        <v/>
      </c>
      <c r="U207" s="318"/>
      <c r="V207" s="794"/>
      <c r="W207" s="795"/>
      <c r="X207" s="482"/>
      <c r="Y207" s="482"/>
      <c r="Z207" s="482"/>
      <c r="AA207" s="319"/>
      <c r="AB207" s="220"/>
      <c r="AC207" s="318"/>
      <c r="AD207" s="319"/>
      <c r="AE207" s="220"/>
      <c r="AF207" s="320"/>
      <c r="AG207" s="205"/>
      <c r="AH207" s="205"/>
      <c r="AI207" s="205"/>
      <c r="AJ207" s="205"/>
      <c r="AK207" s="205"/>
      <c r="AL207" s="205"/>
      <c r="AM207" s="205"/>
      <c r="AN207" s="205"/>
      <c r="AO207" s="205"/>
      <c r="AP207" s="205"/>
      <c r="AQ207" s="205"/>
      <c r="AR207" s="205"/>
      <c r="AS207" s="205"/>
      <c r="AT207" s="205"/>
      <c r="AU207" s="205"/>
      <c r="AV207" s="205"/>
      <c r="AW207" s="205">
        <v>421.2</v>
      </c>
      <c r="AX207" s="205">
        <v>16230.40567</v>
      </c>
      <c r="AY207" s="205">
        <v>202.72205</v>
      </c>
      <c r="AZ207" s="205">
        <v>51.982700000000001</v>
      </c>
      <c r="BA207" s="205">
        <v>85.873800000000003</v>
      </c>
      <c r="BB207" s="205">
        <v>949.61116000000004</v>
      </c>
      <c r="BC207" s="205">
        <v>38818.62139</v>
      </c>
      <c r="BD207" s="205">
        <v>2920.4893699999998</v>
      </c>
      <c r="BE207" s="205">
        <v>507.35342000000003</v>
      </c>
      <c r="BF207" s="205">
        <v>315</v>
      </c>
      <c r="BG207" s="205">
        <v>160.6155</v>
      </c>
      <c r="BH207" s="205"/>
      <c r="BI207" s="319"/>
    </row>
    <row r="208" spans="3:61" ht="15" customHeight="1">
      <c r="C208" s="325"/>
      <c r="D208" s="326"/>
      <c r="E208" s="311"/>
      <c r="F208" s="311"/>
      <c r="G208" s="311"/>
      <c r="H208" s="311"/>
      <c r="I208" s="311"/>
      <c r="J208" s="317"/>
      <c r="K208" s="312"/>
      <c r="L208" s="312"/>
      <c r="M208" s="312"/>
      <c r="N208" s="312"/>
      <c r="O208" s="312"/>
      <c r="P208" s="322" t="str">
        <f t="shared" si="11"/>
        <v/>
      </c>
      <c r="Q208" s="208" t="str">
        <f t="shared" si="9"/>
        <v/>
      </c>
      <c r="R208" s="208"/>
      <c r="S208" s="323" t="str">
        <f t="shared" si="10"/>
        <v/>
      </c>
      <c r="U208" s="322"/>
      <c r="V208" s="791"/>
      <c r="W208" s="792"/>
      <c r="X208" s="480"/>
      <c r="Y208" s="480"/>
      <c r="Z208" s="480"/>
      <c r="AA208" s="323"/>
      <c r="AB208" s="220"/>
      <c r="AC208" s="322"/>
      <c r="AD208" s="323"/>
      <c r="AE208" s="220"/>
      <c r="AF208" s="324"/>
      <c r="AG208" s="208"/>
      <c r="AH208" s="208"/>
      <c r="AI208" s="208"/>
      <c r="AJ208" s="208"/>
      <c r="AK208" s="208"/>
      <c r="AL208" s="208"/>
      <c r="AM208" s="208"/>
      <c r="AN208" s="208"/>
      <c r="AO208" s="208"/>
      <c r="AP208" s="208"/>
      <c r="AQ208" s="208"/>
      <c r="AR208" s="208"/>
      <c r="AS208" s="208"/>
      <c r="AT208" s="208"/>
      <c r="AU208" s="208"/>
      <c r="AV208" s="208"/>
      <c r="AW208" s="208">
        <v>423</v>
      </c>
      <c r="AX208" s="208">
        <v>16177.88262</v>
      </c>
      <c r="AY208" s="208">
        <v>196.76420999999999</v>
      </c>
      <c r="AZ208" s="208">
        <v>51.961449999999999</v>
      </c>
      <c r="BA208" s="208">
        <v>82.973849999999999</v>
      </c>
      <c r="BB208" s="208">
        <v>942.36451</v>
      </c>
      <c r="BC208" s="208">
        <v>38889.602680000004</v>
      </c>
      <c r="BD208" s="208">
        <v>2945.2831799999999</v>
      </c>
      <c r="BE208" s="208">
        <v>501.35820999999999</v>
      </c>
      <c r="BF208" s="208">
        <v>316.2</v>
      </c>
      <c r="BG208" s="208">
        <v>160.04539</v>
      </c>
      <c r="BH208" s="208"/>
      <c r="BI208" s="323"/>
    </row>
    <row r="209" spans="3:61" ht="15" customHeight="1">
      <c r="C209" s="325"/>
      <c r="D209" s="326"/>
      <c r="E209" s="311"/>
      <c r="F209" s="311"/>
      <c r="G209" s="311"/>
      <c r="H209" s="311"/>
      <c r="I209" s="311"/>
      <c r="J209" s="317"/>
      <c r="K209" s="312"/>
      <c r="L209" s="312"/>
      <c r="M209" s="312"/>
      <c r="N209" s="312"/>
      <c r="O209" s="312"/>
      <c r="P209" s="318" t="str">
        <f t="shared" si="11"/>
        <v/>
      </c>
      <c r="Q209" s="205" t="str">
        <f t="shared" si="9"/>
        <v/>
      </c>
      <c r="R209" s="205"/>
      <c r="S209" s="319" t="str">
        <f t="shared" si="10"/>
        <v/>
      </c>
      <c r="U209" s="318"/>
      <c r="V209" s="794"/>
      <c r="W209" s="795"/>
      <c r="X209" s="482"/>
      <c r="Y209" s="482"/>
      <c r="Z209" s="482"/>
      <c r="AA209" s="319"/>
      <c r="AB209" s="220"/>
      <c r="AC209" s="318"/>
      <c r="AD209" s="319"/>
      <c r="AE209" s="220"/>
      <c r="AF209" s="320"/>
      <c r="AG209" s="205"/>
      <c r="AH209" s="205"/>
      <c r="AI209" s="205"/>
      <c r="AJ209" s="205"/>
      <c r="AK209" s="205"/>
      <c r="AL209" s="205"/>
      <c r="AM209" s="205"/>
      <c r="AN209" s="205"/>
      <c r="AO209" s="205"/>
      <c r="AP209" s="205"/>
      <c r="AQ209" s="205"/>
      <c r="AR209" s="205"/>
      <c r="AS209" s="205"/>
      <c r="AT209" s="205"/>
      <c r="AU209" s="205"/>
      <c r="AV209" s="205"/>
      <c r="AW209" s="205">
        <v>442</v>
      </c>
      <c r="AX209" s="205">
        <v>16199.796829999999</v>
      </c>
      <c r="AY209" s="205">
        <v>192.80870999999999</v>
      </c>
      <c r="AZ209" s="205">
        <v>51.26755</v>
      </c>
      <c r="BA209" s="205">
        <v>86.156829999999999</v>
      </c>
      <c r="BB209" s="205">
        <v>939.28138999999999</v>
      </c>
      <c r="BC209" s="205">
        <v>38530.077539999998</v>
      </c>
      <c r="BD209" s="205">
        <v>2975.3890000000001</v>
      </c>
      <c r="BE209" s="205">
        <v>480.52821</v>
      </c>
      <c r="BF209" s="205">
        <v>315.2</v>
      </c>
      <c r="BG209" s="205">
        <v>158.88789</v>
      </c>
      <c r="BH209" s="205"/>
      <c r="BI209" s="319"/>
    </row>
    <row r="210" spans="3:61" ht="15" customHeight="1">
      <c r="C210" s="325"/>
      <c r="D210" s="326"/>
      <c r="E210" s="311"/>
      <c r="F210" s="311"/>
      <c r="G210" s="311"/>
      <c r="H210" s="311"/>
      <c r="I210" s="311"/>
      <c r="J210" s="317"/>
      <c r="K210" s="312"/>
      <c r="L210" s="312"/>
      <c r="M210" s="312"/>
      <c r="N210" s="312"/>
      <c r="O210" s="312"/>
      <c r="P210" s="322" t="str">
        <f t="shared" si="11"/>
        <v/>
      </c>
      <c r="Q210" s="208" t="str">
        <f t="shared" si="9"/>
        <v/>
      </c>
      <c r="R210" s="208"/>
      <c r="S210" s="323" t="str">
        <f t="shared" si="10"/>
        <v/>
      </c>
      <c r="U210" s="322"/>
      <c r="V210" s="791"/>
      <c r="W210" s="792"/>
      <c r="X210" s="480"/>
      <c r="Y210" s="480"/>
      <c r="Z210" s="480"/>
      <c r="AA210" s="323"/>
      <c r="AB210" s="220"/>
      <c r="AC210" s="322"/>
      <c r="AD210" s="323"/>
      <c r="AE210" s="220"/>
      <c r="AF210" s="324"/>
      <c r="AG210" s="208"/>
      <c r="AH210" s="208"/>
      <c r="AI210" s="208"/>
      <c r="AJ210" s="208"/>
      <c r="AK210" s="208"/>
      <c r="AL210" s="208"/>
      <c r="AM210" s="208"/>
      <c r="AN210" s="208"/>
      <c r="AO210" s="208"/>
      <c r="AP210" s="208"/>
      <c r="AQ210" s="208"/>
      <c r="AR210" s="208"/>
      <c r="AS210" s="208"/>
      <c r="AT210" s="208"/>
      <c r="AU210" s="208"/>
      <c r="AV210" s="208"/>
      <c r="AW210" s="208">
        <v>443</v>
      </c>
      <c r="AX210" s="208">
        <v>15869.671689999999</v>
      </c>
      <c r="AY210" s="208">
        <v>188.05644000000001</v>
      </c>
      <c r="AZ210" s="208">
        <v>51.933050000000001</v>
      </c>
      <c r="BA210" s="208">
        <v>88.141310000000004</v>
      </c>
      <c r="BB210" s="208">
        <v>929.81713999999999</v>
      </c>
      <c r="BC210" s="208">
        <v>38348.152849999999</v>
      </c>
      <c r="BD210" s="208">
        <v>2936.0378900000001</v>
      </c>
      <c r="BE210" s="208">
        <v>486.14510000000001</v>
      </c>
      <c r="BF210" s="208">
        <v>315.3</v>
      </c>
      <c r="BG210" s="208">
        <v>159.07496</v>
      </c>
      <c r="BH210" s="208"/>
      <c r="BI210" s="323"/>
    </row>
    <row r="211" spans="3:61" ht="15" customHeight="1">
      <c r="C211" s="325"/>
      <c r="D211" s="326"/>
      <c r="E211" s="311"/>
      <c r="F211" s="311"/>
      <c r="G211" s="311"/>
      <c r="H211" s="311"/>
      <c r="I211" s="311"/>
      <c r="J211" s="317"/>
      <c r="K211" s="312"/>
      <c r="L211" s="312"/>
      <c r="M211" s="312"/>
      <c r="N211" s="312"/>
      <c r="O211" s="312"/>
      <c r="P211" s="318" t="str">
        <f t="shared" si="11"/>
        <v/>
      </c>
      <c r="Q211" s="205" t="str">
        <f t="shared" si="9"/>
        <v/>
      </c>
      <c r="R211" s="205"/>
      <c r="S211" s="319" t="str">
        <f t="shared" si="10"/>
        <v/>
      </c>
      <c r="U211" s="318"/>
      <c r="V211" s="794"/>
      <c r="W211" s="795"/>
      <c r="X211" s="482"/>
      <c r="Y211" s="482"/>
      <c r="Z211" s="482"/>
      <c r="AA211" s="319"/>
      <c r="AB211" s="220"/>
      <c r="AC211" s="318"/>
      <c r="AD211" s="319"/>
      <c r="AE211" s="220"/>
      <c r="AF211" s="320"/>
      <c r="AG211" s="205"/>
      <c r="AH211" s="205"/>
      <c r="AI211" s="205"/>
      <c r="AJ211" s="205"/>
      <c r="AK211" s="205"/>
      <c r="AL211" s="205"/>
      <c r="AM211" s="205"/>
      <c r="AN211" s="205"/>
      <c r="AO211" s="205"/>
      <c r="AP211" s="205"/>
      <c r="AQ211" s="205"/>
      <c r="AR211" s="205"/>
      <c r="AS211" s="205"/>
      <c r="AT211" s="205"/>
      <c r="AU211" s="205"/>
      <c r="AV211" s="205"/>
      <c r="AW211" s="205">
        <v>436.6</v>
      </c>
      <c r="AX211" s="205">
        <v>15758.29903</v>
      </c>
      <c r="AY211" s="205">
        <v>182.38676000000001</v>
      </c>
      <c r="AZ211" s="205">
        <v>52.564889999999998</v>
      </c>
      <c r="BA211" s="205">
        <v>91.007050000000007</v>
      </c>
      <c r="BB211" s="205">
        <v>928.82018000000005</v>
      </c>
      <c r="BC211" s="205">
        <v>37911.447059999999</v>
      </c>
      <c r="BD211" s="205">
        <v>2901.79045</v>
      </c>
      <c r="BE211" s="205">
        <v>488.35822999999999</v>
      </c>
      <c r="BF211" s="205">
        <v>313.7</v>
      </c>
      <c r="BG211" s="205">
        <v>158.178</v>
      </c>
      <c r="BH211" s="205"/>
      <c r="BI211" s="319"/>
    </row>
    <row r="212" spans="3:61" ht="15" customHeight="1">
      <c r="C212" s="325"/>
      <c r="D212" s="326"/>
      <c r="E212" s="311"/>
      <c r="F212" s="311"/>
      <c r="G212" s="311"/>
      <c r="H212" s="311"/>
      <c r="I212" s="311"/>
      <c r="J212" s="317"/>
      <c r="K212" s="312"/>
      <c r="L212" s="312"/>
      <c r="M212" s="312"/>
      <c r="N212" s="312"/>
      <c r="O212" s="312"/>
      <c r="P212" s="322" t="str">
        <f t="shared" si="11"/>
        <v/>
      </c>
      <c r="Q212" s="208" t="str">
        <f t="shared" si="9"/>
        <v/>
      </c>
      <c r="R212" s="208"/>
      <c r="S212" s="323" t="str">
        <f t="shared" si="10"/>
        <v/>
      </c>
      <c r="U212" s="322"/>
      <c r="V212" s="791"/>
      <c r="W212" s="792"/>
      <c r="X212" s="480"/>
      <c r="Y212" s="480"/>
      <c r="Z212" s="480"/>
      <c r="AA212" s="323"/>
      <c r="AB212" s="220"/>
      <c r="AC212" s="322"/>
      <c r="AD212" s="323"/>
      <c r="AE212" s="220"/>
      <c r="AF212" s="324"/>
      <c r="AG212" s="208"/>
      <c r="AH212" s="208"/>
      <c r="AI212" s="208"/>
      <c r="AJ212" s="208"/>
      <c r="AK212" s="208"/>
      <c r="AL212" s="208"/>
      <c r="AM212" s="208"/>
      <c r="AN212" s="208"/>
      <c r="AO212" s="208"/>
      <c r="AP212" s="208"/>
      <c r="AQ212" s="208"/>
      <c r="AR212" s="208"/>
      <c r="AS212" s="208"/>
      <c r="AT212" s="208"/>
      <c r="AU212" s="208"/>
      <c r="AV212" s="208"/>
      <c r="AW212" s="208">
        <v>443.8</v>
      </c>
      <c r="AX212" s="208">
        <v>15802.54772</v>
      </c>
      <c r="AY212" s="208">
        <v>181.00456</v>
      </c>
      <c r="AZ212" s="208">
        <v>53.750160000000001</v>
      </c>
      <c r="BA212" s="208">
        <v>89.425110000000004</v>
      </c>
      <c r="BB212" s="208">
        <v>924.50283999999999</v>
      </c>
      <c r="BC212" s="208">
        <v>37891.395320000003</v>
      </c>
      <c r="BD212" s="208">
        <v>2980.0572999999999</v>
      </c>
      <c r="BE212" s="208">
        <v>484.77969999999999</v>
      </c>
      <c r="BF212" s="208">
        <v>315.10000000000002</v>
      </c>
      <c r="BG212" s="208">
        <v>157.01649</v>
      </c>
      <c r="BH212" s="208"/>
      <c r="BI212" s="323"/>
    </row>
    <row r="213" spans="3:61" ht="15" customHeight="1">
      <c r="C213" s="325"/>
      <c r="D213" s="326"/>
      <c r="E213" s="311"/>
      <c r="F213" s="311"/>
      <c r="G213" s="311"/>
      <c r="H213" s="311"/>
      <c r="I213" s="311"/>
      <c r="J213" s="317"/>
      <c r="K213" s="312"/>
      <c r="L213" s="312"/>
      <c r="M213" s="312"/>
      <c r="N213" s="312"/>
      <c r="O213" s="312"/>
      <c r="P213" s="318" t="str">
        <f t="shared" si="11"/>
        <v/>
      </c>
      <c r="Q213" s="205" t="str">
        <f t="shared" si="9"/>
        <v/>
      </c>
      <c r="R213" s="205"/>
      <c r="S213" s="319" t="str">
        <f t="shared" si="10"/>
        <v/>
      </c>
      <c r="U213" s="318"/>
      <c r="V213" s="794"/>
      <c r="W213" s="795"/>
      <c r="X213" s="482"/>
      <c r="Y213" s="482"/>
      <c r="Z213" s="482"/>
      <c r="AA213" s="319"/>
      <c r="AB213" s="220"/>
      <c r="AC213" s="318"/>
      <c r="AD213" s="319"/>
      <c r="AE213" s="220"/>
      <c r="AF213" s="320"/>
      <c r="AG213" s="205"/>
      <c r="AH213" s="205"/>
      <c r="AI213" s="205"/>
      <c r="AJ213" s="205"/>
      <c r="AK213" s="205"/>
      <c r="AL213" s="205"/>
      <c r="AM213" s="205"/>
      <c r="AN213" s="205"/>
      <c r="AO213" s="205"/>
      <c r="AP213" s="205"/>
      <c r="AQ213" s="205"/>
      <c r="AR213" s="205"/>
      <c r="AS213" s="205"/>
      <c r="AT213" s="205"/>
      <c r="AU213" s="205"/>
      <c r="AV213" s="205"/>
      <c r="AW213" s="205">
        <v>460</v>
      </c>
      <c r="AX213" s="205">
        <v>16032.082839999999</v>
      </c>
      <c r="AY213" s="205">
        <v>181.80219</v>
      </c>
      <c r="AZ213" s="205">
        <v>51.673349999999999</v>
      </c>
      <c r="BA213" s="205">
        <v>91.020709999999994</v>
      </c>
      <c r="BB213" s="205">
        <v>924.48590999999999</v>
      </c>
      <c r="BC213" s="205">
        <v>37834.070070000002</v>
      </c>
      <c r="BD213" s="205">
        <v>3006.32125</v>
      </c>
      <c r="BE213" s="205">
        <v>483.24648999999999</v>
      </c>
      <c r="BF213" s="205">
        <v>320</v>
      </c>
      <c r="BG213" s="205">
        <v>155.68885</v>
      </c>
      <c r="BH213" s="205"/>
      <c r="BI213" s="319"/>
    </row>
    <row r="214" spans="3:61" ht="15" customHeight="1">
      <c r="C214" s="325"/>
      <c r="D214" s="326"/>
      <c r="E214" s="311"/>
      <c r="F214" s="311"/>
      <c r="G214" s="311"/>
      <c r="H214" s="311"/>
      <c r="I214" s="311"/>
      <c r="J214" s="317"/>
      <c r="K214" s="312"/>
      <c r="L214" s="312"/>
      <c r="M214" s="312"/>
      <c r="N214" s="312"/>
      <c r="O214" s="312"/>
      <c r="P214" s="322" t="str">
        <f t="shared" si="11"/>
        <v/>
      </c>
      <c r="Q214" s="208" t="str">
        <f t="shared" si="9"/>
        <v/>
      </c>
      <c r="R214" s="208"/>
      <c r="S214" s="323" t="str">
        <f t="shared" si="10"/>
        <v/>
      </c>
      <c r="U214" s="322"/>
      <c r="V214" s="791"/>
      <c r="W214" s="792"/>
      <c r="X214" s="480"/>
      <c r="Y214" s="480"/>
      <c r="Z214" s="480"/>
      <c r="AA214" s="323"/>
      <c r="AB214" s="220"/>
      <c r="AC214" s="322"/>
      <c r="AD214" s="323"/>
      <c r="AE214" s="220"/>
      <c r="AF214" s="324"/>
      <c r="AG214" s="208"/>
      <c r="AH214" s="208"/>
      <c r="AI214" s="208"/>
      <c r="AJ214" s="208"/>
      <c r="AK214" s="208"/>
      <c r="AL214" s="208"/>
      <c r="AM214" s="208"/>
      <c r="AN214" s="208"/>
      <c r="AO214" s="208"/>
      <c r="AP214" s="208"/>
      <c r="AQ214" s="208"/>
      <c r="AR214" s="208"/>
      <c r="AS214" s="208"/>
      <c r="AT214" s="208"/>
      <c r="AU214" s="208"/>
      <c r="AV214" s="208"/>
      <c r="AW214" s="208">
        <v>450</v>
      </c>
      <c r="AX214" s="208">
        <v>15933.568219999999</v>
      </c>
      <c r="AY214" s="208">
        <v>191.15664000000001</v>
      </c>
      <c r="AZ214" s="208">
        <v>50.6051</v>
      </c>
      <c r="BA214" s="208">
        <v>89.494500000000002</v>
      </c>
      <c r="BB214" s="208">
        <v>923.56161999999995</v>
      </c>
      <c r="BC214" s="208">
        <v>37424.005660000003</v>
      </c>
      <c r="BD214" s="208">
        <v>2981.10727</v>
      </c>
      <c r="BE214" s="208">
        <v>483.19974000000002</v>
      </c>
      <c r="BF214" s="208">
        <v>323.7</v>
      </c>
      <c r="BG214" s="208">
        <v>150.73262</v>
      </c>
      <c r="BH214" s="208"/>
      <c r="BI214" s="323"/>
    </row>
    <row r="215" spans="3:61" ht="15" customHeight="1">
      <c r="C215" s="325"/>
      <c r="D215" s="326"/>
      <c r="E215" s="311"/>
      <c r="F215" s="311"/>
      <c r="G215" s="311"/>
      <c r="H215" s="311"/>
      <c r="I215" s="311"/>
      <c r="J215" s="317"/>
      <c r="K215" s="312"/>
      <c r="L215" s="312"/>
      <c r="M215" s="312"/>
      <c r="N215" s="312"/>
      <c r="O215" s="312"/>
      <c r="P215" s="318" t="str">
        <f t="shared" si="11"/>
        <v/>
      </c>
      <c r="Q215" s="205" t="str">
        <f t="shared" si="9"/>
        <v/>
      </c>
      <c r="R215" s="205"/>
      <c r="S215" s="319" t="str">
        <f t="shared" si="10"/>
        <v/>
      </c>
      <c r="U215" s="318"/>
      <c r="V215" s="794"/>
      <c r="W215" s="795"/>
      <c r="X215" s="482"/>
      <c r="Y215" s="482"/>
      <c r="Z215" s="482"/>
      <c r="AA215" s="319"/>
      <c r="AB215" s="220"/>
      <c r="AC215" s="318"/>
      <c r="AD215" s="319"/>
      <c r="AE215" s="220"/>
      <c r="AF215" s="320"/>
      <c r="AG215" s="205"/>
      <c r="AH215" s="205"/>
      <c r="AI215" s="205"/>
      <c r="AJ215" s="205"/>
      <c r="AK215" s="205"/>
      <c r="AL215" s="205"/>
      <c r="AM215" s="205"/>
      <c r="AN215" s="205"/>
      <c r="AO215" s="205"/>
      <c r="AP215" s="205"/>
      <c r="AQ215" s="205"/>
      <c r="AR215" s="205"/>
      <c r="AS215" s="205"/>
      <c r="AT215" s="205"/>
      <c r="AU215" s="205"/>
      <c r="AV215" s="205"/>
      <c r="AW215" s="205">
        <v>439.1</v>
      </c>
      <c r="AX215" s="205">
        <v>15948.976849999999</v>
      </c>
      <c r="AY215" s="205">
        <v>191.09415999999999</v>
      </c>
      <c r="AZ215" s="205">
        <v>53.113869999999999</v>
      </c>
      <c r="BA215" s="205">
        <v>94.195830000000001</v>
      </c>
      <c r="BB215" s="205">
        <v>925.97402999999997</v>
      </c>
      <c r="BC215" s="205">
        <v>37206.376479999999</v>
      </c>
      <c r="BD215" s="205">
        <v>2946.7456099999999</v>
      </c>
      <c r="BE215" s="205">
        <v>488.66007999999999</v>
      </c>
      <c r="BF215" s="205">
        <v>320</v>
      </c>
      <c r="BG215" s="205">
        <v>166.45022</v>
      </c>
      <c r="BH215" s="205"/>
      <c r="BI215" s="319"/>
    </row>
    <row r="216" spans="3:61" ht="15" customHeight="1">
      <c r="C216" s="325"/>
      <c r="D216" s="326"/>
      <c r="E216" s="311"/>
      <c r="F216" s="311"/>
      <c r="G216" s="311"/>
      <c r="H216" s="311"/>
      <c r="I216" s="311"/>
      <c r="J216" s="317"/>
      <c r="K216" s="312"/>
      <c r="L216" s="312"/>
      <c r="M216" s="312"/>
      <c r="N216" s="312"/>
      <c r="O216" s="312"/>
      <c r="P216" s="322" t="str">
        <f t="shared" si="11"/>
        <v/>
      </c>
      <c r="Q216" s="208" t="str">
        <f t="shared" si="9"/>
        <v/>
      </c>
      <c r="R216" s="208"/>
      <c r="S216" s="323" t="str">
        <f t="shared" si="10"/>
        <v/>
      </c>
      <c r="U216" s="322"/>
      <c r="V216" s="791"/>
      <c r="W216" s="792"/>
      <c r="X216" s="480"/>
      <c r="Y216" s="480"/>
      <c r="Z216" s="480"/>
      <c r="AA216" s="323"/>
      <c r="AB216" s="220"/>
      <c r="AC216" s="322"/>
      <c r="AD216" s="323"/>
      <c r="AE216" s="220"/>
      <c r="AF216" s="324"/>
      <c r="AG216" s="208"/>
      <c r="AH216" s="208"/>
      <c r="AI216" s="208"/>
      <c r="AJ216" s="208"/>
      <c r="AK216" s="208"/>
      <c r="AL216" s="208"/>
      <c r="AM216" s="208"/>
      <c r="AN216" s="208"/>
      <c r="AO216" s="208"/>
      <c r="AP216" s="208"/>
      <c r="AQ216" s="208"/>
      <c r="AR216" s="208"/>
      <c r="AS216" s="208"/>
      <c r="AT216" s="208"/>
      <c r="AU216" s="208"/>
      <c r="AV216" s="208"/>
      <c r="AW216" s="208">
        <v>442</v>
      </c>
      <c r="AX216" s="208">
        <v>16685.159149999999</v>
      </c>
      <c r="AY216" s="208">
        <v>189.83456000000001</v>
      </c>
      <c r="AZ216" s="208">
        <v>53.957349999999998</v>
      </c>
      <c r="BA216" s="208">
        <v>94.580209999999994</v>
      </c>
      <c r="BB216" s="208">
        <v>924.55844999999999</v>
      </c>
      <c r="BC216" s="208">
        <v>37385.252970000001</v>
      </c>
      <c r="BD216" s="208">
        <v>2927.1490600000002</v>
      </c>
      <c r="BE216" s="208">
        <v>485.58278000000001</v>
      </c>
      <c r="BF216" s="208">
        <v>324</v>
      </c>
      <c r="BG216" s="208">
        <v>165.70151000000001</v>
      </c>
      <c r="BH216" s="208"/>
      <c r="BI216" s="323"/>
    </row>
    <row r="217" spans="3:61" ht="15" customHeight="1">
      <c r="C217" s="325"/>
      <c r="D217" s="326"/>
      <c r="E217" s="311"/>
      <c r="F217" s="311"/>
      <c r="G217" s="311"/>
      <c r="H217" s="311"/>
      <c r="I217" s="311"/>
      <c r="J217" s="317"/>
      <c r="K217" s="312"/>
      <c r="L217" s="312"/>
      <c r="M217" s="312"/>
      <c r="N217" s="312"/>
      <c r="O217" s="312"/>
      <c r="P217" s="318" t="str">
        <f t="shared" si="11"/>
        <v/>
      </c>
      <c r="Q217" s="205" t="str">
        <f t="shared" si="9"/>
        <v/>
      </c>
      <c r="R217" s="205"/>
      <c r="S217" s="319" t="str">
        <f t="shared" si="10"/>
        <v/>
      </c>
      <c r="U217" s="318"/>
      <c r="V217" s="794"/>
      <c r="W217" s="795"/>
      <c r="X217" s="482"/>
      <c r="Y217" s="482"/>
      <c r="Z217" s="482"/>
      <c r="AA217" s="319"/>
      <c r="AB217" s="220"/>
      <c r="AC217" s="318"/>
      <c r="AD217" s="319"/>
      <c r="AE217" s="220"/>
      <c r="AF217" s="320"/>
      <c r="AG217" s="205"/>
      <c r="AH217" s="205"/>
      <c r="AI217" s="205"/>
      <c r="AJ217" s="205"/>
      <c r="AK217" s="205"/>
      <c r="AL217" s="205"/>
      <c r="AM217" s="205"/>
      <c r="AN217" s="205"/>
      <c r="AO217" s="205"/>
      <c r="AP217" s="205"/>
      <c r="AQ217" s="205"/>
      <c r="AR217" s="205"/>
      <c r="AS217" s="205"/>
      <c r="AT217" s="205"/>
      <c r="AU217" s="205"/>
      <c r="AV217" s="205"/>
      <c r="AW217" s="205">
        <v>435.4</v>
      </c>
      <c r="AX217" s="205">
        <v>16923.647349999999</v>
      </c>
      <c r="AY217" s="205">
        <v>190.62589</v>
      </c>
      <c r="AZ217" s="205">
        <v>54.438160000000003</v>
      </c>
      <c r="BA217" s="205">
        <v>96.768839999999997</v>
      </c>
      <c r="BB217" s="205">
        <v>915.14958999999999</v>
      </c>
      <c r="BC217" s="205">
        <v>36804.982790000002</v>
      </c>
      <c r="BD217" s="205">
        <v>2898.6849200000001</v>
      </c>
      <c r="BE217" s="205">
        <v>484.89848000000001</v>
      </c>
      <c r="BF217" s="205">
        <v>323.39999999999998</v>
      </c>
      <c r="BG217" s="205">
        <v>163.41457</v>
      </c>
      <c r="BH217" s="205"/>
      <c r="BI217" s="319"/>
    </row>
    <row r="218" spans="3:61" ht="15" customHeight="1">
      <c r="C218" s="325"/>
      <c r="D218" s="326"/>
      <c r="E218" s="311"/>
      <c r="F218" s="311"/>
      <c r="G218" s="311"/>
      <c r="H218" s="311"/>
      <c r="I218" s="311"/>
      <c r="J218" s="317"/>
      <c r="K218" s="312"/>
      <c r="L218" s="312"/>
      <c r="M218" s="312"/>
      <c r="N218" s="312"/>
      <c r="O218" s="312"/>
      <c r="P218" s="322" t="str">
        <f t="shared" si="11"/>
        <v/>
      </c>
      <c r="Q218" s="208" t="str">
        <f t="shared" si="9"/>
        <v/>
      </c>
      <c r="R218" s="208"/>
      <c r="S218" s="323" t="str">
        <f t="shared" si="10"/>
        <v/>
      </c>
      <c r="U218" s="322"/>
      <c r="V218" s="791"/>
      <c r="W218" s="792"/>
      <c r="X218" s="480"/>
      <c r="Y218" s="480"/>
      <c r="Z218" s="480"/>
      <c r="AA218" s="323"/>
      <c r="AB218" s="220"/>
      <c r="AC218" s="322"/>
      <c r="AD218" s="323"/>
      <c r="AE218" s="220"/>
      <c r="AF218" s="324"/>
      <c r="AG218" s="208"/>
      <c r="AH218" s="208"/>
      <c r="AI218" s="208"/>
      <c r="AJ218" s="208"/>
      <c r="AK218" s="208"/>
      <c r="AL218" s="208"/>
      <c r="AM218" s="208"/>
      <c r="AN218" s="208"/>
      <c r="AO218" s="208"/>
      <c r="AP218" s="208"/>
      <c r="AQ218" s="208"/>
      <c r="AR218" s="208"/>
      <c r="AS218" s="208"/>
      <c r="AT218" s="208"/>
      <c r="AU218" s="208"/>
      <c r="AV218" s="208"/>
      <c r="AW218" s="208">
        <v>436.9</v>
      </c>
      <c r="AX218" s="208">
        <v>17218.307400000002</v>
      </c>
      <c r="AY218" s="208">
        <v>195.11206000000001</v>
      </c>
      <c r="AZ218" s="208">
        <v>53.869390000000003</v>
      </c>
      <c r="BA218" s="208">
        <v>96.251689999999996</v>
      </c>
      <c r="BB218" s="208">
        <v>916.73761000000002</v>
      </c>
      <c r="BC218" s="208">
        <v>36373.587359999998</v>
      </c>
      <c r="BD218" s="208">
        <v>2906.29412</v>
      </c>
      <c r="BE218" s="208">
        <v>488.56292000000002</v>
      </c>
      <c r="BF218" s="208">
        <v>324.3</v>
      </c>
      <c r="BG218" s="208">
        <v>164.49956</v>
      </c>
      <c r="BH218" s="208"/>
      <c r="BI218" s="323"/>
    </row>
    <row r="219" spans="3:61" ht="15" customHeight="1">
      <c r="C219" s="325"/>
      <c r="D219" s="326"/>
      <c r="E219" s="311"/>
      <c r="F219" s="311"/>
      <c r="G219" s="311"/>
      <c r="H219" s="311"/>
      <c r="I219" s="311"/>
      <c r="J219" s="317"/>
      <c r="K219" s="312"/>
      <c r="L219" s="312"/>
      <c r="M219" s="312"/>
      <c r="N219" s="312"/>
      <c r="O219" s="312"/>
      <c r="P219" s="318" t="str">
        <f t="shared" si="11"/>
        <v/>
      </c>
      <c r="Q219" s="205" t="str">
        <f t="shared" si="9"/>
        <v/>
      </c>
      <c r="R219" s="205"/>
      <c r="S219" s="319" t="str">
        <f t="shared" si="10"/>
        <v/>
      </c>
      <c r="U219" s="318"/>
      <c r="V219" s="794"/>
      <c r="W219" s="795"/>
      <c r="X219" s="482"/>
      <c r="Y219" s="482"/>
      <c r="Z219" s="482"/>
      <c r="AA219" s="319"/>
      <c r="AB219" s="220"/>
      <c r="AC219" s="318"/>
      <c r="AD219" s="319"/>
      <c r="AE219" s="220"/>
      <c r="AF219" s="320"/>
      <c r="AG219" s="205"/>
      <c r="AH219" s="205"/>
      <c r="AI219" s="205"/>
      <c r="AJ219" s="205"/>
      <c r="AK219" s="205"/>
      <c r="AL219" s="205"/>
      <c r="AM219" s="205"/>
      <c r="AN219" s="205"/>
      <c r="AO219" s="205"/>
      <c r="AP219" s="205"/>
      <c r="AQ219" s="205"/>
      <c r="AR219" s="205"/>
      <c r="AS219" s="205"/>
      <c r="AT219" s="205"/>
      <c r="AU219" s="205"/>
      <c r="AV219" s="205"/>
      <c r="AW219" s="205">
        <v>441.2</v>
      </c>
      <c r="AX219" s="205">
        <v>17365.799299999999</v>
      </c>
      <c r="AY219" s="205">
        <v>197.41861</v>
      </c>
      <c r="AZ219" s="205">
        <v>53.484439999999999</v>
      </c>
      <c r="BA219" s="205">
        <v>95.336839999999995</v>
      </c>
      <c r="BB219" s="205">
        <v>918.03862000000004</v>
      </c>
      <c r="BC219" s="205">
        <v>36916.858419999997</v>
      </c>
      <c r="BD219" s="205">
        <v>2960.36031</v>
      </c>
      <c r="BE219" s="205">
        <v>496.82866999999999</v>
      </c>
      <c r="BF219" s="205">
        <v>327</v>
      </c>
      <c r="BG219" s="205">
        <v>164.71369999999999</v>
      </c>
      <c r="BH219" s="205"/>
      <c r="BI219" s="319"/>
    </row>
    <row r="220" spans="3:61" ht="15" customHeight="1">
      <c r="C220" s="325"/>
      <c r="D220" s="326"/>
      <c r="E220" s="311"/>
      <c r="F220" s="311"/>
      <c r="G220" s="311"/>
      <c r="H220" s="311"/>
      <c r="I220" s="311"/>
      <c r="J220" s="317"/>
      <c r="K220" s="312"/>
      <c r="L220" s="312"/>
      <c r="M220" s="312"/>
      <c r="N220" s="312"/>
      <c r="O220" s="312"/>
      <c r="P220" s="322" t="str">
        <f t="shared" si="11"/>
        <v/>
      </c>
      <c r="Q220" s="208" t="str">
        <f t="shared" si="9"/>
        <v/>
      </c>
      <c r="R220" s="208"/>
      <c r="S220" s="323" t="str">
        <f t="shared" si="10"/>
        <v/>
      </c>
      <c r="U220" s="322"/>
      <c r="V220" s="791"/>
      <c r="W220" s="792"/>
      <c r="X220" s="480"/>
      <c r="Y220" s="480"/>
      <c r="Z220" s="480"/>
      <c r="AA220" s="323"/>
      <c r="AB220" s="220"/>
      <c r="AC220" s="322"/>
      <c r="AD220" s="323"/>
      <c r="AE220" s="220"/>
      <c r="AF220" s="324"/>
      <c r="AG220" s="208"/>
      <c r="AH220" s="208"/>
      <c r="AI220" s="208"/>
      <c r="AJ220" s="208"/>
      <c r="AK220" s="208"/>
      <c r="AL220" s="208"/>
      <c r="AM220" s="208"/>
      <c r="AN220" s="208"/>
      <c r="AO220" s="208"/>
      <c r="AP220" s="208"/>
      <c r="AQ220" s="208"/>
      <c r="AR220" s="208"/>
      <c r="AS220" s="208"/>
      <c r="AT220" s="208"/>
      <c r="AU220" s="208"/>
      <c r="AV220" s="208"/>
      <c r="AW220" s="208">
        <v>442.8</v>
      </c>
      <c r="AX220" s="208">
        <v>17211.029350000001</v>
      </c>
      <c r="AY220" s="208">
        <v>193.53372999999999</v>
      </c>
      <c r="AZ220" s="208">
        <v>51.112430000000003</v>
      </c>
      <c r="BA220" s="208">
        <v>95.336839999999995</v>
      </c>
      <c r="BB220" s="208">
        <v>911.51727000000005</v>
      </c>
      <c r="BC220" s="208">
        <v>36461.014179999998</v>
      </c>
      <c r="BD220" s="208">
        <v>2945.08797</v>
      </c>
      <c r="BE220" s="208">
        <v>497.16001</v>
      </c>
      <c r="BF220" s="208">
        <v>327.5</v>
      </c>
      <c r="BG220" s="208">
        <v>165.29986</v>
      </c>
      <c r="BH220" s="208"/>
      <c r="BI220" s="323"/>
    </row>
    <row r="221" spans="3:61" ht="15" customHeight="1">
      <c r="C221" s="325"/>
      <c r="D221" s="326"/>
      <c r="E221" s="311"/>
      <c r="F221" s="311"/>
      <c r="G221" s="311"/>
      <c r="H221" s="311"/>
      <c r="I221" s="311"/>
      <c r="J221" s="317"/>
      <c r="K221" s="312"/>
      <c r="L221" s="312"/>
      <c r="M221" s="312"/>
      <c r="N221" s="312"/>
      <c r="O221" s="312"/>
      <c r="P221" s="318" t="str">
        <f t="shared" si="11"/>
        <v/>
      </c>
      <c r="Q221" s="205" t="str">
        <f t="shared" si="9"/>
        <v/>
      </c>
      <c r="R221" s="205"/>
      <c r="S221" s="319" t="str">
        <f t="shared" si="10"/>
        <v/>
      </c>
      <c r="U221" s="318"/>
      <c r="V221" s="794"/>
      <c r="W221" s="795"/>
      <c r="X221" s="482"/>
      <c r="Y221" s="482"/>
      <c r="Z221" s="482"/>
      <c r="AA221" s="319"/>
      <c r="AB221" s="220"/>
      <c r="AC221" s="318"/>
      <c r="AD221" s="319"/>
      <c r="AE221" s="220"/>
      <c r="AF221" s="320"/>
      <c r="AG221" s="205"/>
      <c r="AH221" s="205"/>
      <c r="AI221" s="205"/>
      <c r="AJ221" s="205"/>
      <c r="AK221" s="205"/>
      <c r="AL221" s="205"/>
      <c r="AM221" s="205"/>
      <c r="AN221" s="205"/>
      <c r="AO221" s="205"/>
      <c r="AP221" s="205"/>
      <c r="AQ221" s="205"/>
      <c r="AR221" s="205"/>
      <c r="AS221" s="205"/>
      <c r="AT221" s="205"/>
      <c r="AU221" s="205"/>
      <c r="AV221" s="205"/>
      <c r="AW221" s="205">
        <v>447</v>
      </c>
      <c r="AX221" s="205">
        <v>17194.644240000001</v>
      </c>
      <c r="AY221" s="205">
        <v>196.86488</v>
      </c>
      <c r="AZ221" s="205">
        <v>51.693919999999999</v>
      </c>
      <c r="BA221" s="205">
        <v>91.362719999999996</v>
      </c>
      <c r="BB221" s="205">
        <v>910.69289000000003</v>
      </c>
      <c r="BC221" s="205">
        <v>36976.350129999999</v>
      </c>
      <c r="BD221" s="205">
        <v>2911.9442600000002</v>
      </c>
      <c r="BE221" s="205">
        <v>499.33121999999997</v>
      </c>
      <c r="BF221" s="205">
        <v>325.39999999999998</v>
      </c>
      <c r="BG221" s="205">
        <v>168.33986999999999</v>
      </c>
      <c r="BH221" s="205"/>
      <c r="BI221" s="319"/>
    </row>
    <row r="222" spans="3:61" ht="15" customHeight="1">
      <c r="C222" s="325"/>
      <c r="D222" s="326"/>
      <c r="E222" s="311"/>
      <c r="F222" s="311"/>
      <c r="G222" s="311"/>
      <c r="H222" s="311"/>
      <c r="I222" s="311"/>
      <c r="J222" s="317"/>
      <c r="K222" s="312"/>
      <c r="L222" s="312"/>
      <c r="M222" s="312"/>
      <c r="N222" s="312"/>
      <c r="O222" s="312"/>
      <c r="P222" s="322" t="str">
        <f t="shared" si="11"/>
        <v/>
      </c>
      <c r="Q222" s="208" t="str">
        <f t="shared" si="9"/>
        <v/>
      </c>
      <c r="R222" s="208"/>
      <c r="S222" s="323" t="str">
        <f t="shared" si="10"/>
        <v/>
      </c>
      <c r="U222" s="322"/>
      <c r="V222" s="791"/>
      <c r="W222" s="792"/>
      <c r="X222" s="480"/>
      <c r="Y222" s="480"/>
      <c r="Z222" s="480"/>
      <c r="AA222" s="323"/>
      <c r="AB222" s="220"/>
      <c r="AC222" s="322"/>
      <c r="AD222" s="323"/>
      <c r="AE222" s="220"/>
      <c r="AF222" s="324"/>
      <c r="AG222" s="208"/>
      <c r="AH222" s="208"/>
      <c r="AI222" s="208"/>
      <c r="AJ222" s="208"/>
      <c r="AK222" s="208"/>
      <c r="AL222" s="208"/>
      <c r="AM222" s="208"/>
      <c r="AN222" s="208"/>
      <c r="AO222" s="208"/>
      <c r="AP222" s="208"/>
      <c r="AQ222" s="208"/>
      <c r="AR222" s="208"/>
      <c r="AS222" s="208"/>
      <c r="AT222" s="208"/>
      <c r="AU222" s="208"/>
      <c r="AV222" s="208"/>
      <c r="AW222" s="208">
        <v>443.8</v>
      </c>
      <c r="AX222" s="208">
        <v>17210.44961</v>
      </c>
      <c r="AY222" s="208">
        <v>191.71863999999999</v>
      </c>
      <c r="AZ222" s="208">
        <v>51.067189999999997</v>
      </c>
      <c r="BA222" s="208">
        <v>90.093699999999998</v>
      </c>
      <c r="BB222" s="208">
        <v>913.64120000000003</v>
      </c>
      <c r="BC222" s="208">
        <v>36754.621209999998</v>
      </c>
      <c r="BD222" s="208">
        <v>2929.22003</v>
      </c>
      <c r="BE222" s="208">
        <v>509.10426000000001</v>
      </c>
      <c r="BF222" s="208">
        <v>328.7</v>
      </c>
      <c r="BG222" s="208">
        <v>169.67149000000001</v>
      </c>
      <c r="BH222" s="208"/>
      <c r="BI222" s="323"/>
    </row>
    <row r="223" spans="3:61" ht="15" customHeight="1">
      <c r="C223" s="325"/>
      <c r="D223" s="326"/>
      <c r="E223" s="311"/>
      <c r="F223" s="311"/>
      <c r="G223" s="311"/>
      <c r="H223" s="311"/>
      <c r="I223" s="311"/>
      <c r="J223" s="317"/>
      <c r="K223" s="312"/>
      <c r="L223" s="312"/>
      <c r="M223" s="312"/>
      <c r="N223" s="312"/>
      <c r="O223" s="312"/>
      <c r="P223" s="318" t="str">
        <f t="shared" si="11"/>
        <v/>
      </c>
      <c r="Q223" s="205" t="str">
        <f t="shared" si="9"/>
        <v/>
      </c>
      <c r="R223" s="205"/>
      <c r="S223" s="319" t="str">
        <f t="shared" si="10"/>
        <v/>
      </c>
      <c r="U223" s="318"/>
      <c r="V223" s="794"/>
      <c r="W223" s="795"/>
      <c r="X223" s="482"/>
      <c r="Y223" s="482"/>
      <c r="Z223" s="482"/>
      <c r="AA223" s="319"/>
      <c r="AB223" s="220"/>
      <c r="AC223" s="318"/>
      <c r="AD223" s="319"/>
      <c r="AE223" s="220"/>
      <c r="AF223" s="320"/>
      <c r="AG223" s="205"/>
      <c r="AH223" s="205"/>
      <c r="AI223" s="205"/>
      <c r="AJ223" s="205"/>
      <c r="AK223" s="205"/>
      <c r="AL223" s="205"/>
      <c r="AM223" s="205"/>
      <c r="AN223" s="205"/>
      <c r="AO223" s="205"/>
      <c r="AP223" s="205"/>
      <c r="AQ223" s="205"/>
      <c r="AR223" s="205"/>
      <c r="AS223" s="205"/>
      <c r="AT223" s="205"/>
      <c r="AU223" s="205"/>
      <c r="AV223" s="205"/>
      <c r="AW223" s="205">
        <v>451.6</v>
      </c>
      <c r="AX223" s="205">
        <v>17081.67555</v>
      </c>
      <c r="AY223" s="205">
        <v>191.26849999999999</v>
      </c>
      <c r="AZ223" s="205">
        <v>50.496659999999999</v>
      </c>
      <c r="BA223" s="205">
        <v>95.43347</v>
      </c>
      <c r="BB223" s="205">
        <v>907.12338</v>
      </c>
      <c r="BC223" s="205">
        <v>36864.946210000002</v>
      </c>
      <c r="BD223" s="205">
        <v>2888.2634200000002</v>
      </c>
      <c r="BE223" s="205">
        <v>511.91550000000001</v>
      </c>
      <c r="BF223" s="205">
        <v>334.3</v>
      </c>
      <c r="BG223" s="205">
        <v>171.10642000000001</v>
      </c>
      <c r="BH223" s="205"/>
      <c r="BI223" s="319"/>
    </row>
    <row r="224" spans="3:61" ht="15" customHeight="1">
      <c r="C224" s="325"/>
      <c r="D224" s="326"/>
      <c r="E224" s="311"/>
      <c r="F224" s="311"/>
      <c r="G224" s="311"/>
      <c r="H224" s="311"/>
      <c r="I224" s="311"/>
      <c r="J224" s="317"/>
      <c r="K224" s="312"/>
      <c r="L224" s="312"/>
      <c r="M224" s="312"/>
      <c r="N224" s="312"/>
      <c r="O224" s="312"/>
      <c r="P224" s="322" t="str">
        <f t="shared" si="11"/>
        <v/>
      </c>
      <c r="Q224" s="208" t="str">
        <f t="shared" si="9"/>
        <v/>
      </c>
      <c r="R224" s="208"/>
      <c r="S224" s="323" t="str">
        <f t="shared" si="10"/>
        <v/>
      </c>
      <c r="U224" s="322"/>
      <c r="V224" s="791"/>
      <c r="W224" s="792"/>
      <c r="X224" s="480"/>
      <c r="Y224" s="480"/>
      <c r="Z224" s="480"/>
      <c r="AA224" s="323"/>
      <c r="AB224" s="220"/>
      <c r="AC224" s="322"/>
      <c r="AD224" s="323"/>
      <c r="AE224" s="220"/>
      <c r="AF224" s="324"/>
      <c r="AG224" s="208"/>
      <c r="AH224" s="208"/>
      <c r="AI224" s="208"/>
      <c r="AJ224" s="208"/>
      <c r="AK224" s="208"/>
      <c r="AL224" s="208"/>
      <c r="AM224" s="208"/>
      <c r="AN224" s="208"/>
      <c r="AO224" s="208"/>
      <c r="AP224" s="208"/>
      <c r="AQ224" s="208"/>
      <c r="AR224" s="208"/>
      <c r="AS224" s="208"/>
      <c r="AT224" s="208"/>
      <c r="AU224" s="208"/>
      <c r="AV224" s="208"/>
      <c r="AW224" s="208">
        <v>455.7</v>
      </c>
      <c r="AX224" s="208">
        <v>16825.128140000001</v>
      </c>
      <c r="AY224" s="208">
        <v>188.22014999999999</v>
      </c>
      <c r="AZ224" s="208">
        <v>49.884459999999997</v>
      </c>
      <c r="BA224" s="208">
        <v>95.353989999999996</v>
      </c>
      <c r="BB224" s="208">
        <v>906.33096</v>
      </c>
      <c r="BC224" s="208">
        <v>37144.587809999997</v>
      </c>
      <c r="BD224" s="208">
        <v>2897.2138100000002</v>
      </c>
      <c r="BE224" s="208">
        <v>512.44967999999994</v>
      </c>
      <c r="BF224" s="208">
        <v>339.1</v>
      </c>
      <c r="BG224" s="208">
        <v>172.52278999999999</v>
      </c>
      <c r="BH224" s="208"/>
      <c r="BI224" s="323"/>
    </row>
    <row r="225" spans="3:61" ht="15" customHeight="1">
      <c r="C225" s="325"/>
      <c r="D225" s="326"/>
      <c r="E225" s="311"/>
      <c r="F225" s="311"/>
      <c r="G225" s="311"/>
      <c r="H225" s="311"/>
      <c r="I225" s="311"/>
      <c r="J225" s="317"/>
      <c r="K225" s="312"/>
      <c r="L225" s="312"/>
      <c r="M225" s="312"/>
      <c r="N225" s="312"/>
      <c r="O225" s="312"/>
      <c r="P225" s="318" t="str">
        <f t="shared" si="11"/>
        <v/>
      </c>
      <c r="Q225" s="205" t="str">
        <f t="shared" si="9"/>
        <v/>
      </c>
      <c r="R225" s="205"/>
      <c r="S225" s="319" t="str">
        <f t="shared" si="10"/>
        <v/>
      </c>
      <c r="U225" s="318"/>
      <c r="V225" s="794"/>
      <c r="W225" s="795"/>
      <c r="X225" s="482"/>
      <c r="Y225" s="482"/>
      <c r="Z225" s="482"/>
      <c r="AA225" s="319"/>
      <c r="AB225" s="220"/>
      <c r="AC225" s="318"/>
      <c r="AD225" s="319"/>
      <c r="AE225" s="220"/>
      <c r="AF225" s="320"/>
      <c r="AG225" s="205"/>
      <c r="AH225" s="205"/>
      <c r="AI225" s="205"/>
      <c r="AJ225" s="205"/>
      <c r="AK225" s="205"/>
      <c r="AL225" s="205"/>
      <c r="AM225" s="205"/>
      <c r="AN225" s="205"/>
      <c r="AO225" s="205"/>
      <c r="AP225" s="205"/>
      <c r="AQ225" s="205"/>
      <c r="AR225" s="205"/>
      <c r="AS225" s="205"/>
      <c r="AT225" s="205"/>
      <c r="AU225" s="205"/>
      <c r="AV225" s="205"/>
      <c r="AW225" s="205">
        <v>456.1</v>
      </c>
      <c r="AX225" s="205">
        <v>16971.870340000001</v>
      </c>
      <c r="AY225" s="205">
        <v>189.32267999999999</v>
      </c>
      <c r="AZ225" s="205">
        <v>50.508049999999997</v>
      </c>
      <c r="BA225" s="205">
        <v>94.940119999999993</v>
      </c>
      <c r="BB225" s="205">
        <v>911.18278999999995</v>
      </c>
      <c r="BC225" s="205">
        <v>37170.857150000003</v>
      </c>
      <c r="BD225" s="205">
        <v>2922.8442599999998</v>
      </c>
      <c r="BE225" s="205">
        <v>517.11318000000006</v>
      </c>
      <c r="BF225" s="205">
        <v>335.5</v>
      </c>
      <c r="BG225" s="205">
        <v>170.70669000000001</v>
      </c>
      <c r="BH225" s="205"/>
      <c r="BI225" s="319"/>
    </row>
    <row r="226" spans="3:61" ht="15" customHeight="1">
      <c r="C226" s="325"/>
      <c r="D226" s="326"/>
      <c r="E226" s="311"/>
      <c r="F226" s="311"/>
      <c r="G226" s="311"/>
      <c r="H226" s="311"/>
      <c r="I226" s="311"/>
      <c r="J226" s="317"/>
      <c r="K226" s="312"/>
      <c r="L226" s="312"/>
      <c r="M226" s="312"/>
      <c r="N226" s="312"/>
      <c r="O226" s="312"/>
      <c r="P226" s="322" t="str">
        <f t="shared" si="11"/>
        <v/>
      </c>
      <c r="Q226" s="208" t="str">
        <f t="shared" si="9"/>
        <v/>
      </c>
      <c r="R226" s="208"/>
      <c r="S226" s="323" t="str">
        <f t="shared" si="10"/>
        <v/>
      </c>
      <c r="U226" s="322"/>
      <c r="V226" s="791"/>
      <c r="W226" s="792"/>
      <c r="X226" s="480"/>
      <c r="Y226" s="480"/>
      <c r="Z226" s="480"/>
      <c r="AA226" s="323"/>
      <c r="AB226" s="220"/>
      <c r="AC226" s="322"/>
      <c r="AD226" s="323"/>
      <c r="AE226" s="220"/>
      <c r="AF226" s="324"/>
      <c r="AG226" s="208"/>
      <c r="AH226" s="208"/>
      <c r="AI226" s="208"/>
      <c r="AJ226" s="208"/>
      <c r="AK226" s="208"/>
      <c r="AL226" s="208"/>
      <c r="AM226" s="208"/>
      <c r="AN226" s="208"/>
      <c r="AO226" s="208"/>
      <c r="AP226" s="208"/>
      <c r="AQ226" s="208"/>
      <c r="AR226" s="208"/>
      <c r="AS226" s="208"/>
      <c r="AT226" s="208"/>
      <c r="AU226" s="208"/>
      <c r="AV226" s="208"/>
      <c r="AW226" s="208">
        <v>452.7</v>
      </c>
      <c r="AX226" s="208">
        <v>16671.882170000001</v>
      </c>
      <c r="AY226" s="208">
        <v>193.50668999999999</v>
      </c>
      <c r="AZ226" s="208">
        <v>50.609119999999997</v>
      </c>
      <c r="BA226" s="208">
        <v>94.831389999999999</v>
      </c>
      <c r="BB226" s="208">
        <v>905.50279</v>
      </c>
      <c r="BC226" s="208">
        <v>36985.779569999999</v>
      </c>
      <c r="BD226" s="208">
        <v>2902.0508399999999</v>
      </c>
      <c r="BE226" s="208">
        <v>517.38765000000001</v>
      </c>
      <c r="BF226" s="208">
        <v>335</v>
      </c>
      <c r="BG226" s="208">
        <v>166.54265000000001</v>
      </c>
      <c r="BH226" s="208"/>
      <c r="BI226" s="323"/>
    </row>
    <row r="227" spans="3:61" ht="15" customHeight="1">
      <c r="C227" s="325"/>
      <c r="D227" s="326"/>
      <c r="E227" s="311"/>
      <c r="F227" s="311"/>
      <c r="G227" s="311"/>
      <c r="H227" s="311"/>
      <c r="I227" s="311"/>
      <c r="J227" s="317"/>
      <c r="K227" s="312"/>
      <c r="L227" s="312"/>
      <c r="M227" s="312"/>
      <c r="N227" s="312"/>
      <c r="O227" s="312"/>
      <c r="P227" s="318" t="str">
        <f t="shared" si="11"/>
        <v/>
      </c>
      <c r="Q227" s="205" t="str">
        <f t="shared" si="9"/>
        <v/>
      </c>
      <c r="R227" s="205"/>
      <c r="S227" s="319" t="str">
        <f t="shared" si="10"/>
        <v/>
      </c>
      <c r="U227" s="318"/>
      <c r="V227" s="794"/>
      <c r="W227" s="795"/>
      <c r="X227" s="482"/>
      <c r="Y227" s="482"/>
      <c r="Z227" s="482"/>
      <c r="AA227" s="319"/>
      <c r="AB227" s="220"/>
      <c r="AC227" s="318"/>
      <c r="AD227" s="319"/>
      <c r="AE227" s="220"/>
      <c r="AF227" s="320"/>
      <c r="AG227" s="205"/>
      <c r="AH227" s="205"/>
      <c r="AI227" s="205"/>
      <c r="AJ227" s="205"/>
      <c r="AK227" s="205"/>
      <c r="AL227" s="205"/>
      <c r="AM227" s="205"/>
      <c r="AN227" s="205"/>
      <c r="AO227" s="205"/>
      <c r="AP227" s="205"/>
      <c r="AQ227" s="205"/>
      <c r="AR227" s="205"/>
      <c r="AS227" s="205"/>
      <c r="AT227" s="205"/>
      <c r="AU227" s="205"/>
      <c r="AV227" s="205"/>
      <c r="AW227" s="205">
        <v>459</v>
      </c>
      <c r="AX227" s="205">
        <v>16562.706770000001</v>
      </c>
      <c r="AY227" s="205">
        <v>186.90225000000001</v>
      </c>
      <c r="AZ227" s="205">
        <v>50.348309999999998</v>
      </c>
      <c r="BA227" s="205">
        <v>95.014709999999994</v>
      </c>
      <c r="BB227" s="205">
        <v>902.85973999999999</v>
      </c>
      <c r="BC227" s="205">
        <v>37290.213400000001</v>
      </c>
      <c r="BD227" s="205">
        <v>2868.6201700000001</v>
      </c>
      <c r="BE227" s="205">
        <v>519.73631999999998</v>
      </c>
      <c r="BF227" s="205">
        <v>335</v>
      </c>
      <c r="BG227" s="205">
        <v>165.11696000000001</v>
      </c>
      <c r="BH227" s="205"/>
      <c r="BI227" s="319"/>
    </row>
    <row r="228" spans="3:61" ht="15" customHeight="1">
      <c r="C228" s="325"/>
      <c r="D228" s="326"/>
      <c r="E228" s="311"/>
      <c r="F228" s="311"/>
      <c r="G228" s="311"/>
      <c r="H228" s="311"/>
      <c r="I228" s="311"/>
      <c r="J228" s="317"/>
      <c r="K228" s="312"/>
      <c r="L228" s="312"/>
      <c r="M228" s="312"/>
      <c r="N228" s="312"/>
      <c r="O228" s="312"/>
      <c r="P228" s="322" t="str">
        <f t="shared" si="11"/>
        <v/>
      </c>
      <c r="Q228" s="208" t="str">
        <f t="shared" si="9"/>
        <v/>
      </c>
      <c r="R228" s="208"/>
      <c r="S228" s="323" t="str">
        <f t="shared" si="10"/>
        <v/>
      </c>
      <c r="U228" s="322"/>
      <c r="V228" s="791"/>
      <c r="W228" s="792"/>
      <c r="X228" s="480"/>
      <c r="Y228" s="480"/>
      <c r="Z228" s="480"/>
      <c r="AA228" s="323"/>
      <c r="AB228" s="220"/>
      <c r="AC228" s="322"/>
      <c r="AD228" s="323"/>
      <c r="AE228" s="220"/>
      <c r="AF228" s="324"/>
      <c r="AG228" s="208"/>
      <c r="AH228" s="208"/>
      <c r="AI228" s="208"/>
      <c r="AJ228" s="208"/>
      <c r="AK228" s="208"/>
      <c r="AL228" s="208"/>
      <c r="AM228" s="208"/>
      <c r="AN228" s="208"/>
      <c r="AO228" s="208"/>
      <c r="AP228" s="208"/>
      <c r="AQ228" s="208"/>
      <c r="AR228" s="208"/>
      <c r="AS228" s="208"/>
      <c r="AT228" s="208"/>
      <c r="AU228" s="208"/>
      <c r="AV228" s="208"/>
      <c r="AW228" s="208">
        <v>461.6</v>
      </c>
      <c r="AX228" s="208">
        <v>16538.5229</v>
      </c>
      <c r="AY228" s="208">
        <v>182.85784000000001</v>
      </c>
      <c r="AZ228" s="208">
        <v>50.20881</v>
      </c>
      <c r="BA228" s="208">
        <v>95.549469999999999</v>
      </c>
      <c r="BB228" s="208">
        <v>897.46442000000002</v>
      </c>
      <c r="BC228" s="208">
        <v>37291.726719999999</v>
      </c>
      <c r="BD228" s="208">
        <v>2880.8572100000001</v>
      </c>
      <c r="BE228" s="208">
        <v>524.22194000000002</v>
      </c>
      <c r="BF228" s="208">
        <v>337.7</v>
      </c>
      <c r="BG228" s="208">
        <v>165.17084</v>
      </c>
      <c r="BH228" s="208"/>
      <c r="BI228" s="323"/>
    </row>
    <row r="229" spans="3:61" ht="15" customHeight="1">
      <c r="C229" s="325"/>
      <c r="D229" s="326"/>
      <c r="E229" s="311"/>
      <c r="F229" s="311"/>
      <c r="G229" s="311"/>
      <c r="H229" s="311"/>
      <c r="I229" s="311"/>
      <c r="J229" s="317"/>
      <c r="K229" s="312"/>
      <c r="L229" s="312"/>
      <c r="M229" s="312"/>
      <c r="N229" s="312"/>
      <c r="O229" s="312"/>
      <c r="P229" s="318" t="str">
        <f t="shared" si="11"/>
        <v/>
      </c>
      <c r="Q229" s="205" t="str">
        <f t="shared" si="9"/>
        <v/>
      </c>
      <c r="R229" s="205"/>
      <c r="S229" s="319" t="str">
        <f t="shared" si="10"/>
        <v/>
      </c>
      <c r="U229" s="318"/>
      <c r="V229" s="794"/>
      <c r="W229" s="795"/>
      <c r="X229" s="482"/>
      <c r="Y229" s="482"/>
      <c r="Z229" s="482"/>
      <c r="AA229" s="319"/>
      <c r="AB229" s="220"/>
      <c r="AC229" s="318"/>
      <c r="AD229" s="319"/>
      <c r="AE229" s="220"/>
      <c r="AF229" s="320"/>
      <c r="AG229" s="205"/>
      <c r="AH229" s="205"/>
      <c r="AI229" s="205"/>
      <c r="AJ229" s="205"/>
      <c r="AK229" s="205"/>
      <c r="AL229" s="205"/>
      <c r="AM229" s="205"/>
      <c r="AN229" s="205"/>
      <c r="AO229" s="205"/>
      <c r="AP229" s="205"/>
      <c r="AQ229" s="205"/>
      <c r="AR229" s="205"/>
      <c r="AS229" s="205"/>
      <c r="AT229" s="205"/>
      <c r="AU229" s="205"/>
      <c r="AV229" s="205"/>
      <c r="AW229" s="205">
        <v>459.2</v>
      </c>
      <c r="AX229" s="205">
        <v>16551.813969999999</v>
      </c>
      <c r="AY229" s="205">
        <v>181.28437</v>
      </c>
      <c r="AZ229" s="205">
        <v>51.255830000000003</v>
      </c>
      <c r="BA229" s="205">
        <v>98.308139999999995</v>
      </c>
      <c r="BB229" s="205">
        <v>892.47149000000002</v>
      </c>
      <c r="BC229" s="205">
        <v>37398.686049999997</v>
      </c>
      <c r="BD229" s="205">
        <v>2874.4358900000002</v>
      </c>
      <c r="BE229" s="205">
        <v>512.91808000000003</v>
      </c>
      <c r="BF229" s="205">
        <v>334</v>
      </c>
      <c r="BG229" s="205">
        <v>162.10500999999999</v>
      </c>
      <c r="BH229" s="205"/>
      <c r="BI229" s="319"/>
    </row>
    <row r="230" spans="3:61" ht="15" customHeight="1">
      <c r="C230" s="325"/>
      <c r="D230" s="326"/>
      <c r="E230" s="311"/>
      <c r="F230" s="311"/>
      <c r="G230" s="311"/>
      <c r="H230" s="311"/>
      <c r="I230" s="311"/>
      <c r="J230" s="317"/>
      <c r="K230" s="312"/>
      <c r="L230" s="312"/>
      <c r="M230" s="312"/>
      <c r="N230" s="312"/>
      <c r="O230" s="312"/>
      <c r="P230" s="322" t="str">
        <f t="shared" si="11"/>
        <v/>
      </c>
      <c r="Q230" s="208" t="str">
        <f t="shared" si="9"/>
        <v/>
      </c>
      <c r="R230" s="208"/>
      <c r="S230" s="323" t="str">
        <f t="shared" si="10"/>
        <v/>
      </c>
      <c r="U230" s="322"/>
      <c r="V230" s="791"/>
      <c r="W230" s="792"/>
      <c r="X230" s="480"/>
      <c r="Y230" s="480"/>
      <c r="Z230" s="480"/>
      <c r="AA230" s="323"/>
      <c r="AB230" s="220"/>
      <c r="AC230" s="322"/>
      <c r="AD230" s="323"/>
      <c r="AE230" s="220"/>
      <c r="AF230" s="324"/>
      <c r="AG230" s="208"/>
      <c r="AH230" s="208"/>
      <c r="AI230" s="208"/>
      <c r="AJ230" s="208"/>
      <c r="AK230" s="208"/>
      <c r="AL230" s="208"/>
      <c r="AM230" s="208"/>
      <c r="AN230" s="208"/>
      <c r="AO230" s="208"/>
      <c r="AP230" s="208"/>
      <c r="AQ230" s="208"/>
      <c r="AR230" s="208"/>
      <c r="AS230" s="208"/>
      <c r="AT230" s="208"/>
      <c r="AU230" s="208"/>
      <c r="AV230" s="208"/>
      <c r="AW230" s="208">
        <v>454</v>
      </c>
      <c r="AX230" s="208">
        <v>15823.13514</v>
      </c>
      <c r="AY230" s="208">
        <v>182.91801000000001</v>
      </c>
      <c r="AZ230" s="208">
        <v>50.565080000000002</v>
      </c>
      <c r="BA230" s="208">
        <v>98.308139999999995</v>
      </c>
      <c r="BB230" s="208">
        <v>887.04367999999999</v>
      </c>
      <c r="BC230" s="208">
        <v>36735.630259999998</v>
      </c>
      <c r="BD230" s="208">
        <v>2882.9278100000001</v>
      </c>
      <c r="BE230" s="208">
        <v>503.26254</v>
      </c>
      <c r="BF230" s="208">
        <v>330</v>
      </c>
      <c r="BG230" s="208">
        <v>160.63475</v>
      </c>
      <c r="BH230" s="208"/>
      <c r="BI230" s="323"/>
    </row>
    <row r="231" spans="3:61" ht="15" customHeight="1">
      <c r="C231" s="325"/>
      <c r="D231" s="326"/>
      <c r="E231" s="311"/>
      <c r="F231" s="311"/>
      <c r="G231" s="311"/>
      <c r="H231" s="311"/>
      <c r="I231" s="311"/>
      <c r="J231" s="317"/>
      <c r="K231" s="312"/>
      <c r="L231" s="312"/>
      <c r="M231" s="312"/>
      <c r="N231" s="312"/>
      <c r="O231" s="312"/>
      <c r="P231" s="318" t="str">
        <f t="shared" si="11"/>
        <v/>
      </c>
      <c r="Q231" s="205" t="str">
        <f t="shared" si="9"/>
        <v/>
      </c>
      <c r="R231" s="205"/>
      <c r="S231" s="319" t="str">
        <f t="shared" si="10"/>
        <v/>
      </c>
      <c r="U231" s="318"/>
      <c r="V231" s="794"/>
      <c r="W231" s="795"/>
      <c r="X231" s="482"/>
      <c r="Y231" s="482"/>
      <c r="Z231" s="482"/>
      <c r="AA231" s="319"/>
      <c r="AB231" s="220"/>
      <c r="AC231" s="318"/>
      <c r="AD231" s="319"/>
      <c r="AE231" s="220"/>
      <c r="AF231" s="320"/>
      <c r="AG231" s="205"/>
      <c r="AH231" s="205"/>
      <c r="AI231" s="205"/>
      <c r="AJ231" s="205"/>
      <c r="AK231" s="205"/>
      <c r="AL231" s="205"/>
      <c r="AM231" s="205"/>
      <c r="AN231" s="205"/>
      <c r="AO231" s="205"/>
      <c r="AP231" s="205"/>
      <c r="AQ231" s="205"/>
      <c r="AR231" s="205"/>
      <c r="AS231" s="205"/>
      <c r="AT231" s="205"/>
      <c r="AU231" s="205"/>
      <c r="AV231" s="205"/>
      <c r="AW231" s="205">
        <v>443</v>
      </c>
      <c r="AX231" s="205">
        <v>15708.94052</v>
      </c>
      <c r="AY231" s="205">
        <v>175.88736</v>
      </c>
      <c r="AZ231" s="205">
        <v>49.061599999999999</v>
      </c>
      <c r="BA231" s="205">
        <v>92.263980000000004</v>
      </c>
      <c r="BB231" s="205">
        <v>881.83069999999998</v>
      </c>
      <c r="BC231" s="205">
        <v>36319.530919999997</v>
      </c>
      <c r="BD231" s="205">
        <v>2826.5443799999998</v>
      </c>
      <c r="BE231" s="205">
        <v>485.49806999999998</v>
      </c>
      <c r="BF231" s="205">
        <v>327.60000000000002</v>
      </c>
      <c r="BG231" s="205">
        <v>158.41344000000001</v>
      </c>
      <c r="BH231" s="205"/>
      <c r="BI231" s="319"/>
    </row>
    <row r="232" spans="3:61" ht="15" customHeight="1">
      <c r="C232" s="325"/>
      <c r="D232" s="326"/>
      <c r="E232" s="311"/>
      <c r="F232" s="311"/>
      <c r="G232" s="311"/>
      <c r="H232" s="311"/>
      <c r="I232" s="311"/>
      <c r="J232" s="317"/>
      <c r="K232" s="312"/>
      <c r="L232" s="312"/>
      <c r="M232" s="312"/>
      <c r="N232" s="312"/>
      <c r="O232" s="312"/>
      <c r="P232" s="322" t="str">
        <f t="shared" si="11"/>
        <v/>
      </c>
      <c r="Q232" s="208" t="str">
        <f t="shared" si="9"/>
        <v/>
      </c>
      <c r="R232" s="208"/>
      <c r="S232" s="323" t="str">
        <f t="shared" si="10"/>
        <v/>
      </c>
      <c r="U232" s="322"/>
      <c r="V232" s="791"/>
      <c r="W232" s="792"/>
      <c r="X232" s="480"/>
      <c r="Y232" s="480"/>
      <c r="Z232" s="480"/>
      <c r="AA232" s="323"/>
      <c r="AB232" s="220"/>
      <c r="AC232" s="322"/>
      <c r="AD232" s="323"/>
      <c r="AE232" s="220"/>
      <c r="AF232" s="324"/>
      <c r="AG232" s="208"/>
      <c r="AH232" s="208"/>
      <c r="AI232" s="208"/>
      <c r="AJ232" s="208"/>
      <c r="AK232" s="208"/>
      <c r="AL232" s="208"/>
      <c r="AM232" s="208"/>
      <c r="AN232" s="208"/>
      <c r="AO232" s="208"/>
      <c r="AP232" s="208"/>
      <c r="AQ232" s="208"/>
      <c r="AR232" s="208"/>
      <c r="AS232" s="208"/>
      <c r="AT232" s="208"/>
      <c r="AU232" s="208"/>
      <c r="AV232" s="208"/>
      <c r="AW232" s="208">
        <v>446.5</v>
      </c>
      <c r="AX232" s="208">
        <v>15420.520780000001</v>
      </c>
      <c r="AY232" s="208">
        <v>181.1481</v>
      </c>
      <c r="AZ232" s="208">
        <v>48.941699999999997</v>
      </c>
      <c r="BA232" s="208">
        <v>93.638750000000002</v>
      </c>
      <c r="BB232" s="208">
        <v>881.37433999999996</v>
      </c>
      <c r="BC232" s="208">
        <v>36913.46718</v>
      </c>
      <c r="BD232" s="208">
        <v>2877.1789600000002</v>
      </c>
      <c r="BE232" s="208">
        <v>486.00617</v>
      </c>
      <c r="BF232" s="208">
        <v>329.2</v>
      </c>
      <c r="BG232" s="208">
        <v>161.85005000000001</v>
      </c>
      <c r="BH232" s="208"/>
      <c r="BI232" s="323"/>
    </row>
    <row r="233" spans="3:61" ht="15" customHeight="1">
      <c r="C233" s="325"/>
      <c r="D233" s="326"/>
      <c r="E233" s="311"/>
      <c r="F233" s="311"/>
      <c r="G233" s="311"/>
      <c r="H233" s="311"/>
      <c r="I233" s="311"/>
      <c r="J233" s="317"/>
      <c r="K233" s="312"/>
      <c r="L233" s="312"/>
      <c r="M233" s="312"/>
      <c r="N233" s="312"/>
      <c r="O233" s="312"/>
      <c r="P233" s="318" t="str">
        <f t="shared" si="11"/>
        <v/>
      </c>
      <c r="Q233" s="205" t="str">
        <f t="shared" si="9"/>
        <v/>
      </c>
      <c r="R233" s="205"/>
      <c r="S233" s="319" t="str">
        <f t="shared" si="10"/>
        <v/>
      </c>
      <c r="U233" s="318"/>
      <c r="V233" s="794"/>
      <c r="W233" s="795"/>
      <c r="X233" s="482"/>
      <c r="Y233" s="482"/>
      <c r="Z233" s="482"/>
      <c r="AA233" s="319"/>
      <c r="AB233" s="220"/>
      <c r="AC233" s="318"/>
      <c r="AD233" s="319"/>
      <c r="AE233" s="220"/>
      <c r="AF233" s="320"/>
      <c r="AG233" s="205"/>
      <c r="AH233" s="205"/>
      <c r="AI233" s="205"/>
      <c r="AJ233" s="205"/>
      <c r="AK233" s="205"/>
      <c r="AL233" s="205"/>
      <c r="AM233" s="205"/>
      <c r="AN233" s="205"/>
      <c r="AO233" s="205"/>
      <c r="AP233" s="205"/>
      <c r="AQ233" s="205"/>
      <c r="AR233" s="205"/>
      <c r="AS233" s="205"/>
      <c r="AT233" s="205"/>
      <c r="AU233" s="205"/>
      <c r="AV233" s="205"/>
      <c r="AW233" s="205">
        <v>448.8</v>
      </c>
      <c r="AX233" s="205">
        <v>15109.311519999999</v>
      </c>
      <c r="AY233" s="205">
        <v>186.06549000000001</v>
      </c>
      <c r="AZ233" s="205">
        <v>49.18647</v>
      </c>
      <c r="BA233" s="205">
        <v>92.216560000000001</v>
      </c>
      <c r="BB233" s="205">
        <v>889.13999000000001</v>
      </c>
      <c r="BC233" s="205">
        <v>37108.332670000003</v>
      </c>
      <c r="BD233" s="205">
        <v>2937.4101099999998</v>
      </c>
      <c r="BE233" s="205">
        <v>480.61709999999999</v>
      </c>
      <c r="BF233" s="205">
        <v>333.8</v>
      </c>
      <c r="BG233" s="205">
        <v>164.02583999999999</v>
      </c>
      <c r="BH233" s="205"/>
      <c r="BI233" s="319"/>
    </row>
    <row r="234" spans="3:61" ht="15" customHeight="1">
      <c r="C234" s="325"/>
      <c r="D234" s="326"/>
      <c r="E234" s="311"/>
      <c r="F234" s="311"/>
      <c r="G234" s="311"/>
      <c r="H234" s="311"/>
      <c r="I234" s="311"/>
      <c r="J234" s="317"/>
      <c r="K234" s="312"/>
      <c r="L234" s="312"/>
      <c r="M234" s="312"/>
      <c r="N234" s="312"/>
      <c r="O234" s="312"/>
      <c r="P234" s="322" t="str">
        <f t="shared" si="11"/>
        <v/>
      </c>
      <c r="Q234" s="208" t="str">
        <f t="shared" si="9"/>
        <v/>
      </c>
      <c r="R234" s="208"/>
      <c r="S234" s="323" t="str">
        <f t="shared" si="10"/>
        <v/>
      </c>
      <c r="U234" s="322"/>
      <c r="V234" s="791"/>
      <c r="W234" s="792"/>
      <c r="X234" s="480"/>
      <c r="Y234" s="480"/>
      <c r="Z234" s="480"/>
      <c r="AA234" s="323"/>
      <c r="AB234" s="220"/>
      <c r="AC234" s="322"/>
      <c r="AD234" s="323"/>
      <c r="AE234" s="220"/>
      <c r="AF234" s="324"/>
      <c r="AG234" s="208"/>
      <c r="AH234" s="208"/>
      <c r="AI234" s="208"/>
      <c r="AJ234" s="208"/>
      <c r="AK234" s="208"/>
      <c r="AL234" s="208"/>
      <c r="AM234" s="208"/>
      <c r="AN234" s="208"/>
      <c r="AO234" s="208"/>
      <c r="AP234" s="208"/>
      <c r="AQ234" s="208"/>
      <c r="AR234" s="208"/>
      <c r="AS234" s="208"/>
      <c r="AT234" s="208"/>
      <c r="AU234" s="208"/>
      <c r="AV234" s="208"/>
      <c r="AW234" s="208">
        <v>451.8</v>
      </c>
      <c r="AX234" s="208">
        <v>15427.73567</v>
      </c>
      <c r="AY234" s="208">
        <v>175.40531999999999</v>
      </c>
      <c r="AZ234" s="208">
        <v>48.302950000000003</v>
      </c>
      <c r="BA234" s="208">
        <v>90.729050000000001</v>
      </c>
      <c r="BB234" s="208">
        <v>885.55417</v>
      </c>
      <c r="BC234" s="208">
        <v>37821.248670000001</v>
      </c>
      <c r="BD234" s="208">
        <v>2935.3661999999999</v>
      </c>
      <c r="BE234" s="208">
        <v>481.96077000000002</v>
      </c>
      <c r="BF234" s="208">
        <v>337.3</v>
      </c>
      <c r="BG234" s="208">
        <v>157.90878000000001</v>
      </c>
      <c r="BH234" s="208"/>
      <c r="BI234" s="323"/>
    </row>
    <row r="235" spans="3:61" ht="15" customHeight="1">
      <c r="C235" s="325"/>
      <c r="D235" s="326"/>
      <c r="E235" s="311"/>
      <c r="F235" s="311"/>
      <c r="G235" s="311"/>
      <c r="H235" s="311"/>
      <c r="I235" s="311"/>
      <c r="J235" s="317"/>
      <c r="K235" s="312"/>
      <c r="L235" s="312"/>
      <c r="M235" s="312"/>
      <c r="N235" s="312"/>
      <c r="O235" s="312"/>
      <c r="P235" s="318" t="str">
        <f t="shared" si="11"/>
        <v/>
      </c>
      <c r="Q235" s="205" t="str">
        <f t="shared" si="9"/>
        <v/>
      </c>
      <c r="R235" s="205"/>
      <c r="S235" s="319" t="str">
        <f t="shared" si="10"/>
        <v/>
      </c>
      <c r="U235" s="318"/>
      <c r="V235" s="794"/>
      <c r="W235" s="795"/>
      <c r="X235" s="482"/>
      <c r="Y235" s="482"/>
      <c r="Z235" s="482"/>
      <c r="AA235" s="319"/>
      <c r="AB235" s="220"/>
      <c r="AC235" s="318"/>
      <c r="AD235" s="319"/>
      <c r="AE235" s="220"/>
      <c r="AF235" s="320"/>
      <c r="AG235" s="205"/>
      <c r="AH235" s="205"/>
      <c r="AI235" s="205"/>
      <c r="AJ235" s="205"/>
      <c r="AK235" s="205"/>
      <c r="AL235" s="205"/>
      <c r="AM235" s="205"/>
      <c r="AN235" s="205"/>
      <c r="AO235" s="205"/>
      <c r="AP235" s="205"/>
      <c r="AQ235" s="205"/>
      <c r="AR235" s="205"/>
      <c r="AS235" s="205"/>
      <c r="AT235" s="205"/>
      <c r="AU235" s="205"/>
      <c r="AV235" s="205"/>
      <c r="AW235" s="205">
        <v>451.6</v>
      </c>
      <c r="AX235" s="205">
        <v>15615.932280000001</v>
      </c>
      <c r="AY235" s="205">
        <v>179.71189000000001</v>
      </c>
      <c r="AZ235" s="205">
        <v>47.033360000000002</v>
      </c>
      <c r="BA235" s="205">
        <v>88.716729999999998</v>
      </c>
      <c r="BB235" s="205">
        <v>889.63708999999994</v>
      </c>
      <c r="BC235" s="205">
        <v>37794.765359999998</v>
      </c>
      <c r="BD235" s="205">
        <v>2976.5195399999998</v>
      </c>
      <c r="BE235" s="205">
        <v>477.66678999999999</v>
      </c>
      <c r="BF235" s="205">
        <v>348.9</v>
      </c>
      <c r="BG235" s="205">
        <v>158.7544</v>
      </c>
      <c r="BH235" s="205"/>
      <c r="BI235" s="319"/>
    </row>
    <row r="236" spans="3:61" ht="15" customHeight="1">
      <c r="C236" s="325"/>
      <c r="D236" s="326"/>
      <c r="E236" s="311"/>
      <c r="F236" s="311"/>
      <c r="G236" s="311"/>
      <c r="H236" s="311"/>
      <c r="I236" s="311"/>
      <c r="J236" s="317"/>
      <c r="K236" s="312"/>
      <c r="L236" s="312"/>
      <c r="M236" s="312"/>
      <c r="N236" s="312"/>
      <c r="O236" s="312"/>
      <c r="P236" s="322" t="str">
        <f t="shared" si="11"/>
        <v/>
      </c>
      <c r="Q236" s="208" t="str">
        <f t="shared" si="9"/>
        <v/>
      </c>
      <c r="R236" s="208"/>
      <c r="S236" s="323" t="str">
        <f t="shared" si="10"/>
        <v/>
      </c>
      <c r="U236" s="322"/>
      <c r="V236" s="791"/>
      <c r="W236" s="792"/>
      <c r="X236" s="480"/>
      <c r="Y236" s="480"/>
      <c r="Z236" s="480"/>
      <c r="AA236" s="323"/>
      <c r="AB236" s="220"/>
      <c r="AC236" s="322"/>
      <c r="AD236" s="323"/>
      <c r="AE236" s="220"/>
      <c r="AF236" s="324"/>
      <c r="AG236" s="208"/>
      <c r="AH236" s="208"/>
      <c r="AI236" s="208"/>
      <c r="AJ236" s="208"/>
      <c r="AK236" s="208"/>
      <c r="AL236" s="208"/>
      <c r="AM236" s="208"/>
      <c r="AN236" s="208"/>
      <c r="AO236" s="208"/>
      <c r="AP236" s="208"/>
      <c r="AQ236" s="208"/>
      <c r="AR236" s="208"/>
      <c r="AS236" s="208"/>
      <c r="AT236" s="208"/>
      <c r="AU236" s="208"/>
      <c r="AV236" s="208"/>
      <c r="AW236" s="208">
        <v>453.4</v>
      </c>
      <c r="AX236" s="208">
        <v>16021.04219</v>
      </c>
      <c r="AY236" s="208">
        <v>187.8554</v>
      </c>
      <c r="AZ236" s="208">
        <v>45.600009999999997</v>
      </c>
      <c r="BA236" s="208">
        <v>90.630960000000002</v>
      </c>
      <c r="BB236" s="208">
        <v>899.79223999999999</v>
      </c>
      <c r="BC236" s="208">
        <v>38081.443659999997</v>
      </c>
      <c r="BD236" s="208">
        <v>2956.8910500000002</v>
      </c>
      <c r="BE236" s="208">
        <v>475.95258999999999</v>
      </c>
      <c r="BF236" s="208">
        <v>348.2</v>
      </c>
      <c r="BG236" s="208">
        <v>160.41466</v>
      </c>
      <c r="BH236" s="208"/>
      <c r="BI236" s="323"/>
    </row>
    <row r="237" spans="3:61" ht="15" customHeight="1">
      <c r="C237" s="325"/>
      <c r="D237" s="326"/>
      <c r="E237" s="311"/>
      <c r="F237" s="311"/>
      <c r="G237" s="311"/>
      <c r="H237" s="311"/>
      <c r="I237" s="311"/>
      <c r="J237" s="317"/>
      <c r="K237" s="312"/>
      <c r="L237" s="312"/>
      <c r="M237" s="312"/>
      <c r="N237" s="312"/>
      <c r="O237" s="312"/>
      <c r="P237" s="318" t="str">
        <f t="shared" si="11"/>
        <v/>
      </c>
      <c r="Q237" s="205" t="str">
        <f t="shared" si="9"/>
        <v/>
      </c>
      <c r="R237" s="205"/>
      <c r="S237" s="319" t="str">
        <f t="shared" si="10"/>
        <v/>
      </c>
      <c r="U237" s="318"/>
      <c r="V237" s="794"/>
      <c r="W237" s="795"/>
      <c r="X237" s="482"/>
      <c r="Y237" s="482"/>
      <c r="Z237" s="482"/>
      <c r="AA237" s="319"/>
      <c r="AB237" s="220"/>
      <c r="AC237" s="318"/>
      <c r="AD237" s="319"/>
      <c r="AE237" s="220"/>
      <c r="AF237" s="320"/>
      <c r="AG237" s="205"/>
      <c r="AH237" s="205"/>
      <c r="AI237" s="205"/>
      <c r="AJ237" s="205"/>
      <c r="AK237" s="205"/>
      <c r="AL237" s="205"/>
      <c r="AM237" s="205"/>
      <c r="AN237" s="205"/>
      <c r="AO237" s="205"/>
      <c r="AP237" s="205"/>
      <c r="AQ237" s="205"/>
      <c r="AR237" s="205"/>
      <c r="AS237" s="205"/>
      <c r="AT237" s="205"/>
      <c r="AU237" s="205"/>
      <c r="AV237" s="205"/>
      <c r="AW237" s="205">
        <v>458.6</v>
      </c>
      <c r="AX237" s="205">
        <v>16050.337100000001</v>
      </c>
      <c r="AY237" s="205">
        <v>189.09691000000001</v>
      </c>
      <c r="AZ237" s="205">
        <v>45.248869999999997</v>
      </c>
      <c r="BA237" s="205">
        <v>91.015739999999994</v>
      </c>
      <c r="BB237" s="205">
        <v>908.59144000000003</v>
      </c>
      <c r="BC237" s="205">
        <v>38747.081480000001</v>
      </c>
      <c r="BD237" s="205">
        <v>2978.18498</v>
      </c>
      <c r="BE237" s="205">
        <v>478.77931999999998</v>
      </c>
      <c r="BF237" s="205">
        <v>345.6</v>
      </c>
      <c r="BG237" s="205">
        <v>164.57377</v>
      </c>
      <c r="BH237" s="205"/>
      <c r="BI237" s="319"/>
    </row>
    <row r="238" spans="3:61" ht="15" customHeight="1">
      <c r="C238" s="325"/>
      <c r="D238" s="326"/>
      <c r="E238" s="311"/>
      <c r="F238" s="311"/>
      <c r="G238" s="311"/>
      <c r="H238" s="311"/>
      <c r="I238" s="311"/>
      <c r="J238" s="317"/>
      <c r="K238" s="312"/>
      <c r="L238" s="312"/>
      <c r="M238" s="312"/>
      <c r="N238" s="312"/>
      <c r="O238" s="312"/>
      <c r="P238" s="322" t="str">
        <f t="shared" si="11"/>
        <v/>
      </c>
      <c r="Q238" s="208" t="str">
        <f t="shared" si="9"/>
        <v/>
      </c>
      <c r="R238" s="208"/>
      <c r="S238" s="323" t="str">
        <f t="shared" si="10"/>
        <v/>
      </c>
      <c r="U238" s="322"/>
      <c r="V238" s="791"/>
      <c r="W238" s="792"/>
      <c r="X238" s="480"/>
      <c r="Y238" s="480"/>
      <c r="Z238" s="480"/>
      <c r="AA238" s="323"/>
      <c r="AB238" s="220"/>
      <c r="AC238" s="322"/>
      <c r="AD238" s="323"/>
      <c r="AE238" s="220"/>
      <c r="AF238" s="324"/>
      <c r="AG238" s="208"/>
      <c r="AH238" s="208"/>
      <c r="AI238" s="208"/>
      <c r="AJ238" s="208"/>
      <c r="AK238" s="208"/>
      <c r="AL238" s="208"/>
      <c r="AM238" s="208"/>
      <c r="AN238" s="208"/>
      <c r="AO238" s="208"/>
      <c r="AP238" s="208"/>
      <c r="AQ238" s="208"/>
      <c r="AR238" s="208"/>
      <c r="AS238" s="208"/>
      <c r="AT238" s="208"/>
      <c r="AU238" s="208"/>
      <c r="AV238" s="208"/>
      <c r="AW238" s="208">
        <v>463.2</v>
      </c>
      <c r="AX238" s="208">
        <v>16058.6913</v>
      </c>
      <c r="AY238" s="208">
        <v>188.21207000000001</v>
      </c>
      <c r="AZ238" s="208">
        <v>44.860309999999998</v>
      </c>
      <c r="BA238" s="208">
        <v>92.025630000000007</v>
      </c>
      <c r="BB238" s="208">
        <v>909.48683000000005</v>
      </c>
      <c r="BC238" s="208">
        <v>39033.738830000002</v>
      </c>
      <c r="BD238" s="208">
        <v>3017.4879999999998</v>
      </c>
      <c r="BE238" s="208">
        <v>485.30718999999999</v>
      </c>
      <c r="BF238" s="208">
        <v>339.6</v>
      </c>
      <c r="BG238" s="208">
        <v>166.31684999999999</v>
      </c>
      <c r="BH238" s="208"/>
      <c r="BI238" s="323"/>
    </row>
    <row r="239" spans="3:61" ht="15" customHeight="1">
      <c r="C239" s="325"/>
      <c r="D239" s="326"/>
      <c r="E239" s="311"/>
      <c r="F239" s="311"/>
      <c r="G239" s="311"/>
      <c r="H239" s="311"/>
      <c r="I239" s="311"/>
      <c r="J239" s="317"/>
      <c r="K239" s="312"/>
      <c r="L239" s="312"/>
      <c r="M239" s="312"/>
      <c r="N239" s="312"/>
      <c r="O239" s="312"/>
      <c r="P239" s="318" t="str">
        <f t="shared" si="11"/>
        <v/>
      </c>
      <c r="Q239" s="205" t="str">
        <f t="shared" si="9"/>
        <v/>
      </c>
      <c r="R239" s="205"/>
      <c r="S239" s="319" t="str">
        <f t="shared" si="10"/>
        <v/>
      </c>
      <c r="U239" s="318"/>
      <c r="V239" s="794"/>
      <c r="W239" s="795"/>
      <c r="X239" s="482"/>
      <c r="Y239" s="482"/>
      <c r="Z239" s="482"/>
      <c r="AA239" s="319"/>
      <c r="AB239" s="220"/>
      <c r="AC239" s="318"/>
      <c r="AD239" s="319"/>
      <c r="AE239" s="220"/>
      <c r="AF239" s="320"/>
      <c r="AG239" s="205"/>
      <c r="AH239" s="205"/>
      <c r="AI239" s="205"/>
      <c r="AJ239" s="205"/>
      <c r="AK239" s="205"/>
      <c r="AL239" s="205"/>
      <c r="AM239" s="205"/>
      <c r="AN239" s="205"/>
      <c r="AO239" s="205"/>
      <c r="AP239" s="205"/>
      <c r="AQ239" s="205"/>
      <c r="AR239" s="205"/>
      <c r="AS239" s="205"/>
      <c r="AT239" s="205"/>
      <c r="AU239" s="205"/>
      <c r="AV239" s="205"/>
      <c r="AW239" s="205">
        <v>465.4</v>
      </c>
      <c r="AX239" s="205">
        <v>16315.417890000001</v>
      </c>
      <c r="AY239" s="205">
        <v>190.04612</v>
      </c>
      <c r="AZ239" s="205">
        <v>44.628320000000002</v>
      </c>
      <c r="BA239" s="205">
        <v>87.250079999999997</v>
      </c>
      <c r="BB239" s="205">
        <v>909.95407999999998</v>
      </c>
      <c r="BC239" s="205">
        <v>38902.259330000001</v>
      </c>
      <c r="BD239" s="205">
        <v>3055.7359200000001</v>
      </c>
      <c r="BE239" s="205">
        <v>483.31367999999998</v>
      </c>
      <c r="BF239" s="205">
        <v>352.6</v>
      </c>
      <c r="BG239" s="205">
        <v>167.41615999999999</v>
      </c>
      <c r="BH239" s="205"/>
      <c r="BI239" s="319"/>
    </row>
    <row r="240" spans="3:61" ht="15" customHeight="1">
      <c r="C240" s="325"/>
      <c r="D240" s="326"/>
      <c r="E240" s="311"/>
      <c r="F240" s="311"/>
      <c r="G240" s="311"/>
      <c r="H240" s="311"/>
      <c r="I240" s="311"/>
      <c r="J240" s="317"/>
      <c r="K240" s="312"/>
      <c r="L240" s="312"/>
      <c r="M240" s="312"/>
      <c r="N240" s="312"/>
      <c r="O240" s="312"/>
      <c r="P240" s="322" t="str">
        <f t="shared" si="11"/>
        <v/>
      </c>
      <c r="Q240" s="208" t="str">
        <f t="shared" si="9"/>
        <v/>
      </c>
      <c r="R240" s="208"/>
      <c r="S240" s="323" t="str">
        <f t="shared" si="10"/>
        <v/>
      </c>
      <c r="U240" s="322"/>
      <c r="V240" s="791"/>
      <c r="W240" s="792"/>
      <c r="X240" s="480"/>
      <c r="Y240" s="480"/>
      <c r="Z240" s="480"/>
      <c r="AA240" s="323"/>
      <c r="AB240" s="220"/>
      <c r="AC240" s="322"/>
      <c r="AD240" s="323"/>
      <c r="AE240" s="220"/>
      <c r="AF240" s="324"/>
      <c r="AG240" s="208"/>
      <c r="AH240" s="208"/>
      <c r="AI240" s="208"/>
      <c r="AJ240" s="208"/>
      <c r="AK240" s="208"/>
      <c r="AL240" s="208"/>
      <c r="AM240" s="208"/>
      <c r="AN240" s="208"/>
      <c r="AO240" s="208"/>
      <c r="AP240" s="208"/>
      <c r="AQ240" s="208"/>
      <c r="AR240" s="208"/>
      <c r="AS240" s="208"/>
      <c r="AT240" s="208"/>
      <c r="AU240" s="208"/>
      <c r="AV240" s="208"/>
      <c r="AW240" s="208">
        <v>465.4</v>
      </c>
      <c r="AX240" s="208">
        <v>16565.187959999999</v>
      </c>
      <c r="AY240" s="208">
        <v>191.97220999999999</v>
      </c>
      <c r="AZ240" s="208">
        <v>45.36403</v>
      </c>
      <c r="BA240" s="208">
        <v>86.530140000000003</v>
      </c>
      <c r="BB240" s="208">
        <v>925.57255999999995</v>
      </c>
      <c r="BC240" s="208">
        <v>39665.507519999999</v>
      </c>
      <c r="BD240" s="208">
        <v>3050.8773799999999</v>
      </c>
      <c r="BE240" s="208">
        <v>489.14479</v>
      </c>
      <c r="BF240" s="208">
        <v>350</v>
      </c>
      <c r="BG240" s="208">
        <v>167.77006</v>
      </c>
      <c r="BH240" s="208"/>
      <c r="BI240" s="323"/>
    </row>
    <row r="241" spans="3:61" ht="15" customHeight="1">
      <c r="C241" s="325"/>
      <c r="D241" s="326"/>
      <c r="E241" s="311"/>
      <c r="F241" s="311"/>
      <c r="G241" s="311"/>
      <c r="H241" s="311"/>
      <c r="I241" s="311"/>
      <c r="J241" s="317"/>
      <c r="K241" s="312"/>
      <c r="L241" s="312"/>
      <c r="M241" s="312"/>
      <c r="N241" s="312"/>
      <c r="O241" s="312"/>
      <c r="P241" s="318" t="str">
        <f t="shared" si="11"/>
        <v/>
      </c>
      <c r="Q241" s="205" t="str">
        <f t="shared" si="9"/>
        <v/>
      </c>
      <c r="R241" s="205"/>
      <c r="S241" s="319" t="str">
        <f t="shared" si="10"/>
        <v/>
      </c>
      <c r="U241" s="318"/>
      <c r="V241" s="794"/>
      <c r="W241" s="795"/>
      <c r="X241" s="482"/>
      <c r="Y241" s="482"/>
      <c r="Z241" s="482"/>
      <c r="AA241" s="319"/>
      <c r="AB241" s="220"/>
      <c r="AC241" s="318"/>
      <c r="AD241" s="319"/>
      <c r="AE241" s="220"/>
      <c r="AF241" s="320"/>
      <c r="AG241" s="205"/>
      <c r="AH241" s="205"/>
      <c r="AI241" s="205"/>
      <c r="AJ241" s="205"/>
      <c r="AK241" s="205"/>
      <c r="AL241" s="205"/>
      <c r="AM241" s="205"/>
      <c r="AN241" s="205"/>
      <c r="AO241" s="205"/>
      <c r="AP241" s="205"/>
      <c r="AQ241" s="205"/>
      <c r="AR241" s="205"/>
      <c r="AS241" s="205"/>
      <c r="AT241" s="205"/>
      <c r="AU241" s="205"/>
      <c r="AV241" s="205"/>
      <c r="AW241" s="205">
        <v>465.5</v>
      </c>
      <c r="AX241" s="205">
        <v>16804.238140000001</v>
      </c>
      <c r="AY241" s="205">
        <v>190.65824000000001</v>
      </c>
      <c r="AZ241" s="205">
        <v>45.692839999999997</v>
      </c>
      <c r="BA241" s="205">
        <v>96.622510000000005</v>
      </c>
      <c r="BB241" s="205">
        <v>925.61051999999995</v>
      </c>
      <c r="BC241" s="205">
        <v>40516.480049999998</v>
      </c>
      <c r="BD241" s="205">
        <v>3073.1737400000002</v>
      </c>
      <c r="BE241" s="205">
        <v>496.68934000000002</v>
      </c>
      <c r="BF241" s="205">
        <v>349.3</v>
      </c>
      <c r="BG241" s="205">
        <v>170.46571</v>
      </c>
      <c r="BH241" s="205"/>
      <c r="BI241" s="319"/>
    </row>
    <row r="242" spans="3:61" ht="15" customHeight="1">
      <c r="C242" s="325"/>
      <c r="D242" s="326"/>
      <c r="E242" s="311"/>
      <c r="F242" s="311"/>
      <c r="G242" s="311"/>
      <c r="H242" s="311"/>
      <c r="I242" s="311"/>
      <c r="J242" s="317"/>
      <c r="K242" s="312"/>
      <c r="L242" s="312"/>
      <c r="M242" s="312"/>
      <c r="N242" s="312"/>
      <c r="O242" s="312"/>
      <c r="P242" s="322" t="str">
        <f t="shared" si="11"/>
        <v/>
      </c>
      <c r="Q242" s="208" t="str">
        <f t="shared" si="9"/>
        <v/>
      </c>
      <c r="R242" s="208"/>
      <c r="S242" s="323" t="str">
        <f t="shared" si="10"/>
        <v/>
      </c>
      <c r="U242" s="322"/>
      <c r="V242" s="791"/>
      <c r="W242" s="792"/>
      <c r="X242" s="480"/>
      <c r="Y242" s="480"/>
      <c r="Z242" s="480"/>
      <c r="AA242" s="323"/>
      <c r="AB242" s="220"/>
      <c r="AC242" s="322"/>
      <c r="AD242" s="323"/>
      <c r="AE242" s="220"/>
      <c r="AF242" s="324"/>
      <c r="AG242" s="208"/>
      <c r="AH242" s="208"/>
      <c r="AI242" s="208"/>
      <c r="AJ242" s="208"/>
      <c r="AK242" s="208"/>
      <c r="AL242" s="208"/>
      <c r="AM242" s="208"/>
      <c r="AN242" s="208"/>
      <c r="AO242" s="208"/>
      <c r="AP242" s="208"/>
      <c r="AQ242" s="208"/>
      <c r="AR242" s="208"/>
      <c r="AS242" s="208"/>
      <c r="AT242" s="208"/>
      <c r="AU242" s="208"/>
      <c r="AV242" s="208"/>
      <c r="AW242" s="208">
        <v>470.55</v>
      </c>
      <c r="AX242" s="208">
        <v>16635.554810000001</v>
      </c>
      <c r="AY242" s="208">
        <v>188.65295</v>
      </c>
      <c r="AZ242" s="208">
        <v>45.476900000000001</v>
      </c>
      <c r="BA242" s="208">
        <v>95.993750000000006</v>
      </c>
      <c r="BB242" s="208">
        <v>930.54444999999998</v>
      </c>
      <c r="BC242" s="208">
        <v>40266.828139999998</v>
      </c>
      <c r="BD242" s="208">
        <v>2919.5141600000002</v>
      </c>
      <c r="BE242" s="208">
        <v>497.85604999999998</v>
      </c>
      <c r="BF242" s="208">
        <v>349.4</v>
      </c>
      <c r="BG242" s="208">
        <v>169.39832000000001</v>
      </c>
      <c r="BH242" s="208"/>
      <c r="BI242" s="323"/>
    </row>
    <row r="243" spans="3:61" ht="15" customHeight="1">
      <c r="C243" s="325"/>
      <c r="D243" s="326"/>
      <c r="E243" s="311"/>
      <c r="F243" s="311"/>
      <c r="G243" s="311"/>
      <c r="H243" s="311"/>
      <c r="I243" s="311"/>
      <c r="J243" s="317"/>
      <c r="K243" s="312"/>
      <c r="L243" s="312"/>
      <c r="M243" s="312"/>
      <c r="N243" s="312"/>
      <c r="O243" s="312"/>
      <c r="P243" s="318" t="str">
        <f t="shared" si="11"/>
        <v/>
      </c>
      <c r="Q243" s="205" t="str">
        <f t="shared" si="9"/>
        <v/>
      </c>
      <c r="R243" s="205"/>
      <c r="S243" s="319" t="str">
        <f t="shared" si="10"/>
        <v/>
      </c>
      <c r="U243" s="318"/>
      <c r="V243" s="794"/>
      <c r="W243" s="795"/>
      <c r="X243" s="482"/>
      <c r="Y243" s="482"/>
      <c r="Z243" s="482"/>
      <c r="AA243" s="319"/>
      <c r="AB243" s="220"/>
      <c r="AC243" s="318"/>
      <c r="AD243" s="319"/>
      <c r="AE243" s="220"/>
      <c r="AF243" s="320"/>
      <c r="AG243" s="205"/>
      <c r="AH243" s="205"/>
      <c r="AI243" s="205"/>
      <c r="AJ243" s="205"/>
      <c r="AK243" s="205"/>
      <c r="AL243" s="205"/>
      <c r="AM243" s="205"/>
      <c r="AN243" s="205"/>
      <c r="AO243" s="205"/>
      <c r="AP243" s="205"/>
      <c r="AQ243" s="205"/>
      <c r="AR243" s="205"/>
      <c r="AS243" s="205"/>
      <c r="AT243" s="205"/>
      <c r="AU243" s="205"/>
      <c r="AV243" s="205"/>
      <c r="AW243" s="205">
        <v>462.35</v>
      </c>
      <c r="AX243" s="205">
        <v>16377.49336</v>
      </c>
      <c r="AY243" s="205">
        <v>185.80265</v>
      </c>
      <c r="AZ243" s="205">
        <v>43.775970000000001</v>
      </c>
      <c r="BA243" s="205">
        <v>93.586399999999998</v>
      </c>
      <c r="BB243" s="205">
        <v>926.11478999999997</v>
      </c>
      <c r="BC243" s="205">
        <v>40074.5933</v>
      </c>
      <c r="BD243" s="205">
        <v>3022.0086700000002</v>
      </c>
      <c r="BE243" s="205">
        <v>491.84041000000002</v>
      </c>
      <c r="BF243" s="205">
        <v>346.5</v>
      </c>
      <c r="BG243" s="205">
        <v>168.67750000000001</v>
      </c>
      <c r="BH243" s="205"/>
      <c r="BI243" s="319"/>
    </row>
    <row r="244" spans="3:61" ht="15" customHeight="1">
      <c r="C244" s="325"/>
      <c r="D244" s="326"/>
      <c r="E244" s="311"/>
      <c r="F244" s="311"/>
      <c r="G244" s="311"/>
      <c r="H244" s="311"/>
      <c r="I244" s="311"/>
      <c r="J244" s="317"/>
      <c r="K244" s="312"/>
      <c r="L244" s="312"/>
      <c r="M244" s="312"/>
      <c r="N244" s="312"/>
      <c r="O244" s="312"/>
      <c r="P244" s="322" t="str">
        <f t="shared" si="11"/>
        <v/>
      </c>
      <c r="Q244" s="208" t="str">
        <f t="shared" si="9"/>
        <v/>
      </c>
      <c r="R244" s="208"/>
      <c r="S244" s="323" t="str">
        <f t="shared" si="10"/>
        <v/>
      </c>
      <c r="U244" s="322"/>
      <c r="V244" s="791"/>
      <c r="W244" s="792"/>
      <c r="X244" s="480"/>
      <c r="Y244" s="480"/>
      <c r="Z244" s="480"/>
      <c r="AA244" s="323"/>
      <c r="AB244" s="220"/>
      <c r="AC244" s="322"/>
      <c r="AD244" s="323"/>
      <c r="AE244" s="220"/>
      <c r="AF244" s="324"/>
      <c r="AG244" s="208"/>
      <c r="AH244" s="208"/>
      <c r="AI244" s="208"/>
      <c r="AJ244" s="208"/>
      <c r="AK244" s="208"/>
      <c r="AL244" s="208"/>
      <c r="AM244" s="208"/>
      <c r="AN244" s="208"/>
      <c r="AO244" s="208"/>
      <c r="AP244" s="208"/>
      <c r="AQ244" s="208"/>
      <c r="AR244" s="208"/>
      <c r="AS244" s="208"/>
      <c r="AT244" s="208"/>
      <c r="AU244" s="208"/>
      <c r="AV244" s="208"/>
      <c r="AW244" s="208">
        <v>454</v>
      </c>
      <c r="AX244" s="208">
        <v>16312.70318</v>
      </c>
      <c r="AY244" s="208">
        <v>180.71355</v>
      </c>
      <c r="AZ244" s="208">
        <v>44.326009999999997</v>
      </c>
      <c r="BA244" s="208">
        <v>91.825900000000004</v>
      </c>
      <c r="BB244" s="208">
        <v>924.98487999999998</v>
      </c>
      <c r="BC244" s="208">
        <v>39873.479350000001</v>
      </c>
      <c r="BD244" s="208">
        <v>3110.4401400000002</v>
      </c>
      <c r="BE244" s="208">
        <v>485.13929999999999</v>
      </c>
      <c r="BF244" s="208">
        <v>339.9</v>
      </c>
      <c r="BG244" s="208">
        <v>167.19798</v>
      </c>
      <c r="BH244" s="208"/>
      <c r="BI244" s="323"/>
    </row>
    <row r="245" spans="3:61" ht="15" customHeight="1">
      <c r="C245" s="325"/>
      <c r="D245" s="326"/>
      <c r="E245" s="311"/>
      <c r="F245" s="311"/>
      <c r="G245" s="311"/>
      <c r="H245" s="311"/>
      <c r="I245" s="311"/>
      <c r="J245" s="317"/>
      <c r="K245" s="312"/>
      <c r="L245" s="312"/>
      <c r="M245" s="312"/>
      <c r="N245" s="312"/>
      <c r="O245" s="312"/>
      <c r="P245" s="318" t="str">
        <f t="shared" si="11"/>
        <v/>
      </c>
      <c r="Q245" s="205" t="str">
        <f t="shared" si="9"/>
        <v/>
      </c>
      <c r="R245" s="205"/>
      <c r="S245" s="319" t="str">
        <f t="shared" si="10"/>
        <v/>
      </c>
      <c r="U245" s="318"/>
      <c r="V245" s="794"/>
      <c r="W245" s="795"/>
      <c r="X245" s="482"/>
      <c r="Y245" s="482"/>
      <c r="Z245" s="482"/>
      <c r="AA245" s="319"/>
      <c r="AB245" s="220"/>
      <c r="AC245" s="318"/>
      <c r="AD245" s="319"/>
      <c r="AE245" s="220"/>
      <c r="AF245" s="320"/>
      <c r="AG245" s="205"/>
      <c r="AH245" s="205"/>
      <c r="AI245" s="205"/>
      <c r="AJ245" s="205"/>
      <c r="AK245" s="205"/>
      <c r="AL245" s="205"/>
      <c r="AM245" s="205"/>
      <c r="AN245" s="205"/>
      <c r="AO245" s="205"/>
      <c r="AP245" s="205"/>
      <c r="AQ245" s="205"/>
      <c r="AR245" s="205"/>
      <c r="AS245" s="205"/>
      <c r="AT245" s="205"/>
      <c r="AU245" s="205"/>
      <c r="AV245" s="205"/>
      <c r="AW245" s="205">
        <v>448.25</v>
      </c>
      <c r="AX245" s="205">
        <v>16400.911520000001</v>
      </c>
      <c r="AY245" s="205">
        <v>178.87434999999999</v>
      </c>
      <c r="AZ245" s="205">
        <v>42.216549999999998</v>
      </c>
      <c r="BA245" s="205">
        <v>91.809799999999996</v>
      </c>
      <c r="BB245" s="205">
        <v>926.13476000000003</v>
      </c>
      <c r="BC245" s="205">
        <v>39816.670259999999</v>
      </c>
      <c r="BD245" s="205">
        <v>3128.6262299999999</v>
      </c>
      <c r="BE245" s="205">
        <v>490.44713000000002</v>
      </c>
      <c r="BF245" s="205">
        <v>343.2</v>
      </c>
      <c r="BG245" s="205">
        <v>169.81841</v>
      </c>
      <c r="BH245" s="205"/>
      <c r="BI245" s="319"/>
    </row>
    <row r="246" spans="3:61" ht="15" customHeight="1">
      <c r="C246" s="325"/>
      <c r="D246" s="326"/>
      <c r="E246" s="311"/>
      <c r="F246" s="311"/>
      <c r="G246" s="311"/>
      <c r="H246" s="311"/>
      <c r="I246" s="311"/>
      <c r="J246" s="317"/>
      <c r="K246" s="312"/>
      <c r="L246" s="312"/>
      <c r="M246" s="312"/>
      <c r="N246" s="312"/>
      <c r="O246" s="312"/>
      <c r="P246" s="322" t="str">
        <f t="shared" si="11"/>
        <v/>
      </c>
      <c r="Q246" s="208" t="str">
        <f t="shared" si="9"/>
        <v/>
      </c>
      <c r="R246" s="208"/>
      <c r="S246" s="323" t="str">
        <f t="shared" si="10"/>
        <v/>
      </c>
      <c r="U246" s="322"/>
      <c r="V246" s="791"/>
      <c r="W246" s="792"/>
      <c r="X246" s="480"/>
      <c r="Y246" s="480"/>
      <c r="Z246" s="480"/>
      <c r="AA246" s="323"/>
      <c r="AB246" s="220"/>
      <c r="AC246" s="322"/>
      <c r="AD246" s="323"/>
      <c r="AE246" s="220"/>
      <c r="AF246" s="324"/>
      <c r="AG246" s="208"/>
      <c r="AH246" s="208"/>
      <c r="AI246" s="208"/>
      <c r="AJ246" s="208"/>
      <c r="AK246" s="208"/>
      <c r="AL246" s="208"/>
      <c r="AM246" s="208"/>
      <c r="AN246" s="208"/>
      <c r="AO246" s="208"/>
      <c r="AP246" s="208"/>
      <c r="AQ246" s="208"/>
      <c r="AR246" s="208"/>
      <c r="AS246" s="208"/>
      <c r="AT246" s="208"/>
      <c r="AU246" s="208"/>
      <c r="AV246" s="208"/>
      <c r="AW246" s="208">
        <v>438</v>
      </c>
      <c r="AX246" s="208">
        <v>15705.682360000001</v>
      </c>
      <c r="AY246" s="208">
        <v>178.89079000000001</v>
      </c>
      <c r="AZ246" s="208">
        <v>39.029310000000002</v>
      </c>
      <c r="BA246" s="208">
        <v>91.483519999999999</v>
      </c>
      <c r="BB246" s="208">
        <v>916.82736</v>
      </c>
      <c r="BC246" s="208">
        <v>39094.773099999999</v>
      </c>
      <c r="BD246" s="208">
        <v>3043.0572699999998</v>
      </c>
      <c r="BE246" s="208">
        <v>481.79397</v>
      </c>
      <c r="BF246" s="208">
        <v>344.1</v>
      </c>
      <c r="BG246" s="208">
        <v>169.03707</v>
      </c>
      <c r="BH246" s="208"/>
      <c r="BI246" s="323"/>
    </row>
    <row r="247" spans="3:61" ht="15" customHeight="1">
      <c r="C247" s="325"/>
      <c r="D247" s="326"/>
      <c r="E247" s="311"/>
      <c r="F247" s="311"/>
      <c r="G247" s="311"/>
      <c r="H247" s="311"/>
      <c r="I247" s="311"/>
      <c r="J247" s="317"/>
      <c r="K247" s="312"/>
      <c r="L247" s="312"/>
      <c r="M247" s="312"/>
      <c r="N247" s="312"/>
      <c r="O247" s="312"/>
      <c r="P247" s="318" t="str">
        <f t="shared" si="11"/>
        <v/>
      </c>
      <c r="Q247" s="205" t="str">
        <f t="shared" si="9"/>
        <v/>
      </c>
      <c r="R247" s="205"/>
      <c r="S247" s="319" t="str">
        <f t="shared" si="10"/>
        <v/>
      </c>
      <c r="U247" s="318"/>
      <c r="V247" s="794"/>
      <c r="W247" s="795"/>
      <c r="X247" s="482"/>
      <c r="Y247" s="482"/>
      <c r="Z247" s="482"/>
      <c r="AA247" s="319"/>
      <c r="AB247" s="220"/>
      <c r="AC247" s="318"/>
      <c r="AD247" s="319"/>
      <c r="AE247" s="220"/>
      <c r="AF247" s="320"/>
      <c r="AG247" s="205"/>
      <c r="AH247" s="205"/>
      <c r="AI247" s="205"/>
      <c r="AJ247" s="205"/>
      <c r="AK247" s="205"/>
      <c r="AL247" s="205"/>
      <c r="AM247" s="205"/>
      <c r="AN247" s="205"/>
      <c r="AO247" s="205"/>
      <c r="AP247" s="205"/>
      <c r="AQ247" s="205"/>
      <c r="AR247" s="205"/>
      <c r="AS247" s="205"/>
      <c r="AT247" s="205"/>
      <c r="AU247" s="205"/>
      <c r="AV247" s="205"/>
      <c r="AW247" s="205">
        <v>441.4</v>
      </c>
      <c r="AX247" s="205">
        <v>15829.42208</v>
      </c>
      <c r="AY247" s="205">
        <v>178.99303</v>
      </c>
      <c r="AZ247" s="205">
        <v>42.236020000000003</v>
      </c>
      <c r="BA247" s="205">
        <v>93.649590000000003</v>
      </c>
      <c r="BB247" s="205">
        <v>921.41413</v>
      </c>
      <c r="BC247" s="205">
        <v>39335.00561</v>
      </c>
      <c r="BD247" s="205">
        <v>3162.3949600000001</v>
      </c>
      <c r="BE247" s="205">
        <v>487.53426999999999</v>
      </c>
      <c r="BF247" s="205">
        <v>355.5</v>
      </c>
      <c r="BG247" s="205">
        <v>171.88300000000001</v>
      </c>
      <c r="BH247" s="205"/>
      <c r="BI247" s="319"/>
    </row>
    <row r="248" spans="3:61" ht="15" customHeight="1">
      <c r="C248" s="325"/>
      <c r="D248" s="326"/>
      <c r="E248" s="311"/>
      <c r="F248" s="311"/>
      <c r="G248" s="311"/>
      <c r="H248" s="311"/>
      <c r="I248" s="311"/>
      <c r="J248" s="317"/>
      <c r="K248" s="312"/>
      <c r="L248" s="312"/>
      <c r="M248" s="312"/>
      <c r="N248" s="312"/>
      <c r="O248" s="312"/>
      <c r="P248" s="322" t="str">
        <f t="shared" si="11"/>
        <v/>
      </c>
      <c r="Q248" s="208" t="str">
        <f t="shared" si="9"/>
        <v/>
      </c>
      <c r="R248" s="208"/>
      <c r="S248" s="323" t="str">
        <f t="shared" si="10"/>
        <v/>
      </c>
      <c r="U248" s="322"/>
      <c r="V248" s="791"/>
      <c r="W248" s="792"/>
      <c r="X248" s="480"/>
      <c r="Y248" s="480"/>
      <c r="Z248" s="480"/>
      <c r="AA248" s="323"/>
      <c r="AB248" s="220"/>
      <c r="AC248" s="322"/>
      <c r="AD248" s="323"/>
      <c r="AE248" s="220"/>
      <c r="AF248" s="324"/>
      <c r="AG248" s="208"/>
      <c r="AH248" s="208"/>
      <c r="AI248" s="208"/>
      <c r="AJ248" s="208"/>
      <c r="AK248" s="208"/>
      <c r="AL248" s="208"/>
      <c r="AM248" s="208"/>
      <c r="AN248" s="208"/>
      <c r="AO248" s="208"/>
      <c r="AP248" s="208"/>
      <c r="AQ248" s="208"/>
      <c r="AR248" s="208"/>
      <c r="AS248" s="208"/>
      <c r="AT248" s="208"/>
      <c r="AU248" s="208"/>
      <c r="AV248" s="208"/>
      <c r="AW248" s="208">
        <v>442.9</v>
      </c>
      <c r="AX248" s="208">
        <v>16029.749169999999</v>
      </c>
      <c r="AY248" s="208">
        <v>182.79760999999999</v>
      </c>
      <c r="AZ248" s="208">
        <v>45.223390000000002</v>
      </c>
      <c r="BA248" s="208">
        <v>95.964010000000002</v>
      </c>
      <c r="BB248" s="208">
        <v>930.12122999999997</v>
      </c>
      <c r="BC248" s="208">
        <v>39861.260620000001</v>
      </c>
      <c r="BD248" s="208">
        <v>3146.9470200000001</v>
      </c>
      <c r="BE248" s="208">
        <v>487.53426999999999</v>
      </c>
      <c r="BF248" s="208">
        <v>353.7</v>
      </c>
      <c r="BG248" s="208">
        <v>176.78962000000001</v>
      </c>
      <c r="BH248" s="208"/>
      <c r="BI248" s="323"/>
    </row>
    <row r="249" spans="3:61" ht="15" customHeight="1">
      <c r="C249" s="325"/>
      <c r="D249" s="326"/>
      <c r="E249" s="311"/>
      <c r="F249" s="311"/>
      <c r="G249" s="311"/>
      <c r="H249" s="311"/>
      <c r="I249" s="311"/>
      <c r="J249" s="317"/>
      <c r="K249" s="312"/>
      <c r="L249" s="312"/>
      <c r="M249" s="312"/>
      <c r="N249" s="312"/>
      <c r="O249" s="312"/>
      <c r="P249" s="318" t="str">
        <f t="shared" si="11"/>
        <v/>
      </c>
      <c r="Q249" s="205" t="str">
        <f t="shared" si="9"/>
        <v/>
      </c>
      <c r="R249" s="205"/>
      <c r="S249" s="319" t="str">
        <f t="shared" si="10"/>
        <v/>
      </c>
      <c r="U249" s="318"/>
      <c r="V249" s="794"/>
      <c r="W249" s="795"/>
      <c r="X249" s="482"/>
      <c r="Y249" s="482"/>
      <c r="Z249" s="482"/>
      <c r="AA249" s="319"/>
      <c r="AB249" s="220"/>
      <c r="AC249" s="318"/>
      <c r="AD249" s="319"/>
      <c r="AE249" s="220"/>
      <c r="AF249" s="320"/>
      <c r="AG249" s="205"/>
      <c r="AH249" s="205"/>
      <c r="AI249" s="205"/>
      <c r="AJ249" s="205"/>
      <c r="AK249" s="205"/>
      <c r="AL249" s="205"/>
      <c r="AM249" s="205"/>
      <c r="AN249" s="205"/>
      <c r="AO249" s="205"/>
      <c r="AP249" s="205"/>
      <c r="AQ249" s="205"/>
      <c r="AR249" s="205"/>
      <c r="AS249" s="205"/>
      <c r="AT249" s="205"/>
      <c r="AU249" s="205"/>
      <c r="AV249" s="205"/>
      <c r="AW249" s="205">
        <v>442.9</v>
      </c>
      <c r="AX249" s="205">
        <v>16029.749169999999</v>
      </c>
      <c r="AY249" s="205">
        <v>186.66343000000001</v>
      </c>
      <c r="AZ249" s="205">
        <v>45.223390000000002</v>
      </c>
      <c r="BA249" s="205">
        <v>100.84769</v>
      </c>
      <c r="BB249" s="205">
        <v>930.12122999999997</v>
      </c>
      <c r="BC249" s="205">
        <v>39861.260620000001</v>
      </c>
      <c r="BD249" s="205">
        <v>3146.9470200000001</v>
      </c>
      <c r="BE249" s="205">
        <v>487.53426999999999</v>
      </c>
      <c r="BF249" s="205">
        <v>353.7</v>
      </c>
      <c r="BG249" s="205">
        <v>176.78962000000001</v>
      </c>
      <c r="BH249" s="205"/>
      <c r="BI249" s="319"/>
    </row>
    <row r="250" spans="3:61" ht="15" customHeight="1">
      <c r="C250" s="325"/>
      <c r="D250" s="326"/>
      <c r="E250" s="311"/>
      <c r="F250" s="311"/>
      <c r="G250" s="311"/>
      <c r="H250" s="311"/>
      <c r="I250" s="311"/>
      <c r="J250" s="317"/>
      <c r="K250" s="312"/>
      <c r="L250" s="312"/>
      <c r="M250" s="312"/>
      <c r="N250" s="312"/>
      <c r="O250" s="312"/>
      <c r="P250" s="322" t="str">
        <f t="shared" si="11"/>
        <v/>
      </c>
      <c r="Q250" s="208" t="str">
        <f t="shared" si="9"/>
        <v/>
      </c>
      <c r="R250" s="208"/>
      <c r="S250" s="323" t="str">
        <f t="shared" si="10"/>
        <v/>
      </c>
      <c r="U250" s="322"/>
      <c r="V250" s="791"/>
      <c r="W250" s="792"/>
      <c r="X250" s="480"/>
      <c r="Y250" s="480"/>
      <c r="Z250" s="480"/>
      <c r="AA250" s="323"/>
      <c r="AB250" s="220"/>
      <c r="AC250" s="322"/>
      <c r="AD250" s="323"/>
      <c r="AE250" s="220"/>
      <c r="AF250" s="324"/>
      <c r="AG250" s="208"/>
      <c r="AH250" s="208"/>
      <c r="AI250" s="208"/>
      <c r="AJ250" s="208"/>
      <c r="AK250" s="208"/>
      <c r="AL250" s="208"/>
      <c r="AM250" s="208"/>
      <c r="AN250" s="208"/>
      <c r="AO250" s="208"/>
      <c r="AP250" s="208"/>
      <c r="AQ250" s="208"/>
      <c r="AR250" s="208"/>
      <c r="AS250" s="208"/>
      <c r="AT250" s="208"/>
      <c r="AU250" s="208"/>
      <c r="AV250" s="208"/>
      <c r="AW250" s="208">
        <v>447.6</v>
      </c>
      <c r="AX250" s="208">
        <v>15915.23878</v>
      </c>
      <c r="AY250" s="208">
        <v>181.90038999999999</v>
      </c>
      <c r="AZ250" s="208">
        <v>43.687460000000002</v>
      </c>
      <c r="BA250" s="208">
        <v>103.30064</v>
      </c>
      <c r="BB250" s="208">
        <v>924.88828999999998</v>
      </c>
      <c r="BC250" s="208">
        <v>39969.630069999999</v>
      </c>
      <c r="BD250" s="208">
        <v>3196.2707500000001</v>
      </c>
      <c r="BE250" s="208">
        <v>501.97669999999999</v>
      </c>
      <c r="BF250" s="208">
        <v>350</v>
      </c>
      <c r="BG250" s="208">
        <v>180.40647000000001</v>
      </c>
      <c r="BH250" s="208"/>
      <c r="BI250" s="323"/>
    </row>
    <row r="251" spans="3:61" ht="15" customHeight="1">
      <c r="C251" s="325"/>
      <c r="D251" s="326"/>
      <c r="E251" s="311"/>
      <c r="F251" s="311"/>
      <c r="G251" s="311"/>
      <c r="H251" s="311"/>
      <c r="I251" s="311"/>
      <c r="J251" s="317"/>
      <c r="K251" s="312"/>
      <c r="L251" s="312"/>
      <c r="M251" s="312"/>
      <c r="N251" s="312"/>
      <c r="O251" s="312"/>
      <c r="P251" s="318" t="str">
        <f t="shared" si="11"/>
        <v/>
      </c>
      <c r="Q251" s="205" t="str">
        <f t="shared" si="9"/>
        <v/>
      </c>
      <c r="R251" s="205"/>
      <c r="S251" s="319" t="str">
        <f t="shared" si="10"/>
        <v/>
      </c>
      <c r="U251" s="318"/>
      <c r="V251" s="794"/>
      <c r="W251" s="795"/>
      <c r="X251" s="482"/>
      <c r="Y251" s="482"/>
      <c r="Z251" s="482"/>
      <c r="AA251" s="319"/>
      <c r="AB251" s="220"/>
      <c r="AC251" s="318"/>
      <c r="AD251" s="319"/>
      <c r="AE251" s="220"/>
      <c r="AF251" s="320"/>
      <c r="AG251" s="205"/>
      <c r="AH251" s="205"/>
      <c r="AI251" s="205"/>
      <c r="AJ251" s="205"/>
      <c r="AK251" s="205"/>
      <c r="AL251" s="205"/>
      <c r="AM251" s="205"/>
      <c r="AN251" s="205"/>
      <c r="AO251" s="205"/>
      <c r="AP251" s="205"/>
      <c r="AQ251" s="205"/>
      <c r="AR251" s="205"/>
      <c r="AS251" s="205"/>
      <c r="AT251" s="205"/>
      <c r="AU251" s="205"/>
      <c r="AV251" s="205"/>
      <c r="AW251" s="205">
        <v>444.3</v>
      </c>
      <c r="AX251" s="205">
        <v>15564.50671</v>
      </c>
      <c r="AY251" s="205">
        <v>180.46791999999999</v>
      </c>
      <c r="AZ251" s="205">
        <v>43.154150000000001</v>
      </c>
      <c r="BA251" s="205">
        <v>105.12906</v>
      </c>
      <c r="BB251" s="205">
        <v>918.20432000000005</v>
      </c>
      <c r="BC251" s="205">
        <v>39720.321909999999</v>
      </c>
      <c r="BD251" s="205">
        <v>3136.98047</v>
      </c>
      <c r="BE251" s="205">
        <v>502.19252999999998</v>
      </c>
      <c r="BF251" s="205">
        <v>349.5</v>
      </c>
      <c r="BG251" s="205">
        <v>181.08484000000001</v>
      </c>
      <c r="BH251" s="205"/>
      <c r="BI251" s="319"/>
    </row>
    <row r="252" spans="3:61" ht="15" customHeight="1">
      <c r="C252" s="325"/>
      <c r="D252" s="326"/>
      <c r="E252" s="311"/>
      <c r="F252" s="311"/>
      <c r="G252" s="311"/>
      <c r="H252" s="311"/>
      <c r="I252" s="311"/>
      <c r="J252" s="317"/>
      <c r="K252" s="312"/>
      <c r="L252" s="312"/>
      <c r="M252" s="312"/>
      <c r="N252" s="312"/>
      <c r="O252" s="312"/>
      <c r="P252" s="322" t="str">
        <f t="shared" si="11"/>
        <v/>
      </c>
      <c r="Q252" s="208" t="str">
        <f t="shared" si="9"/>
        <v/>
      </c>
      <c r="R252" s="208"/>
      <c r="S252" s="323" t="str">
        <f t="shared" si="10"/>
        <v/>
      </c>
      <c r="U252" s="322"/>
      <c r="V252" s="791"/>
      <c r="W252" s="792"/>
      <c r="X252" s="480"/>
      <c r="Y252" s="480"/>
      <c r="Z252" s="480"/>
      <c r="AA252" s="323"/>
      <c r="AB252" s="220"/>
      <c r="AC252" s="322"/>
      <c r="AD252" s="323"/>
      <c r="AE252" s="220"/>
      <c r="AF252" s="324"/>
      <c r="AG252" s="208"/>
      <c r="AH252" s="208"/>
      <c r="AI252" s="208"/>
      <c r="AJ252" s="208"/>
      <c r="AK252" s="208"/>
      <c r="AL252" s="208"/>
      <c r="AM252" s="208"/>
      <c r="AN252" s="208"/>
      <c r="AO252" s="208"/>
      <c r="AP252" s="208"/>
      <c r="AQ252" s="208"/>
      <c r="AR252" s="208"/>
      <c r="AS252" s="208"/>
      <c r="AT252" s="208"/>
      <c r="AU252" s="208"/>
      <c r="AV252" s="208"/>
      <c r="AW252" s="208">
        <v>453.7</v>
      </c>
      <c r="AX252" s="208">
        <v>15595.813319999999</v>
      </c>
      <c r="AY252" s="208">
        <v>181.84629000000001</v>
      </c>
      <c r="AZ252" s="208">
        <v>44.673250000000003</v>
      </c>
      <c r="BA252" s="208">
        <v>104.44878</v>
      </c>
      <c r="BB252" s="208">
        <v>919.16830000000004</v>
      </c>
      <c r="BC252" s="208">
        <v>39999.302179999999</v>
      </c>
      <c r="BD252" s="208">
        <v>3139.0738099999999</v>
      </c>
      <c r="BE252" s="208">
        <v>503.42799000000002</v>
      </c>
      <c r="BF252" s="208">
        <v>356</v>
      </c>
      <c r="BG252" s="208">
        <v>181.32307</v>
      </c>
      <c r="BH252" s="208"/>
      <c r="BI252" s="323"/>
    </row>
    <row r="253" spans="3:61" ht="15" customHeight="1">
      <c r="C253" s="325"/>
      <c r="D253" s="326"/>
      <c r="E253" s="311"/>
      <c r="F253" s="311"/>
      <c r="G253" s="311"/>
      <c r="H253" s="311"/>
      <c r="I253" s="311"/>
      <c r="J253" s="317"/>
      <c r="K253" s="312"/>
      <c r="L253" s="312"/>
      <c r="M253" s="312"/>
      <c r="N253" s="312"/>
      <c r="O253" s="312"/>
      <c r="P253" s="318" t="str">
        <f t="shared" si="11"/>
        <v/>
      </c>
      <c r="Q253" s="205" t="str">
        <f t="shared" si="9"/>
        <v/>
      </c>
      <c r="R253" s="205"/>
      <c r="S253" s="319" t="str">
        <f t="shared" si="10"/>
        <v/>
      </c>
      <c r="U253" s="318"/>
      <c r="V253" s="794"/>
      <c r="W253" s="795"/>
      <c r="X253" s="482"/>
      <c r="Y253" s="482"/>
      <c r="Z253" s="482"/>
      <c r="AA253" s="319"/>
      <c r="AB253" s="220"/>
      <c r="AC253" s="318"/>
      <c r="AD253" s="319"/>
      <c r="AE253" s="220"/>
      <c r="AF253" s="320"/>
      <c r="AG253" s="205"/>
      <c r="AH253" s="205"/>
      <c r="AI253" s="205"/>
      <c r="AJ253" s="205"/>
      <c r="AK253" s="205"/>
      <c r="AL253" s="205"/>
      <c r="AM253" s="205"/>
      <c r="AN253" s="205"/>
      <c r="AO253" s="205"/>
      <c r="AP253" s="205"/>
      <c r="AQ253" s="205"/>
      <c r="AR253" s="205"/>
      <c r="AS253" s="205"/>
      <c r="AT253" s="205"/>
      <c r="AU253" s="205"/>
      <c r="AV253" s="205"/>
      <c r="AW253" s="205">
        <v>454.65</v>
      </c>
      <c r="AX253" s="205">
        <v>15630.681039999999</v>
      </c>
      <c r="AY253" s="205">
        <v>180.46798999999999</v>
      </c>
      <c r="AZ253" s="205">
        <v>43.87433</v>
      </c>
      <c r="BA253" s="205">
        <v>104.44264</v>
      </c>
      <c r="BB253" s="205">
        <v>918.32509000000005</v>
      </c>
      <c r="BC253" s="205">
        <v>38279.189449999998</v>
      </c>
      <c r="BD253" s="205">
        <v>3178.7565399999999</v>
      </c>
      <c r="BE253" s="205">
        <v>502.46008999999998</v>
      </c>
      <c r="BF253" s="205">
        <v>352.8</v>
      </c>
      <c r="BG253" s="205">
        <v>181.92260999999999</v>
      </c>
      <c r="BH253" s="205"/>
      <c r="BI253" s="319"/>
    </row>
    <row r="254" spans="3:61" ht="15" customHeight="1">
      <c r="C254" s="325"/>
      <c r="D254" s="326"/>
      <c r="E254" s="311"/>
      <c r="F254" s="311"/>
      <c r="G254" s="311"/>
      <c r="H254" s="311"/>
      <c r="I254" s="311"/>
      <c r="J254" s="317"/>
      <c r="K254" s="312"/>
      <c r="L254" s="312"/>
      <c r="M254" s="312"/>
      <c r="N254" s="312"/>
      <c r="O254" s="312"/>
      <c r="P254" s="322" t="str">
        <f t="shared" si="11"/>
        <v/>
      </c>
      <c r="Q254" s="208" t="str">
        <f t="shared" si="9"/>
        <v/>
      </c>
      <c r="R254" s="208"/>
      <c r="S254" s="323" t="str">
        <f t="shared" si="10"/>
        <v/>
      </c>
      <c r="U254" s="322"/>
      <c r="V254" s="791"/>
      <c r="W254" s="792"/>
      <c r="X254" s="480"/>
      <c r="Y254" s="480"/>
      <c r="Z254" s="480"/>
      <c r="AA254" s="323"/>
      <c r="AB254" s="220"/>
      <c r="AC254" s="322"/>
      <c r="AD254" s="323"/>
      <c r="AE254" s="220"/>
      <c r="AF254" s="324"/>
      <c r="AG254" s="208"/>
      <c r="AH254" s="208"/>
      <c r="AI254" s="208"/>
      <c r="AJ254" s="208"/>
      <c r="AK254" s="208"/>
      <c r="AL254" s="208"/>
      <c r="AM254" s="208"/>
      <c r="AN254" s="208"/>
      <c r="AO254" s="208"/>
      <c r="AP254" s="208"/>
      <c r="AQ254" s="208"/>
      <c r="AR254" s="208"/>
      <c r="AS254" s="208"/>
      <c r="AT254" s="208"/>
      <c r="AU254" s="208"/>
      <c r="AV254" s="208"/>
      <c r="AW254" s="208">
        <v>456</v>
      </c>
      <c r="AX254" s="208">
        <v>16279.16714</v>
      </c>
      <c r="AY254" s="208">
        <v>179.51076</v>
      </c>
      <c r="AZ254" s="208">
        <v>44.440359999999998</v>
      </c>
      <c r="BA254" s="208">
        <v>107.44615</v>
      </c>
      <c r="BB254" s="208">
        <v>914.41813000000002</v>
      </c>
      <c r="BC254" s="208">
        <v>38515.524120000002</v>
      </c>
      <c r="BD254" s="208">
        <v>3161.9747900000002</v>
      </c>
      <c r="BE254" s="208">
        <v>500.19080000000002</v>
      </c>
      <c r="BF254" s="208">
        <v>355.3</v>
      </c>
      <c r="BG254" s="208">
        <v>182.97703000000001</v>
      </c>
      <c r="BH254" s="208"/>
      <c r="BI254" s="323"/>
    </row>
    <row r="255" spans="3:61" ht="15" customHeight="1">
      <c r="C255" s="325"/>
      <c r="D255" s="326"/>
      <c r="E255" s="311"/>
      <c r="F255" s="311"/>
      <c r="G255" s="311"/>
      <c r="H255" s="311"/>
      <c r="I255" s="311"/>
      <c r="J255" s="317"/>
      <c r="K255" s="312"/>
      <c r="L255" s="312"/>
      <c r="M255" s="312"/>
      <c r="N255" s="312"/>
      <c r="O255" s="312"/>
      <c r="P255" s="318" t="str">
        <f t="shared" si="11"/>
        <v/>
      </c>
      <c r="Q255" s="205" t="str">
        <f t="shared" si="9"/>
        <v/>
      </c>
      <c r="R255" s="205"/>
      <c r="S255" s="319" t="str">
        <f t="shared" si="10"/>
        <v/>
      </c>
      <c r="U255" s="318"/>
      <c r="V255" s="794"/>
      <c r="W255" s="795"/>
      <c r="X255" s="482"/>
      <c r="Y255" s="482"/>
      <c r="Z255" s="482"/>
      <c r="AA255" s="319"/>
      <c r="AB255" s="220"/>
      <c r="AC255" s="318"/>
      <c r="AD255" s="319"/>
      <c r="AE255" s="220"/>
      <c r="AF255" s="320"/>
      <c r="AG255" s="205"/>
      <c r="AH255" s="205"/>
      <c r="AI255" s="205"/>
      <c r="AJ255" s="205"/>
      <c r="AK255" s="205"/>
      <c r="AL255" s="205"/>
      <c r="AM255" s="205"/>
      <c r="AN255" s="205"/>
      <c r="AO255" s="205"/>
      <c r="AP255" s="205"/>
      <c r="AQ255" s="205"/>
      <c r="AR255" s="205"/>
      <c r="AS255" s="205"/>
      <c r="AT255" s="205"/>
      <c r="AU255" s="205"/>
      <c r="AV255" s="205"/>
      <c r="AW255" s="205">
        <v>456</v>
      </c>
      <c r="AX255" s="205">
        <v>16217.081819999999</v>
      </c>
      <c r="AY255" s="205">
        <v>177.53551999999999</v>
      </c>
      <c r="AZ255" s="205">
        <v>44.49062</v>
      </c>
      <c r="BA255" s="205">
        <v>110.33687999999999</v>
      </c>
      <c r="BB255" s="205">
        <v>917.21339</v>
      </c>
      <c r="BC255" s="205">
        <v>38317.974430000002</v>
      </c>
      <c r="BD255" s="205">
        <v>3163.9533499999998</v>
      </c>
      <c r="BE255" s="205">
        <v>497.68088</v>
      </c>
      <c r="BF255" s="205">
        <v>354.4</v>
      </c>
      <c r="BG255" s="205">
        <v>181.44874999999999</v>
      </c>
      <c r="BH255" s="205"/>
      <c r="BI255" s="319"/>
    </row>
    <row r="256" spans="3:61" ht="15" customHeight="1">
      <c r="C256" s="325"/>
      <c r="D256" s="326"/>
      <c r="E256" s="311"/>
      <c r="F256" s="311"/>
      <c r="G256" s="311"/>
      <c r="H256" s="311"/>
      <c r="I256" s="311"/>
      <c r="J256" s="317"/>
      <c r="K256" s="312"/>
      <c r="L256" s="312"/>
      <c r="M256" s="312"/>
      <c r="N256" s="312"/>
      <c r="O256" s="312"/>
      <c r="P256" s="322" t="str">
        <f t="shared" si="11"/>
        <v/>
      </c>
      <c r="Q256" s="208" t="str">
        <f t="shared" si="9"/>
        <v/>
      </c>
      <c r="R256" s="208"/>
      <c r="S256" s="323" t="str">
        <f t="shared" si="10"/>
        <v/>
      </c>
      <c r="U256" s="322"/>
      <c r="V256" s="791"/>
      <c r="W256" s="792"/>
      <c r="X256" s="480"/>
      <c r="Y256" s="480"/>
      <c r="Z256" s="480"/>
      <c r="AA256" s="323"/>
      <c r="AB256" s="220"/>
      <c r="AC256" s="322"/>
      <c r="AD256" s="323"/>
      <c r="AE256" s="220"/>
      <c r="AF256" s="324"/>
      <c r="AG256" s="208"/>
      <c r="AH256" s="208"/>
      <c r="AI256" s="208"/>
      <c r="AJ256" s="208"/>
      <c r="AK256" s="208"/>
      <c r="AL256" s="208"/>
      <c r="AM256" s="208"/>
      <c r="AN256" s="208"/>
      <c r="AO256" s="208"/>
      <c r="AP256" s="208"/>
      <c r="AQ256" s="208"/>
      <c r="AR256" s="208"/>
      <c r="AS256" s="208"/>
      <c r="AT256" s="208"/>
      <c r="AU256" s="208"/>
      <c r="AV256" s="208"/>
      <c r="AW256" s="208">
        <v>455.1</v>
      </c>
      <c r="AX256" s="208">
        <v>15863.5533</v>
      </c>
      <c r="AY256" s="208">
        <v>175.09002000000001</v>
      </c>
      <c r="AZ256" s="208">
        <v>44.565779999999997</v>
      </c>
      <c r="BA256" s="208">
        <v>111.80392999999999</v>
      </c>
      <c r="BB256" s="208">
        <v>912.84505999999999</v>
      </c>
      <c r="BC256" s="208">
        <v>38461.732309999999</v>
      </c>
      <c r="BD256" s="208">
        <v>3100.5153799999998</v>
      </c>
      <c r="BE256" s="208">
        <v>496.86455000000001</v>
      </c>
      <c r="BF256" s="208">
        <v>350.5</v>
      </c>
      <c r="BG256" s="208">
        <v>180.34527</v>
      </c>
      <c r="BH256" s="208"/>
      <c r="BI256" s="323"/>
    </row>
    <row r="257" spans="3:61" ht="15" customHeight="1">
      <c r="C257" s="325"/>
      <c r="D257" s="326"/>
      <c r="E257" s="311"/>
      <c r="F257" s="311"/>
      <c r="G257" s="311"/>
      <c r="H257" s="311"/>
      <c r="I257" s="311"/>
      <c r="J257" s="317"/>
      <c r="K257" s="312"/>
      <c r="L257" s="312"/>
      <c r="M257" s="312"/>
      <c r="N257" s="312"/>
      <c r="O257" s="312"/>
      <c r="P257" s="318" t="str">
        <f t="shared" si="11"/>
        <v/>
      </c>
      <c r="Q257" s="205" t="str">
        <f t="shared" si="9"/>
        <v/>
      </c>
      <c r="R257" s="205"/>
      <c r="S257" s="319" t="str">
        <f t="shared" si="10"/>
        <v/>
      </c>
      <c r="U257" s="318"/>
      <c r="V257" s="794"/>
      <c r="W257" s="795"/>
      <c r="X257" s="482"/>
      <c r="Y257" s="482"/>
      <c r="Z257" s="482"/>
      <c r="AA257" s="319"/>
      <c r="AB257" s="220"/>
      <c r="AC257" s="318"/>
      <c r="AD257" s="319"/>
      <c r="AE257" s="220"/>
      <c r="AF257" s="320"/>
      <c r="AG257" s="205"/>
      <c r="AH257" s="205"/>
      <c r="AI257" s="205"/>
      <c r="AJ257" s="205"/>
      <c r="AK257" s="205"/>
      <c r="AL257" s="205"/>
      <c r="AM257" s="205"/>
      <c r="AN257" s="205"/>
      <c r="AO257" s="205"/>
      <c r="AP257" s="205"/>
      <c r="AQ257" s="205"/>
      <c r="AR257" s="205"/>
      <c r="AS257" s="205"/>
      <c r="AT257" s="205"/>
      <c r="AU257" s="205"/>
      <c r="AV257" s="205"/>
      <c r="AW257" s="205">
        <v>452</v>
      </c>
      <c r="AX257" s="205">
        <v>15752.3392</v>
      </c>
      <c r="AY257" s="205">
        <v>173.96724</v>
      </c>
      <c r="AZ257" s="205">
        <v>43.65063</v>
      </c>
      <c r="BA257" s="205">
        <v>112.92058</v>
      </c>
      <c r="BB257" s="205">
        <v>915.08112000000006</v>
      </c>
      <c r="BC257" s="205">
        <v>38269.974049999997</v>
      </c>
      <c r="BD257" s="205">
        <v>3028.2173200000002</v>
      </c>
      <c r="BE257" s="205">
        <v>500.55641000000003</v>
      </c>
      <c r="BF257" s="205">
        <v>348.2</v>
      </c>
      <c r="BG257" s="205">
        <v>182.61676</v>
      </c>
      <c r="BH257" s="205"/>
      <c r="BI257" s="319"/>
    </row>
    <row r="258" spans="3:61" ht="15" customHeight="1">
      <c r="C258" s="325"/>
      <c r="D258" s="326"/>
      <c r="E258" s="311"/>
      <c r="F258" s="311"/>
      <c r="G258" s="311"/>
      <c r="H258" s="311"/>
      <c r="I258" s="311"/>
      <c r="J258" s="317"/>
      <c r="K258" s="312"/>
      <c r="L258" s="312"/>
      <c r="M258" s="312"/>
      <c r="N258" s="312"/>
      <c r="O258" s="312"/>
      <c r="P258" s="322" t="str">
        <f t="shared" si="11"/>
        <v/>
      </c>
      <c r="Q258" s="208" t="str">
        <f t="shared" si="9"/>
        <v/>
      </c>
      <c r="R258" s="208"/>
      <c r="S258" s="323" t="str">
        <f t="shared" si="10"/>
        <v/>
      </c>
      <c r="U258" s="322"/>
      <c r="V258" s="791"/>
      <c r="W258" s="792"/>
      <c r="X258" s="480"/>
      <c r="Y258" s="480"/>
      <c r="Z258" s="480"/>
      <c r="AA258" s="323"/>
      <c r="AB258" s="220"/>
      <c r="AC258" s="322"/>
      <c r="AD258" s="323"/>
      <c r="AE258" s="220"/>
      <c r="AF258" s="324"/>
      <c r="AG258" s="208"/>
      <c r="AH258" s="208"/>
      <c r="AI258" s="208"/>
      <c r="AJ258" s="208"/>
      <c r="AK258" s="208"/>
      <c r="AL258" s="208"/>
      <c r="AM258" s="208"/>
      <c r="AN258" s="208"/>
      <c r="AO258" s="208"/>
      <c r="AP258" s="208"/>
      <c r="AQ258" s="208"/>
      <c r="AR258" s="208"/>
      <c r="AS258" s="208"/>
      <c r="AT258" s="208"/>
      <c r="AU258" s="208"/>
      <c r="AV258" s="208"/>
      <c r="AW258" s="208">
        <v>450</v>
      </c>
      <c r="AX258" s="208">
        <v>15588.749449999999</v>
      </c>
      <c r="AY258" s="208">
        <v>172.41005999999999</v>
      </c>
      <c r="AZ258" s="208">
        <v>42.570529999999998</v>
      </c>
      <c r="BA258" s="208">
        <v>105.54293</v>
      </c>
      <c r="BB258" s="208">
        <v>918.51316999999995</v>
      </c>
      <c r="BC258" s="208">
        <v>37991.963519999998</v>
      </c>
      <c r="BD258" s="208">
        <v>2944.0042400000002</v>
      </c>
      <c r="BE258" s="208">
        <v>502.40917999999999</v>
      </c>
      <c r="BF258" s="208">
        <v>346.2</v>
      </c>
      <c r="BG258" s="208">
        <v>181.86994000000001</v>
      </c>
      <c r="BH258" s="208"/>
      <c r="BI258" s="323"/>
    </row>
    <row r="259" spans="3:61" ht="15" customHeight="1">
      <c r="C259" s="325"/>
      <c r="D259" s="326"/>
      <c r="E259" s="311"/>
      <c r="F259" s="311"/>
      <c r="G259" s="311"/>
      <c r="H259" s="311"/>
      <c r="I259" s="311"/>
      <c r="J259" s="317"/>
      <c r="K259" s="312"/>
      <c r="L259" s="312"/>
      <c r="M259" s="312"/>
      <c r="N259" s="312"/>
      <c r="O259" s="312"/>
      <c r="P259" s="318" t="str">
        <f t="shared" si="11"/>
        <v/>
      </c>
      <c r="Q259" s="205" t="str">
        <f t="shared" si="9"/>
        <v/>
      </c>
      <c r="R259" s="205"/>
      <c r="S259" s="319" t="str">
        <f t="shared" si="10"/>
        <v/>
      </c>
      <c r="U259" s="318"/>
      <c r="V259" s="794"/>
      <c r="W259" s="795"/>
      <c r="X259" s="482"/>
      <c r="Y259" s="482"/>
      <c r="Z259" s="482"/>
      <c r="AA259" s="319"/>
      <c r="AB259" s="220"/>
      <c r="AC259" s="318"/>
      <c r="AD259" s="319"/>
      <c r="AE259" s="220"/>
      <c r="AF259" s="320"/>
      <c r="AG259" s="205"/>
      <c r="AH259" s="205"/>
      <c r="AI259" s="205"/>
      <c r="AJ259" s="205"/>
      <c r="AK259" s="205"/>
      <c r="AL259" s="205"/>
      <c r="AM259" s="205"/>
      <c r="AN259" s="205"/>
      <c r="AO259" s="205"/>
      <c r="AP259" s="205"/>
      <c r="AQ259" s="205"/>
      <c r="AR259" s="205"/>
      <c r="AS259" s="205"/>
      <c r="AT259" s="205"/>
      <c r="AU259" s="205"/>
      <c r="AV259" s="205"/>
      <c r="AW259" s="205">
        <v>453</v>
      </c>
      <c r="AX259" s="205">
        <v>15683.286690000001</v>
      </c>
      <c r="AY259" s="205">
        <v>169.68445</v>
      </c>
      <c r="AZ259" s="205">
        <v>44.05742</v>
      </c>
      <c r="BA259" s="205">
        <v>104.09278999999999</v>
      </c>
      <c r="BB259" s="205">
        <v>918.64399000000003</v>
      </c>
      <c r="BC259" s="205">
        <v>38571.779340000001</v>
      </c>
      <c r="BD259" s="205">
        <v>3019.2671599999999</v>
      </c>
      <c r="BE259" s="205">
        <v>500.52249999999998</v>
      </c>
      <c r="BF259" s="205">
        <v>349.5</v>
      </c>
      <c r="BG259" s="205">
        <v>185.68758</v>
      </c>
      <c r="BH259" s="205"/>
      <c r="BI259" s="319"/>
    </row>
    <row r="260" spans="3:61" ht="15" customHeight="1">
      <c r="C260" s="325"/>
      <c r="D260" s="326"/>
      <c r="E260" s="311"/>
      <c r="F260" s="311"/>
      <c r="G260" s="311"/>
      <c r="H260" s="311"/>
      <c r="I260" s="311"/>
      <c r="J260" s="317"/>
      <c r="K260" s="312"/>
      <c r="L260" s="312"/>
      <c r="M260" s="312"/>
      <c r="N260" s="312"/>
      <c r="O260" s="312"/>
      <c r="P260" s="322" t="str">
        <f t="shared" si="11"/>
        <v/>
      </c>
      <c r="Q260" s="208" t="str">
        <f t="shared" si="9"/>
        <v/>
      </c>
      <c r="R260" s="208"/>
      <c r="S260" s="323" t="str">
        <f t="shared" si="10"/>
        <v/>
      </c>
      <c r="U260" s="322"/>
      <c r="V260" s="791"/>
      <c r="W260" s="792"/>
      <c r="X260" s="480"/>
      <c r="Y260" s="480"/>
      <c r="Z260" s="480"/>
      <c r="AA260" s="323"/>
      <c r="AB260" s="220"/>
      <c r="AC260" s="322"/>
      <c r="AD260" s="323"/>
      <c r="AE260" s="220"/>
      <c r="AF260" s="324"/>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208"/>
      <c r="BB260" s="208"/>
      <c r="BC260" s="208"/>
      <c r="BD260" s="208"/>
      <c r="BE260" s="208"/>
      <c r="BF260" s="208"/>
      <c r="BG260" s="208"/>
      <c r="BH260" s="208"/>
      <c r="BI260" s="323"/>
    </row>
    <row r="261" spans="3:61" ht="15" customHeight="1">
      <c r="C261" s="325"/>
      <c r="D261" s="326"/>
      <c r="E261" s="311"/>
      <c r="F261" s="311"/>
      <c r="G261" s="311"/>
      <c r="H261" s="311"/>
      <c r="I261" s="311"/>
      <c r="J261" s="317"/>
      <c r="K261" s="312"/>
      <c r="L261" s="312"/>
      <c r="M261" s="312"/>
      <c r="N261" s="312"/>
      <c r="O261" s="312"/>
      <c r="P261" s="318" t="str">
        <f t="shared" si="11"/>
        <v/>
      </c>
      <c r="Q261" s="205" t="str">
        <f t="shared" si="9"/>
        <v/>
      </c>
      <c r="R261" s="205"/>
      <c r="S261" s="319" t="str">
        <f t="shared" si="10"/>
        <v/>
      </c>
      <c r="U261" s="318"/>
      <c r="V261" s="794"/>
      <c r="W261" s="795"/>
      <c r="X261" s="482"/>
      <c r="Y261" s="482"/>
      <c r="Z261" s="482"/>
      <c r="AA261" s="319"/>
      <c r="AB261" s="220"/>
      <c r="AC261" s="318"/>
      <c r="AD261" s="319"/>
      <c r="AE261" s="220"/>
      <c r="AF261" s="320"/>
      <c r="AG261" s="205"/>
      <c r="AH261" s="205"/>
      <c r="AI261" s="205"/>
      <c r="AJ261" s="205"/>
      <c r="AK261" s="205"/>
      <c r="AL261" s="205"/>
      <c r="AM261" s="205"/>
      <c r="AN261" s="205"/>
      <c r="AO261" s="205"/>
      <c r="AP261" s="205"/>
      <c r="AQ261" s="205"/>
      <c r="AR261" s="205"/>
      <c r="AS261" s="205"/>
      <c r="AT261" s="205"/>
      <c r="AU261" s="205"/>
      <c r="AV261" s="205"/>
      <c r="AW261" s="205"/>
      <c r="AX261" s="205"/>
      <c r="AY261" s="205"/>
      <c r="AZ261" s="205"/>
      <c r="BA261" s="205"/>
      <c r="BB261" s="205"/>
      <c r="BC261" s="205"/>
      <c r="BD261" s="205"/>
      <c r="BE261" s="205"/>
      <c r="BF261" s="205"/>
      <c r="BG261" s="205"/>
      <c r="BH261" s="205"/>
      <c r="BI261" s="319"/>
    </row>
    <row r="262" spans="3:61" ht="15" customHeight="1">
      <c r="C262" s="325"/>
      <c r="D262" s="326"/>
      <c r="E262" s="311"/>
      <c r="F262" s="311"/>
      <c r="G262" s="311"/>
      <c r="H262" s="311"/>
      <c r="I262" s="311"/>
      <c r="J262" s="317"/>
      <c r="K262" s="312"/>
      <c r="L262" s="312"/>
      <c r="M262" s="312"/>
      <c r="N262" s="312"/>
      <c r="O262" s="312"/>
      <c r="P262" s="322" t="str">
        <f t="shared" si="11"/>
        <v/>
      </c>
      <c r="Q262" s="208" t="str">
        <f t="shared" si="9"/>
        <v/>
      </c>
      <c r="R262" s="208"/>
      <c r="S262" s="323" t="str">
        <f t="shared" si="10"/>
        <v/>
      </c>
      <c r="U262" s="322"/>
      <c r="V262" s="791"/>
      <c r="W262" s="792"/>
      <c r="X262" s="480"/>
      <c r="Y262" s="480"/>
      <c r="Z262" s="480"/>
      <c r="AA262" s="323"/>
      <c r="AB262" s="220"/>
      <c r="AC262" s="322"/>
      <c r="AD262" s="323"/>
      <c r="AE262" s="220"/>
      <c r="AF262" s="324"/>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08"/>
      <c r="BB262" s="208"/>
      <c r="BC262" s="208"/>
      <c r="BD262" s="208"/>
      <c r="BE262" s="208"/>
      <c r="BF262" s="208"/>
      <c r="BG262" s="208"/>
      <c r="BH262" s="208"/>
      <c r="BI262" s="323"/>
    </row>
    <row r="263" spans="3:61" ht="15" customHeight="1">
      <c r="C263" s="325"/>
      <c r="D263" s="326"/>
      <c r="E263" s="311"/>
      <c r="F263" s="311"/>
      <c r="G263" s="311"/>
      <c r="H263" s="311"/>
      <c r="I263" s="311"/>
      <c r="J263" s="317"/>
      <c r="K263" s="312"/>
      <c r="L263" s="312"/>
      <c r="M263" s="312"/>
      <c r="N263" s="312"/>
      <c r="O263" s="312"/>
      <c r="P263" s="318" t="str">
        <f t="shared" si="11"/>
        <v/>
      </c>
      <c r="Q263" s="205" t="str">
        <f t="shared" si="9"/>
        <v/>
      </c>
      <c r="R263" s="205"/>
      <c r="S263" s="319" t="str">
        <f t="shared" si="10"/>
        <v/>
      </c>
      <c r="U263" s="318"/>
      <c r="V263" s="794"/>
      <c r="W263" s="795"/>
      <c r="X263" s="482"/>
      <c r="Y263" s="482"/>
      <c r="Z263" s="482"/>
      <c r="AA263" s="319"/>
      <c r="AB263" s="220"/>
      <c r="AC263" s="318"/>
      <c r="AD263" s="319"/>
      <c r="AE263" s="220"/>
      <c r="AF263" s="320"/>
      <c r="AG263" s="205"/>
      <c r="AH263" s="205"/>
      <c r="AI263" s="205"/>
      <c r="AJ263" s="205"/>
      <c r="AK263" s="205"/>
      <c r="AL263" s="205"/>
      <c r="AM263" s="205"/>
      <c r="AN263" s="205"/>
      <c r="AO263" s="205"/>
      <c r="AP263" s="205"/>
      <c r="AQ263" s="205"/>
      <c r="AR263" s="205"/>
      <c r="AS263" s="205"/>
      <c r="AT263" s="205"/>
      <c r="AU263" s="205"/>
      <c r="AV263" s="205"/>
      <c r="AW263" s="205"/>
      <c r="AX263" s="205"/>
      <c r="AY263" s="205"/>
      <c r="AZ263" s="205"/>
      <c r="BA263" s="205"/>
      <c r="BB263" s="205"/>
      <c r="BC263" s="205"/>
      <c r="BD263" s="205"/>
      <c r="BE263" s="205"/>
      <c r="BF263" s="205"/>
      <c r="BG263" s="205"/>
      <c r="BH263" s="205"/>
      <c r="BI263" s="319"/>
    </row>
    <row r="264" spans="3:61" ht="15" customHeight="1">
      <c r="C264" s="325"/>
      <c r="D264" s="326"/>
      <c r="E264" s="311"/>
      <c r="F264" s="311"/>
      <c r="G264" s="311"/>
      <c r="H264" s="311"/>
      <c r="I264" s="311"/>
      <c r="J264" s="317"/>
      <c r="K264" s="312"/>
      <c r="L264" s="312"/>
      <c r="M264" s="312"/>
      <c r="N264" s="312"/>
      <c r="O264" s="312"/>
      <c r="P264" s="322" t="str">
        <f t="shared" si="11"/>
        <v/>
      </c>
      <c r="Q264" s="208" t="str">
        <f t="shared" si="9"/>
        <v/>
      </c>
      <c r="R264" s="208"/>
      <c r="S264" s="323" t="str">
        <f t="shared" si="10"/>
        <v/>
      </c>
      <c r="U264" s="322"/>
      <c r="V264" s="791"/>
      <c r="W264" s="792"/>
      <c r="X264" s="480"/>
      <c r="Y264" s="480"/>
      <c r="Z264" s="480"/>
      <c r="AA264" s="323"/>
      <c r="AB264" s="220"/>
      <c r="AC264" s="322"/>
      <c r="AD264" s="323"/>
      <c r="AE264" s="220"/>
      <c r="AF264" s="324"/>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08"/>
      <c r="BB264" s="208"/>
      <c r="BC264" s="208"/>
      <c r="BD264" s="208"/>
      <c r="BE264" s="208"/>
      <c r="BF264" s="208"/>
      <c r="BG264" s="208"/>
      <c r="BH264" s="208"/>
      <c r="BI264" s="323"/>
    </row>
    <row r="265" spans="3:61" ht="15" customHeight="1">
      <c r="C265" s="325"/>
      <c r="D265" s="326"/>
      <c r="E265" s="311"/>
      <c r="F265" s="311"/>
      <c r="G265" s="311"/>
      <c r="H265" s="311"/>
      <c r="I265" s="311"/>
      <c r="J265" s="317"/>
      <c r="K265" s="312"/>
      <c r="L265" s="312"/>
      <c r="M265" s="312"/>
      <c r="N265" s="312"/>
      <c r="O265" s="312"/>
      <c r="P265" s="318" t="str">
        <f t="shared" si="11"/>
        <v/>
      </c>
      <c r="Q265" s="205" t="str">
        <f t="shared" si="9"/>
        <v/>
      </c>
      <c r="R265" s="205"/>
      <c r="S265" s="319" t="str">
        <f t="shared" si="10"/>
        <v/>
      </c>
      <c r="U265" s="318"/>
      <c r="V265" s="794"/>
      <c r="W265" s="795"/>
      <c r="X265" s="482"/>
      <c r="Y265" s="482"/>
      <c r="Z265" s="482"/>
      <c r="AA265" s="319"/>
      <c r="AB265" s="220"/>
      <c r="AC265" s="318"/>
      <c r="AD265" s="319"/>
      <c r="AE265" s="220"/>
      <c r="AF265" s="320"/>
      <c r="AG265" s="205"/>
      <c r="AH265" s="205"/>
      <c r="AI265" s="205"/>
      <c r="AJ265" s="205"/>
      <c r="AK265" s="205"/>
      <c r="AL265" s="205"/>
      <c r="AM265" s="205"/>
      <c r="AN265" s="205"/>
      <c r="AO265" s="205"/>
      <c r="AP265" s="205"/>
      <c r="AQ265" s="205"/>
      <c r="AR265" s="205"/>
      <c r="AS265" s="205"/>
      <c r="AT265" s="205"/>
      <c r="AU265" s="205"/>
      <c r="AV265" s="205"/>
      <c r="AW265" s="205"/>
      <c r="AX265" s="205"/>
      <c r="AY265" s="205"/>
      <c r="AZ265" s="205"/>
      <c r="BA265" s="205"/>
      <c r="BB265" s="205"/>
      <c r="BC265" s="205"/>
      <c r="BD265" s="205"/>
      <c r="BE265" s="205"/>
      <c r="BF265" s="205"/>
      <c r="BG265" s="205"/>
      <c r="BH265" s="205"/>
      <c r="BI265" s="319"/>
    </row>
    <row r="266" spans="3:61" ht="15" customHeight="1">
      <c r="C266" s="325"/>
      <c r="D266" s="326"/>
      <c r="E266" s="311"/>
      <c r="F266" s="311"/>
      <c r="G266" s="311"/>
      <c r="H266" s="311"/>
      <c r="I266" s="311"/>
      <c r="J266" s="317"/>
      <c r="K266" s="312"/>
      <c r="L266" s="312"/>
      <c r="M266" s="312"/>
      <c r="N266" s="312"/>
      <c r="O266" s="312"/>
      <c r="P266" s="322" t="str">
        <f t="shared" si="11"/>
        <v/>
      </c>
      <c r="Q266" s="208" t="str">
        <f t="shared" si="9"/>
        <v/>
      </c>
      <c r="R266" s="208"/>
      <c r="S266" s="323" t="str">
        <f t="shared" si="10"/>
        <v/>
      </c>
      <c r="U266" s="322"/>
      <c r="V266" s="791"/>
      <c r="W266" s="792"/>
      <c r="X266" s="480"/>
      <c r="Y266" s="480"/>
      <c r="Z266" s="480"/>
      <c r="AA266" s="323"/>
      <c r="AB266" s="220"/>
      <c r="AC266" s="322"/>
      <c r="AD266" s="323"/>
      <c r="AE266" s="220"/>
      <c r="AF266" s="324"/>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08"/>
      <c r="BB266" s="208"/>
      <c r="BC266" s="208"/>
      <c r="BD266" s="208"/>
      <c r="BE266" s="208"/>
      <c r="BF266" s="208"/>
      <c r="BG266" s="208"/>
      <c r="BH266" s="208"/>
      <c r="BI266" s="323"/>
    </row>
    <row r="267" spans="3:61" ht="15" customHeight="1">
      <c r="C267" s="325"/>
      <c r="D267" s="326"/>
      <c r="E267" s="311"/>
      <c r="F267" s="311"/>
      <c r="G267" s="311"/>
      <c r="H267" s="311"/>
      <c r="I267" s="311"/>
      <c r="J267" s="317"/>
      <c r="K267" s="312"/>
      <c r="L267" s="312"/>
      <c r="M267" s="312"/>
      <c r="N267" s="312"/>
      <c r="O267" s="312"/>
      <c r="P267" s="318" t="str">
        <f t="shared" si="11"/>
        <v/>
      </c>
      <c r="Q267" s="205" t="str">
        <f t="shared" ref="Q267:Q330" si="12">IF($AA267 = "", "", $AA267/$AA$10*100)</f>
        <v/>
      </c>
      <c r="R267" s="205"/>
      <c r="S267" s="319" t="str">
        <f t="shared" ref="S267:S330" si="13">IF($AD267 = "", "", $AD267/$AD$10*100)</f>
        <v/>
      </c>
      <c r="U267" s="318"/>
      <c r="V267" s="794"/>
      <c r="W267" s="795"/>
      <c r="X267" s="482"/>
      <c r="Y267" s="482"/>
      <c r="Z267" s="482"/>
      <c r="AA267" s="319"/>
      <c r="AB267" s="220"/>
      <c r="AC267" s="318"/>
      <c r="AD267" s="319"/>
      <c r="AE267" s="220"/>
      <c r="AF267" s="320"/>
      <c r="AG267" s="205"/>
      <c r="AH267" s="205"/>
      <c r="AI267" s="205"/>
      <c r="AJ267" s="205"/>
      <c r="AK267" s="205"/>
      <c r="AL267" s="205"/>
      <c r="AM267" s="205"/>
      <c r="AN267" s="205"/>
      <c r="AO267" s="205"/>
      <c r="AP267" s="205"/>
      <c r="AQ267" s="205"/>
      <c r="AR267" s="205"/>
      <c r="AS267" s="205"/>
      <c r="AT267" s="205"/>
      <c r="AU267" s="205"/>
      <c r="AV267" s="205"/>
      <c r="AW267" s="205"/>
      <c r="AX267" s="205"/>
      <c r="AY267" s="205"/>
      <c r="AZ267" s="205"/>
      <c r="BA267" s="205"/>
      <c r="BB267" s="205"/>
      <c r="BC267" s="205"/>
      <c r="BD267" s="205"/>
      <c r="BE267" s="205"/>
      <c r="BF267" s="205"/>
      <c r="BG267" s="205"/>
      <c r="BH267" s="205"/>
      <c r="BI267" s="319"/>
    </row>
    <row r="268" spans="3:61" ht="15" customHeight="1">
      <c r="C268" s="325"/>
      <c r="D268" s="326"/>
      <c r="E268" s="311"/>
      <c r="F268" s="311"/>
      <c r="G268" s="311"/>
      <c r="H268" s="311"/>
      <c r="I268" s="311"/>
      <c r="J268" s="317"/>
      <c r="K268" s="312"/>
      <c r="L268" s="312"/>
      <c r="M268" s="312"/>
      <c r="N268" s="312"/>
      <c r="O268" s="312"/>
      <c r="P268" s="322" t="str">
        <f t="shared" ref="P268:P331" si="14">IF(U268="", "", U268)</f>
        <v/>
      </c>
      <c r="Q268" s="208" t="str">
        <f t="shared" si="12"/>
        <v/>
      </c>
      <c r="R268" s="208"/>
      <c r="S268" s="323" t="str">
        <f t="shared" si="13"/>
        <v/>
      </c>
      <c r="U268" s="322"/>
      <c r="V268" s="791"/>
      <c r="W268" s="792"/>
      <c r="X268" s="480"/>
      <c r="Y268" s="480"/>
      <c r="Z268" s="480"/>
      <c r="AA268" s="323"/>
      <c r="AB268" s="220"/>
      <c r="AC268" s="322"/>
      <c r="AD268" s="323"/>
      <c r="AE268" s="220"/>
      <c r="AF268" s="324"/>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08"/>
      <c r="BB268" s="208"/>
      <c r="BC268" s="208"/>
      <c r="BD268" s="208"/>
      <c r="BE268" s="208"/>
      <c r="BF268" s="208"/>
      <c r="BG268" s="208"/>
      <c r="BH268" s="208"/>
      <c r="BI268" s="323"/>
    </row>
    <row r="269" spans="3:61" ht="15" customHeight="1">
      <c r="C269" s="325"/>
      <c r="D269" s="326"/>
      <c r="E269" s="311"/>
      <c r="F269" s="311"/>
      <c r="G269" s="311"/>
      <c r="H269" s="311"/>
      <c r="I269" s="311"/>
      <c r="J269" s="317"/>
      <c r="K269" s="312"/>
      <c r="L269" s="312"/>
      <c r="M269" s="312"/>
      <c r="N269" s="312"/>
      <c r="O269" s="312"/>
      <c r="P269" s="318" t="str">
        <f t="shared" si="14"/>
        <v/>
      </c>
      <c r="Q269" s="205" t="str">
        <f t="shared" si="12"/>
        <v/>
      </c>
      <c r="R269" s="205"/>
      <c r="S269" s="319" t="str">
        <f t="shared" si="13"/>
        <v/>
      </c>
      <c r="U269" s="318"/>
      <c r="V269" s="794"/>
      <c r="W269" s="795"/>
      <c r="X269" s="482"/>
      <c r="Y269" s="482"/>
      <c r="Z269" s="482"/>
      <c r="AA269" s="319"/>
      <c r="AB269" s="220"/>
      <c r="AC269" s="318"/>
      <c r="AD269" s="319"/>
      <c r="AE269" s="220"/>
      <c r="AF269" s="320"/>
      <c r="AG269" s="205"/>
      <c r="AH269" s="205"/>
      <c r="AI269" s="205"/>
      <c r="AJ269" s="205"/>
      <c r="AK269" s="205"/>
      <c r="AL269" s="205"/>
      <c r="AM269" s="205"/>
      <c r="AN269" s="205"/>
      <c r="AO269" s="205"/>
      <c r="AP269" s="205"/>
      <c r="AQ269" s="205"/>
      <c r="AR269" s="205"/>
      <c r="AS269" s="205"/>
      <c r="AT269" s="205"/>
      <c r="AU269" s="205"/>
      <c r="AV269" s="205"/>
      <c r="AW269" s="205"/>
      <c r="AX269" s="205"/>
      <c r="AY269" s="205"/>
      <c r="AZ269" s="205"/>
      <c r="BA269" s="205"/>
      <c r="BB269" s="205"/>
      <c r="BC269" s="205"/>
      <c r="BD269" s="205"/>
      <c r="BE269" s="205"/>
      <c r="BF269" s="205"/>
      <c r="BG269" s="205"/>
      <c r="BH269" s="205"/>
      <c r="BI269" s="319"/>
    </row>
    <row r="270" spans="3:61" ht="15" customHeight="1">
      <c r="C270" s="325"/>
      <c r="D270" s="326"/>
      <c r="E270" s="311"/>
      <c r="F270" s="311"/>
      <c r="G270" s="311"/>
      <c r="H270" s="311"/>
      <c r="I270" s="311"/>
      <c r="J270" s="317"/>
      <c r="K270" s="312"/>
      <c r="L270" s="312"/>
      <c r="M270" s="312"/>
      <c r="N270" s="312"/>
      <c r="O270" s="312"/>
      <c r="P270" s="322" t="str">
        <f t="shared" si="14"/>
        <v/>
      </c>
      <c r="Q270" s="208" t="str">
        <f t="shared" si="12"/>
        <v/>
      </c>
      <c r="R270" s="208"/>
      <c r="S270" s="323" t="str">
        <f t="shared" si="13"/>
        <v/>
      </c>
      <c r="U270" s="322"/>
      <c r="V270" s="791"/>
      <c r="W270" s="792"/>
      <c r="X270" s="480"/>
      <c r="Y270" s="480"/>
      <c r="Z270" s="480"/>
      <c r="AA270" s="323"/>
      <c r="AB270" s="220"/>
      <c r="AC270" s="322"/>
      <c r="AD270" s="323"/>
      <c r="AE270" s="220"/>
      <c r="AF270" s="324"/>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08"/>
      <c r="BB270" s="208"/>
      <c r="BC270" s="208"/>
      <c r="BD270" s="208"/>
      <c r="BE270" s="208"/>
      <c r="BF270" s="208"/>
      <c r="BG270" s="208"/>
      <c r="BH270" s="208"/>
      <c r="BI270" s="323"/>
    </row>
    <row r="271" spans="3:61" ht="15" customHeight="1">
      <c r="C271" s="325"/>
      <c r="D271" s="326"/>
      <c r="E271" s="311"/>
      <c r="F271" s="311"/>
      <c r="G271" s="311"/>
      <c r="H271" s="311"/>
      <c r="I271" s="311"/>
      <c r="J271" s="317"/>
      <c r="K271" s="312"/>
      <c r="L271" s="312"/>
      <c r="M271" s="312"/>
      <c r="N271" s="312"/>
      <c r="O271" s="312"/>
      <c r="P271" s="318" t="str">
        <f t="shared" si="14"/>
        <v/>
      </c>
      <c r="Q271" s="205" t="str">
        <f t="shared" si="12"/>
        <v/>
      </c>
      <c r="R271" s="205"/>
      <c r="S271" s="319" t="str">
        <f t="shared" si="13"/>
        <v/>
      </c>
      <c r="U271" s="318"/>
      <c r="V271" s="794"/>
      <c r="W271" s="795"/>
      <c r="X271" s="482"/>
      <c r="Y271" s="482"/>
      <c r="Z271" s="482"/>
      <c r="AA271" s="319"/>
      <c r="AB271" s="220"/>
      <c r="AC271" s="318"/>
      <c r="AD271" s="319"/>
      <c r="AE271" s="220"/>
      <c r="AF271" s="320"/>
      <c r="AG271" s="205"/>
      <c r="AH271" s="205"/>
      <c r="AI271" s="205"/>
      <c r="AJ271" s="205"/>
      <c r="AK271" s="205"/>
      <c r="AL271" s="205"/>
      <c r="AM271" s="205"/>
      <c r="AN271" s="205"/>
      <c r="AO271" s="205"/>
      <c r="AP271" s="205"/>
      <c r="AQ271" s="205"/>
      <c r="AR271" s="205"/>
      <c r="AS271" s="205"/>
      <c r="AT271" s="205"/>
      <c r="AU271" s="205"/>
      <c r="AV271" s="205"/>
      <c r="AW271" s="205"/>
      <c r="AX271" s="205"/>
      <c r="AY271" s="205"/>
      <c r="AZ271" s="205"/>
      <c r="BA271" s="205"/>
      <c r="BB271" s="205"/>
      <c r="BC271" s="205"/>
      <c r="BD271" s="205"/>
      <c r="BE271" s="205"/>
      <c r="BF271" s="205"/>
      <c r="BG271" s="205"/>
      <c r="BH271" s="205"/>
      <c r="BI271" s="319"/>
    </row>
    <row r="272" spans="3:61" ht="15" customHeight="1">
      <c r="C272" s="325"/>
      <c r="D272" s="326"/>
      <c r="E272" s="311"/>
      <c r="F272" s="311"/>
      <c r="G272" s="311"/>
      <c r="H272" s="311"/>
      <c r="I272" s="311"/>
      <c r="J272" s="317"/>
      <c r="K272" s="312"/>
      <c r="L272" s="312"/>
      <c r="M272" s="312"/>
      <c r="N272" s="312"/>
      <c r="O272" s="312"/>
      <c r="P272" s="322" t="str">
        <f t="shared" si="14"/>
        <v/>
      </c>
      <c r="Q272" s="208" t="str">
        <f t="shared" si="12"/>
        <v/>
      </c>
      <c r="R272" s="208"/>
      <c r="S272" s="323" t="str">
        <f t="shared" si="13"/>
        <v/>
      </c>
      <c r="U272" s="322"/>
      <c r="V272" s="791"/>
      <c r="W272" s="792"/>
      <c r="X272" s="480"/>
      <c r="Y272" s="480"/>
      <c r="Z272" s="480"/>
      <c r="AA272" s="323"/>
      <c r="AB272" s="220"/>
      <c r="AC272" s="322"/>
      <c r="AD272" s="323"/>
      <c r="AE272" s="220"/>
      <c r="AF272" s="324"/>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08"/>
      <c r="BB272" s="208"/>
      <c r="BC272" s="208"/>
      <c r="BD272" s="208"/>
      <c r="BE272" s="208"/>
      <c r="BF272" s="208"/>
      <c r="BG272" s="208"/>
      <c r="BH272" s="208"/>
      <c r="BI272" s="323"/>
    </row>
    <row r="273" spans="3:61" ht="15" customHeight="1">
      <c r="C273" s="325"/>
      <c r="D273" s="326"/>
      <c r="E273" s="311"/>
      <c r="F273" s="311"/>
      <c r="G273" s="311"/>
      <c r="H273" s="311"/>
      <c r="I273" s="311"/>
      <c r="J273" s="317"/>
      <c r="K273" s="312"/>
      <c r="L273" s="312"/>
      <c r="M273" s="312"/>
      <c r="N273" s="312"/>
      <c r="O273" s="312"/>
      <c r="P273" s="318" t="str">
        <f t="shared" si="14"/>
        <v/>
      </c>
      <c r="Q273" s="205" t="str">
        <f t="shared" si="12"/>
        <v/>
      </c>
      <c r="R273" s="205"/>
      <c r="S273" s="319" t="str">
        <f t="shared" si="13"/>
        <v/>
      </c>
      <c r="U273" s="318"/>
      <c r="V273" s="794"/>
      <c r="W273" s="795"/>
      <c r="X273" s="482"/>
      <c r="Y273" s="482"/>
      <c r="Z273" s="482"/>
      <c r="AA273" s="319"/>
      <c r="AB273" s="220"/>
      <c r="AC273" s="318"/>
      <c r="AD273" s="319"/>
      <c r="AE273" s="220"/>
      <c r="AF273" s="320"/>
      <c r="AG273" s="205"/>
      <c r="AH273" s="205"/>
      <c r="AI273" s="205"/>
      <c r="AJ273" s="205"/>
      <c r="AK273" s="205"/>
      <c r="AL273" s="205"/>
      <c r="AM273" s="205"/>
      <c r="AN273" s="205"/>
      <c r="AO273" s="205"/>
      <c r="AP273" s="205"/>
      <c r="AQ273" s="205"/>
      <c r="AR273" s="205"/>
      <c r="AS273" s="205"/>
      <c r="AT273" s="205"/>
      <c r="AU273" s="205"/>
      <c r="AV273" s="205"/>
      <c r="AW273" s="205"/>
      <c r="AX273" s="205"/>
      <c r="AY273" s="205"/>
      <c r="AZ273" s="205"/>
      <c r="BA273" s="205"/>
      <c r="BB273" s="205"/>
      <c r="BC273" s="205"/>
      <c r="BD273" s="205"/>
      <c r="BE273" s="205"/>
      <c r="BF273" s="205"/>
      <c r="BG273" s="205"/>
      <c r="BH273" s="205"/>
      <c r="BI273" s="319"/>
    </row>
    <row r="274" spans="3:61" ht="15" customHeight="1">
      <c r="C274" s="325"/>
      <c r="D274" s="326"/>
      <c r="E274" s="311"/>
      <c r="F274" s="311"/>
      <c r="G274" s="311"/>
      <c r="H274" s="311"/>
      <c r="I274" s="311"/>
      <c r="J274" s="317"/>
      <c r="K274" s="312"/>
      <c r="L274" s="312"/>
      <c r="M274" s="312"/>
      <c r="N274" s="312"/>
      <c r="O274" s="312"/>
      <c r="P274" s="322" t="str">
        <f t="shared" si="14"/>
        <v/>
      </c>
      <c r="Q274" s="208" t="str">
        <f t="shared" si="12"/>
        <v/>
      </c>
      <c r="R274" s="208"/>
      <c r="S274" s="323" t="str">
        <f t="shared" si="13"/>
        <v/>
      </c>
      <c r="U274" s="322"/>
      <c r="V274" s="791"/>
      <c r="W274" s="792"/>
      <c r="X274" s="480"/>
      <c r="Y274" s="480"/>
      <c r="Z274" s="480"/>
      <c r="AA274" s="323"/>
      <c r="AB274" s="220"/>
      <c r="AC274" s="322"/>
      <c r="AD274" s="323"/>
      <c r="AE274" s="220"/>
      <c r="AF274" s="324"/>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08"/>
      <c r="BB274" s="208"/>
      <c r="BC274" s="208"/>
      <c r="BD274" s="208"/>
      <c r="BE274" s="208"/>
      <c r="BF274" s="208"/>
      <c r="BG274" s="208"/>
      <c r="BH274" s="208"/>
      <c r="BI274" s="323"/>
    </row>
    <row r="275" spans="3:61" ht="15" customHeight="1">
      <c r="C275" s="325"/>
      <c r="D275" s="326"/>
      <c r="E275" s="311"/>
      <c r="F275" s="311"/>
      <c r="G275" s="311"/>
      <c r="H275" s="311"/>
      <c r="I275" s="311"/>
      <c r="J275" s="317"/>
      <c r="K275" s="312"/>
      <c r="L275" s="312"/>
      <c r="M275" s="312"/>
      <c r="N275" s="312"/>
      <c r="O275" s="312"/>
      <c r="P275" s="318" t="str">
        <f t="shared" si="14"/>
        <v/>
      </c>
      <c r="Q275" s="205" t="str">
        <f t="shared" si="12"/>
        <v/>
      </c>
      <c r="R275" s="205"/>
      <c r="S275" s="319" t="str">
        <f t="shared" si="13"/>
        <v/>
      </c>
      <c r="U275" s="318"/>
      <c r="V275" s="794"/>
      <c r="W275" s="795"/>
      <c r="X275" s="482"/>
      <c r="Y275" s="482"/>
      <c r="Z275" s="482"/>
      <c r="AA275" s="319"/>
      <c r="AB275" s="220"/>
      <c r="AC275" s="318"/>
      <c r="AD275" s="319"/>
      <c r="AE275" s="220"/>
      <c r="AF275" s="320"/>
      <c r="AG275" s="205"/>
      <c r="AH275" s="205"/>
      <c r="AI275" s="205"/>
      <c r="AJ275" s="205"/>
      <c r="AK275" s="205"/>
      <c r="AL275" s="205"/>
      <c r="AM275" s="205"/>
      <c r="AN275" s="205"/>
      <c r="AO275" s="205"/>
      <c r="AP275" s="205"/>
      <c r="AQ275" s="205"/>
      <c r="AR275" s="205"/>
      <c r="AS275" s="205"/>
      <c r="AT275" s="205"/>
      <c r="AU275" s="205"/>
      <c r="AV275" s="205"/>
      <c r="AW275" s="205"/>
      <c r="AX275" s="205"/>
      <c r="AY275" s="205"/>
      <c r="AZ275" s="205"/>
      <c r="BA275" s="205"/>
      <c r="BB275" s="205"/>
      <c r="BC275" s="205"/>
      <c r="BD275" s="205"/>
      <c r="BE275" s="205"/>
      <c r="BF275" s="205"/>
      <c r="BG275" s="205"/>
      <c r="BH275" s="205"/>
      <c r="BI275" s="319"/>
    </row>
    <row r="276" spans="3:61" ht="15" customHeight="1">
      <c r="C276" s="325"/>
      <c r="D276" s="326"/>
      <c r="E276" s="311"/>
      <c r="F276" s="311"/>
      <c r="G276" s="311"/>
      <c r="H276" s="311"/>
      <c r="I276" s="311"/>
      <c r="J276" s="317"/>
      <c r="K276" s="312"/>
      <c r="L276" s="312"/>
      <c r="M276" s="312"/>
      <c r="N276" s="312"/>
      <c r="O276" s="312"/>
      <c r="P276" s="322" t="str">
        <f t="shared" si="14"/>
        <v/>
      </c>
      <c r="Q276" s="208" t="str">
        <f t="shared" si="12"/>
        <v/>
      </c>
      <c r="R276" s="208"/>
      <c r="S276" s="323" t="str">
        <f t="shared" si="13"/>
        <v/>
      </c>
      <c r="U276" s="322"/>
      <c r="V276" s="791"/>
      <c r="W276" s="792"/>
      <c r="X276" s="480"/>
      <c r="Y276" s="480"/>
      <c r="Z276" s="480"/>
      <c r="AA276" s="323"/>
      <c r="AB276" s="220"/>
      <c r="AC276" s="322"/>
      <c r="AD276" s="323"/>
      <c r="AE276" s="220"/>
      <c r="AF276" s="324"/>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08"/>
      <c r="BB276" s="208"/>
      <c r="BC276" s="208"/>
      <c r="BD276" s="208"/>
      <c r="BE276" s="208"/>
      <c r="BF276" s="208"/>
      <c r="BG276" s="208"/>
      <c r="BH276" s="208"/>
      <c r="BI276" s="323"/>
    </row>
    <row r="277" spans="3:61" ht="15" customHeight="1">
      <c r="C277" s="325"/>
      <c r="D277" s="326"/>
      <c r="E277" s="311"/>
      <c r="F277" s="311"/>
      <c r="G277" s="311"/>
      <c r="H277" s="311"/>
      <c r="I277" s="311"/>
      <c r="J277" s="317"/>
      <c r="K277" s="312"/>
      <c r="L277" s="312"/>
      <c r="M277" s="312"/>
      <c r="N277" s="312"/>
      <c r="O277" s="312"/>
      <c r="P277" s="318" t="str">
        <f t="shared" si="14"/>
        <v/>
      </c>
      <c r="Q277" s="205" t="str">
        <f t="shared" si="12"/>
        <v/>
      </c>
      <c r="R277" s="205"/>
      <c r="S277" s="319" t="str">
        <f t="shared" si="13"/>
        <v/>
      </c>
      <c r="U277" s="318"/>
      <c r="V277" s="794"/>
      <c r="W277" s="795"/>
      <c r="X277" s="482"/>
      <c r="Y277" s="482"/>
      <c r="Z277" s="482"/>
      <c r="AA277" s="319"/>
      <c r="AB277" s="220"/>
      <c r="AC277" s="318"/>
      <c r="AD277" s="319"/>
      <c r="AE277" s="220"/>
      <c r="AF277" s="320"/>
      <c r="AG277" s="205"/>
      <c r="AH277" s="205"/>
      <c r="AI277" s="205"/>
      <c r="AJ277" s="205"/>
      <c r="AK277" s="205"/>
      <c r="AL277" s="205"/>
      <c r="AM277" s="205"/>
      <c r="AN277" s="205"/>
      <c r="AO277" s="205"/>
      <c r="AP277" s="205"/>
      <c r="AQ277" s="205"/>
      <c r="AR277" s="205"/>
      <c r="AS277" s="205"/>
      <c r="AT277" s="205"/>
      <c r="AU277" s="205"/>
      <c r="AV277" s="205"/>
      <c r="AW277" s="205"/>
      <c r="AX277" s="205"/>
      <c r="AY277" s="205"/>
      <c r="AZ277" s="205"/>
      <c r="BA277" s="205"/>
      <c r="BB277" s="205"/>
      <c r="BC277" s="205"/>
      <c r="BD277" s="205"/>
      <c r="BE277" s="205"/>
      <c r="BF277" s="205"/>
      <c r="BG277" s="205"/>
      <c r="BH277" s="205"/>
      <c r="BI277" s="319"/>
    </row>
    <row r="278" spans="3:61" ht="15" customHeight="1">
      <c r="C278" s="325"/>
      <c r="D278" s="326"/>
      <c r="E278" s="311"/>
      <c r="F278" s="311"/>
      <c r="G278" s="311"/>
      <c r="H278" s="311"/>
      <c r="I278" s="311"/>
      <c r="J278" s="317"/>
      <c r="K278" s="312"/>
      <c r="L278" s="312"/>
      <c r="M278" s="312"/>
      <c r="N278" s="312"/>
      <c r="O278" s="312"/>
      <c r="P278" s="322" t="str">
        <f t="shared" si="14"/>
        <v/>
      </c>
      <c r="Q278" s="208" t="str">
        <f t="shared" si="12"/>
        <v/>
      </c>
      <c r="R278" s="208"/>
      <c r="S278" s="323" t="str">
        <f t="shared" si="13"/>
        <v/>
      </c>
      <c r="U278" s="322"/>
      <c r="V278" s="791"/>
      <c r="W278" s="792"/>
      <c r="X278" s="480"/>
      <c r="Y278" s="480"/>
      <c r="Z278" s="480"/>
      <c r="AA278" s="323"/>
      <c r="AB278" s="220"/>
      <c r="AC278" s="322"/>
      <c r="AD278" s="323"/>
      <c r="AE278" s="220"/>
      <c r="AF278" s="324"/>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08"/>
      <c r="BB278" s="208"/>
      <c r="BC278" s="208"/>
      <c r="BD278" s="208"/>
      <c r="BE278" s="208"/>
      <c r="BF278" s="208"/>
      <c r="BG278" s="208"/>
      <c r="BH278" s="208"/>
      <c r="BI278" s="323"/>
    </row>
    <row r="279" spans="3:61" ht="15" customHeight="1">
      <c r="C279" s="325"/>
      <c r="D279" s="326"/>
      <c r="E279" s="311"/>
      <c r="F279" s="311"/>
      <c r="G279" s="311"/>
      <c r="H279" s="311"/>
      <c r="I279" s="311"/>
      <c r="J279" s="317"/>
      <c r="K279" s="312"/>
      <c r="L279" s="312"/>
      <c r="M279" s="312"/>
      <c r="N279" s="312"/>
      <c r="O279" s="312"/>
      <c r="P279" s="318" t="str">
        <f t="shared" si="14"/>
        <v/>
      </c>
      <c r="Q279" s="205" t="str">
        <f t="shared" si="12"/>
        <v/>
      </c>
      <c r="R279" s="205"/>
      <c r="S279" s="319" t="str">
        <f t="shared" si="13"/>
        <v/>
      </c>
      <c r="U279" s="318"/>
      <c r="V279" s="794"/>
      <c r="W279" s="795"/>
      <c r="X279" s="482"/>
      <c r="Y279" s="482"/>
      <c r="Z279" s="482"/>
      <c r="AA279" s="319"/>
      <c r="AB279" s="220"/>
      <c r="AC279" s="318"/>
      <c r="AD279" s="319"/>
      <c r="AE279" s="220"/>
      <c r="AF279" s="320"/>
      <c r="AG279" s="205"/>
      <c r="AH279" s="205"/>
      <c r="AI279" s="205"/>
      <c r="AJ279" s="205"/>
      <c r="AK279" s="205"/>
      <c r="AL279" s="205"/>
      <c r="AM279" s="205"/>
      <c r="AN279" s="205"/>
      <c r="AO279" s="205"/>
      <c r="AP279" s="205"/>
      <c r="AQ279" s="205"/>
      <c r="AR279" s="205"/>
      <c r="AS279" s="205"/>
      <c r="AT279" s="205"/>
      <c r="AU279" s="205"/>
      <c r="AV279" s="205"/>
      <c r="AW279" s="205"/>
      <c r="AX279" s="205"/>
      <c r="AY279" s="205"/>
      <c r="AZ279" s="205"/>
      <c r="BA279" s="205"/>
      <c r="BB279" s="205"/>
      <c r="BC279" s="205"/>
      <c r="BD279" s="205"/>
      <c r="BE279" s="205"/>
      <c r="BF279" s="205"/>
      <c r="BG279" s="205"/>
      <c r="BH279" s="205"/>
      <c r="BI279" s="319"/>
    </row>
    <row r="280" spans="3:61" ht="15" customHeight="1">
      <c r="C280" s="325"/>
      <c r="D280" s="326"/>
      <c r="E280" s="311"/>
      <c r="F280" s="311"/>
      <c r="G280" s="311"/>
      <c r="H280" s="311"/>
      <c r="I280" s="311"/>
      <c r="J280" s="317"/>
      <c r="K280" s="312"/>
      <c r="L280" s="312"/>
      <c r="M280" s="312"/>
      <c r="N280" s="312"/>
      <c r="O280" s="312"/>
      <c r="P280" s="322" t="str">
        <f t="shared" si="14"/>
        <v/>
      </c>
      <c r="Q280" s="208" t="str">
        <f t="shared" si="12"/>
        <v/>
      </c>
      <c r="R280" s="208"/>
      <c r="S280" s="323" t="str">
        <f t="shared" si="13"/>
        <v/>
      </c>
      <c r="U280" s="322"/>
      <c r="V280" s="791"/>
      <c r="W280" s="792"/>
      <c r="X280" s="480"/>
      <c r="Y280" s="480"/>
      <c r="Z280" s="480"/>
      <c r="AA280" s="323"/>
      <c r="AB280" s="220"/>
      <c r="AC280" s="322"/>
      <c r="AD280" s="323"/>
      <c r="AE280" s="220"/>
      <c r="AF280" s="324"/>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08"/>
      <c r="BB280" s="208"/>
      <c r="BC280" s="208"/>
      <c r="BD280" s="208"/>
      <c r="BE280" s="208"/>
      <c r="BF280" s="208"/>
      <c r="BG280" s="208"/>
      <c r="BH280" s="208"/>
      <c r="BI280" s="323"/>
    </row>
    <row r="281" spans="3:61" ht="15" customHeight="1">
      <c r="C281" s="325"/>
      <c r="D281" s="326"/>
      <c r="E281" s="311"/>
      <c r="F281" s="311"/>
      <c r="G281" s="311"/>
      <c r="H281" s="311"/>
      <c r="I281" s="311"/>
      <c r="J281" s="317"/>
      <c r="K281" s="312"/>
      <c r="L281" s="312"/>
      <c r="M281" s="312"/>
      <c r="N281" s="312"/>
      <c r="O281" s="312"/>
      <c r="P281" s="318" t="str">
        <f t="shared" si="14"/>
        <v/>
      </c>
      <c r="Q281" s="205" t="str">
        <f t="shared" si="12"/>
        <v/>
      </c>
      <c r="R281" s="205"/>
      <c r="S281" s="319" t="str">
        <f t="shared" si="13"/>
        <v/>
      </c>
      <c r="U281" s="318"/>
      <c r="V281" s="794"/>
      <c r="W281" s="795"/>
      <c r="X281" s="482"/>
      <c r="Y281" s="482"/>
      <c r="Z281" s="482"/>
      <c r="AA281" s="319"/>
      <c r="AB281" s="220"/>
      <c r="AC281" s="318"/>
      <c r="AD281" s="319"/>
      <c r="AE281" s="220"/>
      <c r="AF281" s="320"/>
      <c r="AG281" s="205"/>
      <c r="AH281" s="205"/>
      <c r="AI281" s="205"/>
      <c r="AJ281" s="205"/>
      <c r="AK281" s="205"/>
      <c r="AL281" s="205"/>
      <c r="AM281" s="205"/>
      <c r="AN281" s="205"/>
      <c r="AO281" s="205"/>
      <c r="AP281" s="205"/>
      <c r="AQ281" s="205"/>
      <c r="AR281" s="205"/>
      <c r="AS281" s="205"/>
      <c r="AT281" s="205"/>
      <c r="AU281" s="205"/>
      <c r="AV281" s="205"/>
      <c r="AW281" s="205"/>
      <c r="AX281" s="205"/>
      <c r="AY281" s="205"/>
      <c r="AZ281" s="205"/>
      <c r="BA281" s="205"/>
      <c r="BB281" s="205"/>
      <c r="BC281" s="205"/>
      <c r="BD281" s="205"/>
      <c r="BE281" s="205"/>
      <c r="BF281" s="205"/>
      <c r="BG281" s="205"/>
      <c r="BH281" s="205"/>
      <c r="BI281" s="319"/>
    </row>
    <row r="282" spans="3:61" ht="15" customHeight="1">
      <c r="C282" s="325"/>
      <c r="D282" s="326"/>
      <c r="E282" s="311"/>
      <c r="F282" s="311"/>
      <c r="G282" s="311"/>
      <c r="H282" s="311"/>
      <c r="I282" s="311"/>
      <c r="J282" s="317"/>
      <c r="K282" s="312"/>
      <c r="L282" s="312"/>
      <c r="M282" s="312"/>
      <c r="N282" s="312"/>
      <c r="O282" s="312"/>
      <c r="P282" s="322" t="str">
        <f t="shared" si="14"/>
        <v/>
      </c>
      <c r="Q282" s="208" t="str">
        <f t="shared" si="12"/>
        <v/>
      </c>
      <c r="R282" s="208"/>
      <c r="S282" s="323" t="str">
        <f t="shared" si="13"/>
        <v/>
      </c>
      <c r="U282" s="322"/>
      <c r="V282" s="791"/>
      <c r="W282" s="792"/>
      <c r="X282" s="480"/>
      <c r="Y282" s="480"/>
      <c r="Z282" s="480"/>
      <c r="AA282" s="323"/>
      <c r="AB282" s="220"/>
      <c r="AC282" s="322"/>
      <c r="AD282" s="323"/>
      <c r="AE282" s="220"/>
      <c r="AF282" s="324"/>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08"/>
      <c r="BB282" s="208"/>
      <c r="BC282" s="208"/>
      <c r="BD282" s="208"/>
      <c r="BE282" s="208"/>
      <c r="BF282" s="208"/>
      <c r="BG282" s="208"/>
      <c r="BH282" s="208"/>
      <c r="BI282" s="323"/>
    </row>
    <row r="283" spans="3:61" ht="15" customHeight="1">
      <c r="C283" s="325"/>
      <c r="D283" s="326"/>
      <c r="E283" s="311"/>
      <c r="F283" s="311"/>
      <c r="G283" s="311"/>
      <c r="H283" s="311"/>
      <c r="I283" s="311"/>
      <c r="J283" s="317"/>
      <c r="K283" s="312"/>
      <c r="L283" s="312"/>
      <c r="M283" s="312"/>
      <c r="N283" s="312"/>
      <c r="O283" s="312"/>
      <c r="P283" s="318" t="str">
        <f t="shared" si="14"/>
        <v/>
      </c>
      <c r="Q283" s="205" t="str">
        <f t="shared" si="12"/>
        <v/>
      </c>
      <c r="R283" s="205"/>
      <c r="S283" s="319" t="str">
        <f t="shared" si="13"/>
        <v/>
      </c>
      <c r="U283" s="318"/>
      <c r="V283" s="794"/>
      <c r="W283" s="795"/>
      <c r="X283" s="482"/>
      <c r="Y283" s="482"/>
      <c r="Z283" s="482"/>
      <c r="AA283" s="319"/>
      <c r="AB283" s="220"/>
      <c r="AC283" s="318"/>
      <c r="AD283" s="319"/>
      <c r="AE283" s="220"/>
      <c r="AF283" s="320"/>
      <c r="AG283" s="205"/>
      <c r="AH283" s="205"/>
      <c r="AI283" s="205"/>
      <c r="AJ283" s="205"/>
      <c r="AK283" s="205"/>
      <c r="AL283" s="205"/>
      <c r="AM283" s="205"/>
      <c r="AN283" s="205"/>
      <c r="AO283" s="205"/>
      <c r="AP283" s="205"/>
      <c r="AQ283" s="205"/>
      <c r="AR283" s="205"/>
      <c r="AS283" s="205"/>
      <c r="AT283" s="205"/>
      <c r="AU283" s="205"/>
      <c r="AV283" s="205"/>
      <c r="AW283" s="205"/>
      <c r="AX283" s="205"/>
      <c r="AY283" s="205"/>
      <c r="AZ283" s="205"/>
      <c r="BA283" s="205"/>
      <c r="BB283" s="205"/>
      <c r="BC283" s="205"/>
      <c r="BD283" s="205"/>
      <c r="BE283" s="205"/>
      <c r="BF283" s="205"/>
      <c r="BG283" s="205"/>
      <c r="BH283" s="205"/>
      <c r="BI283" s="319"/>
    </row>
    <row r="284" spans="3:61" ht="15" customHeight="1">
      <c r="C284" s="325"/>
      <c r="D284" s="326"/>
      <c r="E284" s="311"/>
      <c r="F284" s="311"/>
      <c r="G284" s="311"/>
      <c r="H284" s="311"/>
      <c r="I284" s="311"/>
      <c r="J284" s="317"/>
      <c r="K284" s="312"/>
      <c r="L284" s="312"/>
      <c r="M284" s="312"/>
      <c r="N284" s="312"/>
      <c r="O284" s="312"/>
      <c r="P284" s="322" t="str">
        <f t="shared" si="14"/>
        <v/>
      </c>
      <c r="Q284" s="208" t="str">
        <f t="shared" si="12"/>
        <v/>
      </c>
      <c r="R284" s="208"/>
      <c r="S284" s="323" t="str">
        <f t="shared" si="13"/>
        <v/>
      </c>
      <c r="U284" s="322"/>
      <c r="V284" s="791"/>
      <c r="W284" s="792"/>
      <c r="X284" s="480"/>
      <c r="Y284" s="480"/>
      <c r="Z284" s="480"/>
      <c r="AA284" s="323"/>
      <c r="AB284" s="220"/>
      <c r="AC284" s="322"/>
      <c r="AD284" s="323"/>
      <c r="AE284" s="220"/>
      <c r="AF284" s="324"/>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08"/>
      <c r="BB284" s="208"/>
      <c r="BC284" s="208"/>
      <c r="BD284" s="208"/>
      <c r="BE284" s="208"/>
      <c r="BF284" s="208"/>
      <c r="BG284" s="208"/>
      <c r="BH284" s="208"/>
      <c r="BI284" s="323"/>
    </row>
    <row r="285" spans="3:61" ht="15" customHeight="1">
      <c r="C285" s="325"/>
      <c r="D285" s="326"/>
      <c r="E285" s="311"/>
      <c r="F285" s="311"/>
      <c r="G285" s="311"/>
      <c r="H285" s="311"/>
      <c r="I285" s="311"/>
      <c r="J285" s="317"/>
      <c r="K285" s="312"/>
      <c r="L285" s="312"/>
      <c r="M285" s="312"/>
      <c r="N285" s="312"/>
      <c r="O285" s="312"/>
      <c r="P285" s="318" t="str">
        <f t="shared" si="14"/>
        <v/>
      </c>
      <c r="Q285" s="205" t="str">
        <f t="shared" si="12"/>
        <v/>
      </c>
      <c r="R285" s="205"/>
      <c r="S285" s="319" t="str">
        <f t="shared" si="13"/>
        <v/>
      </c>
      <c r="U285" s="318"/>
      <c r="V285" s="794"/>
      <c r="W285" s="795"/>
      <c r="X285" s="482"/>
      <c r="Y285" s="482"/>
      <c r="Z285" s="482"/>
      <c r="AA285" s="319"/>
      <c r="AB285" s="220"/>
      <c r="AC285" s="318"/>
      <c r="AD285" s="319"/>
      <c r="AE285" s="220"/>
      <c r="AF285" s="320"/>
      <c r="AG285" s="205"/>
      <c r="AH285" s="205"/>
      <c r="AI285" s="205"/>
      <c r="AJ285" s="205"/>
      <c r="AK285" s="205"/>
      <c r="AL285" s="205"/>
      <c r="AM285" s="205"/>
      <c r="AN285" s="205"/>
      <c r="AO285" s="205"/>
      <c r="AP285" s="205"/>
      <c r="AQ285" s="205"/>
      <c r="AR285" s="205"/>
      <c r="AS285" s="205"/>
      <c r="AT285" s="205"/>
      <c r="AU285" s="205"/>
      <c r="AV285" s="205"/>
      <c r="AW285" s="205"/>
      <c r="AX285" s="205"/>
      <c r="AY285" s="205"/>
      <c r="AZ285" s="205"/>
      <c r="BA285" s="205"/>
      <c r="BB285" s="205"/>
      <c r="BC285" s="205"/>
      <c r="BD285" s="205"/>
      <c r="BE285" s="205"/>
      <c r="BF285" s="205"/>
      <c r="BG285" s="205"/>
      <c r="BH285" s="205"/>
      <c r="BI285" s="319"/>
    </row>
    <row r="286" spans="3:61" ht="15" customHeight="1">
      <c r="C286" s="325"/>
      <c r="D286" s="326"/>
      <c r="E286" s="311"/>
      <c r="F286" s="311"/>
      <c r="G286" s="311"/>
      <c r="H286" s="311"/>
      <c r="I286" s="311"/>
      <c r="J286" s="317"/>
      <c r="K286" s="312"/>
      <c r="L286" s="312"/>
      <c r="M286" s="312"/>
      <c r="N286" s="312"/>
      <c r="O286" s="312"/>
      <c r="P286" s="322" t="str">
        <f t="shared" si="14"/>
        <v/>
      </c>
      <c r="Q286" s="208" t="str">
        <f t="shared" si="12"/>
        <v/>
      </c>
      <c r="R286" s="208"/>
      <c r="S286" s="323" t="str">
        <f t="shared" si="13"/>
        <v/>
      </c>
      <c r="U286" s="322"/>
      <c r="V286" s="791"/>
      <c r="W286" s="792"/>
      <c r="X286" s="480"/>
      <c r="Y286" s="480"/>
      <c r="Z286" s="480"/>
      <c r="AA286" s="323"/>
      <c r="AB286" s="220"/>
      <c r="AC286" s="322"/>
      <c r="AD286" s="323"/>
      <c r="AE286" s="220"/>
      <c r="AF286" s="324"/>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208"/>
      <c r="BB286" s="208"/>
      <c r="BC286" s="208"/>
      <c r="BD286" s="208"/>
      <c r="BE286" s="208"/>
      <c r="BF286" s="208"/>
      <c r="BG286" s="208"/>
      <c r="BH286" s="208"/>
      <c r="BI286" s="323"/>
    </row>
    <row r="287" spans="3:61" ht="15" customHeight="1">
      <c r="C287" s="325"/>
      <c r="D287" s="326"/>
      <c r="E287" s="311"/>
      <c r="F287" s="311"/>
      <c r="G287" s="311"/>
      <c r="H287" s="311"/>
      <c r="I287" s="311"/>
      <c r="J287" s="317"/>
      <c r="K287" s="312"/>
      <c r="L287" s="312"/>
      <c r="M287" s="312"/>
      <c r="N287" s="312"/>
      <c r="O287" s="312"/>
      <c r="P287" s="318" t="str">
        <f t="shared" si="14"/>
        <v/>
      </c>
      <c r="Q287" s="205" t="str">
        <f t="shared" si="12"/>
        <v/>
      </c>
      <c r="R287" s="205"/>
      <c r="S287" s="319" t="str">
        <f t="shared" si="13"/>
        <v/>
      </c>
      <c r="U287" s="318"/>
      <c r="V287" s="794"/>
      <c r="W287" s="795"/>
      <c r="X287" s="482"/>
      <c r="Y287" s="482"/>
      <c r="Z287" s="482"/>
      <c r="AA287" s="319"/>
      <c r="AB287" s="220"/>
      <c r="AC287" s="318"/>
      <c r="AD287" s="319"/>
      <c r="AE287" s="220"/>
      <c r="AF287" s="320"/>
      <c r="AG287" s="205"/>
      <c r="AH287" s="205"/>
      <c r="AI287" s="205"/>
      <c r="AJ287" s="205"/>
      <c r="AK287" s="205"/>
      <c r="AL287" s="205"/>
      <c r="AM287" s="205"/>
      <c r="AN287" s="205"/>
      <c r="AO287" s="205"/>
      <c r="AP287" s="205"/>
      <c r="AQ287" s="205"/>
      <c r="AR287" s="205"/>
      <c r="AS287" s="205"/>
      <c r="AT287" s="205"/>
      <c r="AU287" s="205"/>
      <c r="AV287" s="205"/>
      <c r="AW287" s="205"/>
      <c r="AX287" s="205"/>
      <c r="AY287" s="205"/>
      <c r="AZ287" s="205"/>
      <c r="BA287" s="205"/>
      <c r="BB287" s="205"/>
      <c r="BC287" s="205"/>
      <c r="BD287" s="205"/>
      <c r="BE287" s="205"/>
      <c r="BF287" s="205"/>
      <c r="BG287" s="205"/>
      <c r="BH287" s="205"/>
      <c r="BI287" s="319"/>
    </row>
    <row r="288" spans="3:61" ht="15" customHeight="1">
      <c r="C288" s="325"/>
      <c r="D288" s="326"/>
      <c r="E288" s="311"/>
      <c r="F288" s="311"/>
      <c r="G288" s="311"/>
      <c r="H288" s="311"/>
      <c r="I288" s="311"/>
      <c r="J288" s="317"/>
      <c r="K288" s="312"/>
      <c r="L288" s="312"/>
      <c r="M288" s="312"/>
      <c r="N288" s="312"/>
      <c r="O288" s="312"/>
      <c r="P288" s="322" t="str">
        <f t="shared" si="14"/>
        <v/>
      </c>
      <c r="Q288" s="208" t="str">
        <f t="shared" si="12"/>
        <v/>
      </c>
      <c r="R288" s="208"/>
      <c r="S288" s="323" t="str">
        <f t="shared" si="13"/>
        <v/>
      </c>
      <c r="U288" s="322"/>
      <c r="V288" s="791"/>
      <c r="W288" s="792"/>
      <c r="X288" s="480"/>
      <c r="Y288" s="480"/>
      <c r="Z288" s="480"/>
      <c r="AA288" s="323"/>
      <c r="AB288" s="220"/>
      <c r="AC288" s="322"/>
      <c r="AD288" s="323"/>
      <c r="AE288" s="220"/>
      <c r="AF288" s="324"/>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208"/>
      <c r="BB288" s="208"/>
      <c r="BC288" s="208"/>
      <c r="BD288" s="208"/>
      <c r="BE288" s="208"/>
      <c r="BF288" s="208"/>
      <c r="BG288" s="208"/>
      <c r="BH288" s="208"/>
      <c r="BI288" s="323"/>
    </row>
    <row r="289" spans="3:61" ht="15" customHeight="1">
      <c r="C289" s="325"/>
      <c r="D289" s="326"/>
      <c r="E289" s="311"/>
      <c r="F289" s="311"/>
      <c r="G289" s="311"/>
      <c r="H289" s="311"/>
      <c r="I289" s="311"/>
      <c r="J289" s="317"/>
      <c r="K289" s="312"/>
      <c r="L289" s="312"/>
      <c r="M289" s="312"/>
      <c r="N289" s="312"/>
      <c r="O289" s="312"/>
      <c r="P289" s="318" t="str">
        <f t="shared" si="14"/>
        <v/>
      </c>
      <c r="Q289" s="205" t="str">
        <f t="shared" si="12"/>
        <v/>
      </c>
      <c r="R289" s="205"/>
      <c r="S289" s="319" t="str">
        <f t="shared" si="13"/>
        <v/>
      </c>
      <c r="U289" s="318"/>
      <c r="V289" s="794"/>
      <c r="W289" s="795"/>
      <c r="X289" s="482"/>
      <c r="Y289" s="482"/>
      <c r="Z289" s="482"/>
      <c r="AA289" s="319"/>
      <c r="AB289" s="220"/>
      <c r="AC289" s="318"/>
      <c r="AD289" s="319"/>
      <c r="AE289" s="220"/>
      <c r="AF289" s="320"/>
      <c r="AG289" s="205"/>
      <c r="AH289" s="205"/>
      <c r="AI289" s="205"/>
      <c r="AJ289" s="205"/>
      <c r="AK289" s="205"/>
      <c r="AL289" s="205"/>
      <c r="AM289" s="205"/>
      <c r="AN289" s="205"/>
      <c r="AO289" s="205"/>
      <c r="AP289" s="205"/>
      <c r="AQ289" s="205"/>
      <c r="AR289" s="205"/>
      <c r="AS289" s="205"/>
      <c r="AT289" s="205"/>
      <c r="AU289" s="205"/>
      <c r="AV289" s="205"/>
      <c r="AW289" s="205"/>
      <c r="AX289" s="205"/>
      <c r="AY289" s="205"/>
      <c r="AZ289" s="205"/>
      <c r="BA289" s="205"/>
      <c r="BB289" s="205"/>
      <c r="BC289" s="205"/>
      <c r="BD289" s="205"/>
      <c r="BE289" s="205"/>
      <c r="BF289" s="205"/>
      <c r="BG289" s="205"/>
      <c r="BH289" s="205"/>
      <c r="BI289" s="319"/>
    </row>
    <row r="290" spans="3:61" ht="15" customHeight="1">
      <c r="C290" s="325"/>
      <c r="D290" s="326"/>
      <c r="E290" s="311"/>
      <c r="F290" s="311"/>
      <c r="G290" s="311"/>
      <c r="H290" s="311"/>
      <c r="I290" s="311"/>
      <c r="J290" s="317"/>
      <c r="K290" s="312"/>
      <c r="L290" s="312"/>
      <c r="M290" s="312"/>
      <c r="N290" s="312"/>
      <c r="O290" s="312"/>
      <c r="P290" s="322" t="str">
        <f t="shared" si="14"/>
        <v/>
      </c>
      <c r="Q290" s="208" t="str">
        <f t="shared" si="12"/>
        <v/>
      </c>
      <c r="R290" s="208"/>
      <c r="S290" s="323" t="str">
        <f t="shared" si="13"/>
        <v/>
      </c>
      <c r="U290" s="322"/>
      <c r="V290" s="791"/>
      <c r="W290" s="792"/>
      <c r="X290" s="480"/>
      <c r="Y290" s="480"/>
      <c r="Z290" s="480"/>
      <c r="AA290" s="323"/>
      <c r="AB290" s="220"/>
      <c r="AC290" s="322"/>
      <c r="AD290" s="323"/>
      <c r="AE290" s="220"/>
      <c r="AF290" s="324"/>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208"/>
      <c r="BB290" s="208"/>
      <c r="BC290" s="208"/>
      <c r="BD290" s="208"/>
      <c r="BE290" s="208"/>
      <c r="BF290" s="208"/>
      <c r="BG290" s="208"/>
      <c r="BH290" s="208"/>
      <c r="BI290" s="323"/>
    </row>
    <row r="291" spans="3:61" ht="15" customHeight="1">
      <c r="C291" s="325"/>
      <c r="D291" s="326"/>
      <c r="E291" s="311"/>
      <c r="F291" s="311"/>
      <c r="G291" s="311"/>
      <c r="H291" s="311"/>
      <c r="I291" s="311"/>
      <c r="J291" s="317"/>
      <c r="K291" s="312"/>
      <c r="L291" s="312"/>
      <c r="M291" s="312"/>
      <c r="N291" s="312"/>
      <c r="O291" s="312"/>
      <c r="P291" s="318" t="str">
        <f t="shared" si="14"/>
        <v/>
      </c>
      <c r="Q291" s="205" t="str">
        <f t="shared" si="12"/>
        <v/>
      </c>
      <c r="R291" s="205"/>
      <c r="S291" s="319" t="str">
        <f t="shared" si="13"/>
        <v/>
      </c>
      <c r="U291" s="318"/>
      <c r="V291" s="794"/>
      <c r="W291" s="795"/>
      <c r="X291" s="482"/>
      <c r="Y291" s="482"/>
      <c r="Z291" s="482"/>
      <c r="AA291" s="319"/>
      <c r="AB291" s="220"/>
      <c r="AC291" s="318"/>
      <c r="AD291" s="319"/>
      <c r="AE291" s="220"/>
      <c r="AF291" s="320"/>
      <c r="AG291" s="205"/>
      <c r="AH291" s="205"/>
      <c r="AI291" s="205"/>
      <c r="AJ291" s="205"/>
      <c r="AK291" s="205"/>
      <c r="AL291" s="205"/>
      <c r="AM291" s="205"/>
      <c r="AN291" s="205"/>
      <c r="AO291" s="205"/>
      <c r="AP291" s="205"/>
      <c r="AQ291" s="205"/>
      <c r="AR291" s="205"/>
      <c r="AS291" s="205"/>
      <c r="AT291" s="205"/>
      <c r="AU291" s="205"/>
      <c r="AV291" s="205"/>
      <c r="AW291" s="205"/>
      <c r="AX291" s="205"/>
      <c r="AY291" s="205"/>
      <c r="AZ291" s="205"/>
      <c r="BA291" s="205"/>
      <c r="BB291" s="205"/>
      <c r="BC291" s="205"/>
      <c r="BD291" s="205"/>
      <c r="BE291" s="205"/>
      <c r="BF291" s="205"/>
      <c r="BG291" s="205"/>
      <c r="BH291" s="205"/>
      <c r="BI291" s="319"/>
    </row>
    <row r="292" spans="3:61" ht="15" customHeight="1">
      <c r="C292" s="325"/>
      <c r="D292" s="326"/>
      <c r="E292" s="311"/>
      <c r="F292" s="311"/>
      <c r="G292" s="311"/>
      <c r="H292" s="311"/>
      <c r="I292" s="311"/>
      <c r="J292" s="317"/>
      <c r="K292" s="312"/>
      <c r="L292" s="312"/>
      <c r="M292" s="312"/>
      <c r="N292" s="312"/>
      <c r="O292" s="312"/>
      <c r="P292" s="322" t="str">
        <f t="shared" si="14"/>
        <v/>
      </c>
      <c r="Q292" s="208" t="str">
        <f t="shared" si="12"/>
        <v/>
      </c>
      <c r="R292" s="208"/>
      <c r="S292" s="323" t="str">
        <f t="shared" si="13"/>
        <v/>
      </c>
      <c r="U292" s="322"/>
      <c r="V292" s="791"/>
      <c r="W292" s="792"/>
      <c r="X292" s="480"/>
      <c r="Y292" s="480"/>
      <c r="Z292" s="480"/>
      <c r="AA292" s="323"/>
      <c r="AB292" s="220"/>
      <c r="AC292" s="322"/>
      <c r="AD292" s="323"/>
      <c r="AE292" s="220"/>
      <c r="AF292" s="324"/>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208"/>
      <c r="BB292" s="208"/>
      <c r="BC292" s="208"/>
      <c r="BD292" s="208"/>
      <c r="BE292" s="208"/>
      <c r="BF292" s="208"/>
      <c r="BG292" s="208"/>
      <c r="BH292" s="208"/>
      <c r="BI292" s="323"/>
    </row>
    <row r="293" spans="3:61" ht="15" customHeight="1">
      <c r="C293" s="325"/>
      <c r="D293" s="326"/>
      <c r="E293" s="311"/>
      <c r="F293" s="311"/>
      <c r="G293" s="311"/>
      <c r="H293" s="311"/>
      <c r="I293" s="311"/>
      <c r="J293" s="317"/>
      <c r="K293" s="312"/>
      <c r="L293" s="312"/>
      <c r="M293" s="312"/>
      <c r="N293" s="312"/>
      <c r="O293" s="312"/>
      <c r="P293" s="318" t="str">
        <f t="shared" si="14"/>
        <v/>
      </c>
      <c r="Q293" s="205" t="str">
        <f t="shared" si="12"/>
        <v/>
      </c>
      <c r="R293" s="205"/>
      <c r="S293" s="319" t="str">
        <f t="shared" si="13"/>
        <v/>
      </c>
      <c r="U293" s="318"/>
      <c r="V293" s="794"/>
      <c r="W293" s="795"/>
      <c r="X293" s="482"/>
      <c r="Y293" s="482"/>
      <c r="Z293" s="482"/>
      <c r="AA293" s="319"/>
      <c r="AB293" s="220"/>
      <c r="AC293" s="318"/>
      <c r="AD293" s="319"/>
      <c r="AE293" s="220"/>
      <c r="AF293" s="320"/>
      <c r="AG293" s="205"/>
      <c r="AH293" s="205"/>
      <c r="AI293" s="205"/>
      <c r="AJ293" s="205"/>
      <c r="AK293" s="205"/>
      <c r="AL293" s="205"/>
      <c r="AM293" s="205"/>
      <c r="AN293" s="205"/>
      <c r="AO293" s="205"/>
      <c r="AP293" s="205"/>
      <c r="AQ293" s="205"/>
      <c r="AR293" s="205"/>
      <c r="AS293" s="205"/>
      <c r="AT293" s="205"/>
      <c r="AU293" s="205"/>
      <c r="AV293" s="205"/>
      <c r="AW293" s="205"/>
      <c r="AX293" s="205"/>
      <c r="AY293" s="205"/>
      <c r="AZ293" s="205"/>
      <c r="BA293" s="205"/>
      <c r="BB293" s="205"/>
      <c r="BC293" s="205"/>
      <c r="BD293" s="205"/>
      <c r="BE293" s="205"/>
      <c r="BF293" s="205"/>
      <c r="BG293" s="205"/>
      <c r="BH293" s="205"/>
      <c r="BI293" s="319"/>
    </row>
    <row r="294" spans="3:61" ht="15" customHeight="1">
      <c r="C294" s="325"/>
      <c r="D294" s="326"/>
      <c r="E294" s="311"/>
      <c r="F294" s="311"/>
      <c r="G294" s="311"/>
      <c r="H294" s="311"/>
      <c r="I294" s="311"/>
      <c r="J294" s="317"/>
      <c r="K294" s="312"/>
      <c r="L294" s="312"/>
      <c r="M294" s="312"/>
      <c r="N294" s="312"/>
      <c r="O294" s="312"/>
      <c r="P294" s="322" t="str">
        <f t="shared" si="14"/>
        <v/>
      </c>
      <c r="Q294" s="208" t="str">
        <f t="shared" si="12"/>
        <v/>
      </c>
      <c r="R294" s="208"/>
      <c r="S294" s="323" t="str">
        <f t="shared" si="13"/>
        <v/>
      </c>
      <c r="U294" s="322"/>
      <c r="V294" s="791"/>
      <c r="W294" s="792"/>
      <c r="X294" s="480"/>
      <c r="Y294" s="480"/>
      <c r="Z294" s="480"/>
      <c r="AA294" s="323"/>
      <c r="AB294" s="220"/>
      <c r="AC294" s="322"/>
      <c r="AD294" s="323"/>
      <c r="AE294" s="220"/>
      <c r="AF294" s="324"/>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208"/>
      <c r="BB294" s="208"/>
      <c r="BC294" s="208"/>
      <c r="BD294" s="208"/>
      <c r="BE294" s="208"/>
      <c r="BF294" s="208"/>
      <c r="BG294" s="208"/>
      <c r="BH294" s="208"/>
      <c r="BI294" s="323"/>
    </row>
    <row r="295" spans="3:61" ht="15" customHeight="1">
      <c r="C295" s="325"/>
      <c r="D295" s="326"/>
      <c r="E295" s="311"/>
      <c r="F295" s="311"/>
      <c r="G295" s="311"/>
      <c r="H295" s="311"/>
      <c r="I295" s="311"/>
      <c r="J295" s="317"/>
      <c r="K295" s="312"/>
      <c r="L295" s="312"/>
      <c r="M295" s="312"/>
      <c r="N295" s="312"/>
      <c r="O295" s="312"/>
      <c r="P295" s="318" t="str">
        <f t="shared" si="14"/>
        <v/>
      </c>
      <c r="Q295" s="205" t="str">
        <f t="shared" si="12"/>
        <v/>
      </c>
      <c r="R295" s="205"/>
      <c r="S295" s="319" t="str">
        <f t="shared" si="13"/>
        <v/>
      </c>
      <c r="U295" s="318"/>
      <c r="V295" s="794"/>
      <c r="W295" s="795"/>
      <c r="X295" s="482"/>
      <c r="Y295" s="482"/>
      <c r="Z295" s="482"/>
      <c r="AA295" s="319"/>
      <c r="AB295" s="220"/>
      <c r="AC295" s="318"/>
      <c r="AD295" s="319"/>
      <c r="AE295" s="220"/>
      <c r="AF295" s="320"/>
      <c r="AG295" s="205"/>
      <c r="AH295" s="205"/>
      <c r="AI295" s="205"/>
      <c r="AJ295" s="205"/>
      <c r="AK295" s="205"/>
      <c r="AL295" s="205"/>
      <c r="AM295" s="205"/>
      <c r="AN295" s="205"/>
      <c r="AO295" s="205"/>
      <c r="AP295" s="205"/>
      <c r="AQ295" s="205"/>
      <c r="AR295" s="205"/>
      <c r="AS295" s="205"/>
      <c r="AT295" s="205"/>
      <c r="AU295" s="205"/>
      <c r="AV295" s="205"/>
      <c r="AW295" s="205"/>
      <c r="AX295" s="205"/>
      <c r="AY295" s="205"/>
      <c r="AZ295" s="205"/>
      <c r="BA295" s="205"/>
      <c r="BB295" s="205"/>
      <c r="BC295" s="205"/>
      <c r="BD295" s="205"/>
      <c r="BE295" s="205"/>
      <c r="BF295" s="205"/>
      <c r="BG295" s="205"/>
      <c r="BH295" s="205"/>
      <c r="BI295" s="319"/>
    </row>
    <row r="296" spans="3:61" ht="15" customHeight="1">
      <c r="C296" s="325"/>
      <c r="D296" s="326"/>
      <c r="E296" s="311"/>
      <c r="F296" s="311"/>
      <c r="G296" s="311"/>
      <c r="H296" s="311"/>
      <c r="I296" s="311"/>
      <c r="J296" s="317"/>
      <c r="K296" s="312"/>
      <c r="L296" s="312"/>
      <c r="M296" s="312"/>
      <c r="N296" s="312"/>
      <c r="O296" s="312"/>
      <c r="P296" s="322" t="str">
        <f t="shared" si="14"/>
        <v/>
      </c>
      <c r="Q296" s="208" t="str">
        <f t="shared" si="12"/>
        <v/>
      </c>
      <c r="R296" s="208"/>
      <c r="S296" s="323" t="str">
        <f t="shared" si="13"/>
        <v/>
      </c>
      <c r="U296" s="322"/>
      <c r="V296" s="791"/>
      <c r="W296" s="792"/>
      <c r="X296" s="480"/>
      <c r="Y296" s="480"/>
      <c r="Z296" s="480"/>
      <c r="AA296" s="323"/>
      <c r="AB296" s="220"/>
      <c r="AC296" s="322"/>
      <c r="AD296" s="323"/>
      <c r="AE296" s="220"/>
      <c r="AF296" s="324"/>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208"/>
      <c r="BB296" s="208"/>
      <c r="BC296" s="208"/>
      <c r="BD296" s="208"/>
      <c r="BE296" s="208"/>
      <c r="BF296" s="208"/>
      <c r="BG296" s="208"/>
      <c r="BH296" s="208"/>
      <c r="BI296" s="323"/>
    </row>
    <row r="297" spans="3:61" ht="15" customHeight="1">
      <c r="C297" s="325"/>
      <c r="D297" s="326"/>
      <c r="E297" s="311"/>
      <c r="F297" s="311"/>
      <c r="G297" s="311"/>
      <c r="H297" s="311"/>
      <c r="I297" s="311"/>
      <c r="J297" s="317"/>
      <c r="K297" s="312"/>
      <c r="L297" s="312"/>
      <c r="M297" s="312"/>
      <c r="N297" s="312"/>
      <c r="O297" s="312"/>
      <c r="P297" s="318" t="str">
        <f t="shared" si="14"/>
        <v/>
      </c>
      <c r="Q297" s="205" t="str">
        <f t="shared" si="12"/>
        <v/>
      </c>
      <c r="R297" s="205"/>
      <c r="S297" s="319" t="str">
        <f t="shared" si="13"/>
        <v/>
      </c>
      <c r="U297" s="318"/>
      <c r="V297" s="794"/>
      <c r="W297" s="795"/>
      <c r="X297" s="482"/>
      <c r="Y297" s="482"/>
      <c r="Z297" s="482"/>
      <c r="AA297" s="319"/>
      <c r="AB297" s="220"/>
      <c r="AC297" s="318"/>
      <c r="AD297" s="319"/>
      <c r="AE297" s="220"/>
      <c r="AF297" s="320"/>
      <c r="AG297" s="205"/>
      <c r="AH297" s="205"/>
      <c r="AI297" s="205"/>
      <c r="AJ297" s="205"/>
      <c r="AK297" s="205"/>
      <c r="AL297" s="205"/>
      <c r="AM297" s="205"/>
      <c r="AN297" s="205"/>
      <c r="AO297" s="205"/>
      <c r="AP297" s="205"/>
      <c r="AQ297" s="205"/>
      <c r="AR297" s="205"/>
      <c r="AS297" s="205"/>
      <c r="AT297" s="205"/>
      <c r="AU297" s="205"/>
      <c r="AV297" s="205"/>
      <c r="AW297" s="205"/>
      <c r="AX297" s="205"/>
      <c r="AY297" s="205"/>
      <c r="AZ297" s="205"/>
      <c r="BA297" s="205"/>
      <c r="BB297" s="205"/>
      <c r="BC297" s="205"/>
      <c r="BD297" s="205"/>
      <c r="BE297" s="205"/>
      <c r="BF297" s="205"/>
      <c r="BG297" s="205"/>
      <c r="BH297" s="205"/>
      <c r="BI297" s="319"/>
    </row>
    <row r="298" spans="3:61" ht="15" customHeight="1">
      <c r="C298" s="325"/>
      <c r="D298" s="326"/>
      <c r="E298" s="311"/>
      <c r="F298" s="311"/>
      <c r="G298" s="311"/>
      <c r="H298" s="311"/>
      <c r="I298" s="311"/>
      <c r="J298" s="317"/>
      <c r="K298" s="312"/>
      <c r="L298" s="312"/>
      <c r="M298" s="312"/>
      <c r="N298" s="312"/>
      <c r="O298" s="312"/>
      <c r="P298" s="322" t="str">
        <f t="shared" si="14"/>
        <v/>
      </c>
      <c r="Q298" s="208" t="str">
        <f t="shared" si="12"/>
        <v/>
      </c>
      <c r="R298" s="208"/>
      <c r="S298" s="323" t="str">
        <f t="shared" si="13"/>
        <v/>
      </c>
      <c r="U298" s="322"/>
      <c r="V298" s="791"/>
      <c r="W298" s="792"/>
      <c r="X298" s="480"/>
      <c r="Y298" s="480"/>
      <c r="Z298" s="480"/>
      <c r="AA298" s="323"/>
      <c r="AB298" s="220"/>
      <c r="AC298" s="322"/>
      <c r="AD298" s="323"/>
      <c r="AE298" s="220"/>
      <c r="AF298" s="324"/>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208"/>
      <c r="BB298" s="208"/>
      <c r="BC298" s="208"/>
      <c r="BD298" s="208"/>
      <c r="BE298" s="208"/>
      <c r="BF298" s="208"/>
      <c r="BG298" s="208"/>
      <c r="BH298" s="208"/>
      <c r="BI298" s="323"/>
    </row>
    <row r="299" spans="3:61" ht="15" customHeight="1">
      <c r="C299" s="325"/>
      <c r="D299" s="326"/>
      <c r="E299" s="311"/>
      <c r="F299" s="311"/>
      <c r="G299" s="311"/>
      <c r="H299" s="311"/>
      <c r="I299" s="311"/>
      <c r="J299" s="317"/>
      <c r="K299" s="312"/>
      <c r="L299" s="312"/>
      <c r="M299" s="312"/>
      <c r="N299" s="312"/>
      <c r="O299" s="312"/>
      <c r="P299" s="318" t="str">
        <f t="shared" si="14"/>
        <v/>
      </c>
      <c r="Q299" s="205" t="str">
        <f t="shared" si="12"/>
        <v/>
      </c>
      <c r="R299" s="205"/>
      <c r="S299" s="319" t="str">
        <f t="shared" si="13"/>
        <v/>
      </c>
      <c r="U299" s="318"/>
      <c r="V299" s="794"/>
      <c r="W299" s="795"/>
      <c r="X299" s="482"/>
      <c r="Y299" s="482"/>
      <c r="Z299" s="482"/>
      <c r="AA299" s="319"/>
      <c r="AB299" s="220"/>
      <c r="AC299" s="318"/>
      <c r="AD299" s="319"/>
      <c r="AE299" s="220"/>
      <c r="AF299" s="320"/>
      <c r="AG299" s="205"/>
      <c r="AH299" s="205"/>
      <c r="AI299" s="205"/>
      <c r="AJ299" s="205"/>
      <c r="AK299" s="205"/>
      <c r="AL299" s="205"/>
      <c r="AM299" s="205"/>
      <c r="AN299" s="205"/>
      <c r="AO299" s="205"/>
      <c r="AP299" s="205"/>
      <c r="AQ299" s="205"/>
      <c r="AR299" s="205"/>
      <c r="AS299" s="205"/>
      <c r="AT299" s="205"/>
      <c r="AU299" s="205"/>
      <c r="AV299" s="205"/>
      <c r="AW299" s="205"/>
      <c r="AX299" s="205"/>
      <c r="AY299" s="205"/>
      <c r="AZ299" s="205"/>
      <c r="BA299" s="205"/>
      <c r="BB299" s="205"/>
      <c r="BC299" s="205"/>
      <c r="BD299" s="205"/>
      <c r="BE299" s="205"/>
      <c r="BF299" s="205"/>
      <c r="BG299" s="205"/>
      <c r="BH299" s="205"/>
      <c r="BI299" s="319"/>
    </row>
    <row r="300" spans="3:61" ht="15" customHeight="1">
      <c r="C300" s="325"/>
      <c r="D300" s="326"/>
      <c r="E300" s="311"/>
      <c r="F300" s="311"/>
      <c r="G300" s="311"/>
      <c r="H300" s="311"/>
      <c r="I300" s="311"/>
      <c r="J300" s="317"/>
      <c r="K300" s="312"/>
      <c r="L300" s="312"/>
      <c r="M300" s="312"/>
      <c r="N300" s="312"/>
      <c r="O300" s="312"/>
      <c r="P300" s="322" t="str">
        <f t="shared" si="14"/>
        <v/>
      </c>
      <c r="Q300" s="208" t="str">
        <f t="shared" si="12"/>
        <v/>
      </c>
      <c r="R300" s="208"/>
      <c r="S300" s="323" t="str">
        <f t="shared" si="13"/>
        <v/>
      </c>
      <c r="U300" s="322"/>
      <c r="V300" s="791"/>
      <c r="W300" s="792"/>
      <c r="X300" s="480"/>
      <c r="Y300" s="480"/>
      <c r="Z300" s="480"/>
      <c r="AA300" s="323"/>
      <c r="AB300" s="220"/>
      <c r="AC300" s="322"/>
      <c r="AD300" s="323"/>
      <c r="AE300" s="220"/>
      <c r="AF300" s="324"/>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208"/>
      <c r="BB300" s="208"/>
      <c r="BC300" s="208"/>
      <c r="BD300" s="208"/>
      <c r="BE300" s="208"/>
      <c r="BF300" s="208"/>
      <c r="BG300" s="208"/>
      <c r="BH300" s="208"/>
      <c r="BI300" s="323"/>
    </row>
    <row r="301" spans="3:61" ht="15" customHeight="1">
      <c r="C301" s="325"/>
      <c r="D301" s="326"/>
      <c r="E301" s="311"/>
      <c r="F301" s="311"/>
      <c r="G301" s="311"/>
      <c r="H301" s="311"/>
      <c r="I301" s="311"/>
      <c r="J301" s="317"/>
      <c r="K301" s="312"/>
      <c r="L301" s="312"/>
      <c r="M301" s="312"/>
      <c r="N301" s="312"/>
      <c r="O301" s="312"/>
      <c r="P301" s="318" t="str">
        <f t="shared" si="14"/>
        <v/>
      </c>
      <c r="Q301" s="205" t="str">
        <f t="shared" si="12"/>
        <v/>
      </c>
      <c r="R301" s="205"/>
      <c r="S301" s="319" t="str">
        <f t="shared" si="13"/>
        <v/>
      </c>
      <c r="U301" s="318"/>
      <c r="V301" s="794"/>
      <c r="W301" s="795"/>
      <c r="X301" s="482"/>
      <c r="Y301" s="482"/>
      <c r="Z301" s="482"/>
      <c r="AA301" s="319"/>
      <c r="AB301" s="220"/>
      <c r="AC301" s="318"/>
      <c r="AD301" s="319"/>
      <c r="AE301" s="220"/>
      <c r="AF301" s="320"/>
      <c r="AG301" s="205"/>
      <c r="AH301" s="205"/>
      <c r="AI301" s="205"/>
      <c r="AJ301" s="205"/>
      <c r="AK301" s="205"/>
      <c r="AL301" s="205"/>
      <c r="AM301" s="205"/>
      <c r="AN301" s="205"/>
      <c r="AO301" s="205"/>
      <c r="AP301" s="205"/>
      <c r="AQ301" s="205"/>
      <c r="AR301" s="205"/>
      <c r="AS301" s="205"/>
      <c r="AT301" s="205"/>
      <c r="AU301" s="205"/>
      <c r="AV301" s="205"/>
      <c r="AW301" s="205"/>
      <c r="AX301" s="205"/>
      <c r="AY301" s="205"/>
      <c r="AZ301" s="205"/>
      <c r="BA301" s="205"/>
      <c r="BB301" s="205"/>
      <c r="BC301" s="205"/>
      <c r="BD301" s="205"/>
      <c r="BE301" s="205"/>
      <c r="BF301" s="205"/>
      <c r="BG301" s="205"/>
      <c r="BH301" s="205"/>
      <c r="BI301" s="319"/>
    </row>
    <row r="302" spans="3:61" ht="15" customHeight="1">
      <c r="C302" s="325"/>
      <c r="D302" s="326"/>
      <c r="E302" s="311"/>
      <c r="F302" s="311"/>
      <c r="G302" s="311"/>
      <c r="H302" s="311"/>
      <c r="I302" s="311"/>
      <c r="J302" s="317"/>
      <c r="K302" s="312"/>
      <c r="L302" s="312"/>
      <c r="M302" s="312"/>
      <c r="N302" s="312"/>
      <c r="O302" s="312"/>
      <c r="P302" s="322" t="str">
        <f t="shared" si="14"/>
        <v/>
      </c>
      <c r="Q302" s="208" t="str">
        <f t="shared" si="12"/>
        <v/>
      </c>
      <c r="R302" s="208"/>
      <c r="S302" s="323" t="str">
        <f t="shared" si="13"/>
        <v/>
      </c>
      <c r="U302" s="322"/>
      <c r="V302" s="791"/>
      <c r="W302" s="792"/>
      <c r="X302" s="480"/>
      <c r="Y302" s="480"/>
      <c r="Z302" s="480"/>
      <c r="AA302" s="323"/>
      <c r="AB302" s="220"/>
      <c r="AC302" s="322"/>
      <c r="AD302" s="323"/>
      <c r="AE302" s="220"/>
      <c r="AF302" s="324"/>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208"/>
      <c r="BB302" s="208"/>
      <c r="BC302" s="208"/>
      <c r="BD302" s="208"/>
      <c r="BE302" s="208"/>
      <c r="BF302" s="208"/>
      <c r="BG302" s="208"/>
      <c r="BH302" s="208"/>
      <c r="BI302" s="323"/>
    </row>
    <row r="303" spans="3:61" ht="15" customHeight="1">
      <c r="C303" s="325"/>
      <c r="D303" s="326"/>
      <c r="E303" s="311"/>
      <c r="F303" s="311"/>
      <c r="G303" s="311"/>
      <c r="H303" s="311"/>
      <c r="I303" s="311"/>
      <c r="J303" s="317"/>
      <c r="K303" s="312"/>
      <c r="L303" s="312"/>
      <c r="M303" s="312"/>
      <c r="N303" s="312"/>
      <c r="O303" s="312"/>
      <c r="P303" s="318" t="str">
        <f t="shared" si="14"/>
        <v/>
      </c>
      <c r="Q303" s="205" t="str">
        <f t="shared" si="12"/>
        <v/>
      </c>
      <c r="R303" s="205"/>
      <c r="S303" s="319" t="str">
        <f t="shared" si="13"/>
        <v/>
      </c>
      <c r="U303" s="318"/>
      <c r="V303" s="794"/>
      <c r="W303" s="795"/>
      <c r="X303" s="482"/>
      <c r="Y303" s="482"/>
      <c r="Z303" s="482"/>
      <c r="AA303" s="319"/>
      <c r="AB303" s="220"/>
      <c r="AC303" s="318"/>
      <c r="AD303" s="319"/>
      <c r="AE303" s="220"/>
      <c r="AF303" s="320"/>
      <c r="AG303" s="205"/>
      <c r="AH303" s="205"/>
      <c r="AI303" s="205"/>
      <c r="AJ303" s="205"/>
      <c r="AK303" s="205"/>
      <c r="AL303" s="205"/>
      <c r="AM303" s="205"/>
      <c r="AN303" s="205"/>
      <c r="AO303" s="205"/>
      <c r="AP303" s="205"/>
      <c r="AQ303" s="205"/>
      <c r="AR303" s="205"/>
      <c r="AS303" s="205"/>
      <c r="AT303" s="205"/>
      <c r="AU303" s="205"/>
      <c r="AV303" s="205"/>
      <c r="AW303" s="205"/>
      <c r="AX303" s="205"/>
      <c r="AY303" s="205"/>
      <c r="AZ303" s="205"/>
      <c r="BA303" s="205"/>
      <c r="BB303" s="205"/>
      <c r="BC303" s="205"/>
      <c r="BD303" s="205"/>
      <c r="BE303" s="205"/>
      <c r="BF303" s="205"/>
      <c r="BG303" s="205"/>
      <c r="BH303" s="205"/>
      <c r="BI303" s="319"/>
    </row>
    <row r="304" spans="3:61" ht="15" customHeight="1">
      <c r="C304" s="325"/>
      <c r="D304" s="326"/>
      <c r="E304" s="311"/>
      <c r="F304" s="311"/>
      <c r="G304" s="311"/>
      <c r="H304" s="311"/>
      <c r="I304" s="311"/>
      <c r="J304" s="317"/>
      <c r="K304" s="312"/>
      <c r="L304" s="312"/>
      <c r="M304" s="312"/>
      <c r="N304" s="312"/>
      <c r="O304" s="312"/>
      <c r="P304" s="322" t="str">
        <f t="shared" si="14"/>
        <v/>
      </c>
      <c r="Q304" s="208" t="str">
        <f t="shared" si="12"/>
        <v/>
      </c>
      <c r="R304" s="208"/>
      <c r="S304" s="323" t="str">
        <f t="shared" si="13"/>
        <v/>
      </c>
      <c r="U304" s="322"/>
      <c r="V304" s="791"/>
      <c r="W304" s="792"/>
      <c r="X304" s="480"/>
      <c r="Y304" s="480"/>
      <c r="Z304" s="480"/>
      <c r="AA304" s="323"/>
      <c r="AB304" s="220"/>
      <c r="AC304" s="322"/>
      <c r="AD304" s="323"/>
      <c r="AE304" s="220"/>
      <c r="AF304" s="324"/>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208"/>
      <c r="BB304" s="208"/>
      <c r="BC304" s="208"/>
      <c r="BD304" s="208"/>
      <c r="BE304" s="208"/>
      <c r="BF304" s="208"/>
      <c r="BG304" s="208"/>
      <c r="BH304" s="208"/>
      <c r="BI304" s="323"/>
    </row>
    <row r="305" spans="3:61" ht="15" customHeight="1">
      <c r="C305" s="325"/>
      <c r="D305" s="326"/>
      <c r="E305" s="311"/>
      <c r="F305" s="311"/>
      <c r="G305" s="311"/>
      <c r="H305" s="311"/>
      <c r="I305" s="311"/>
      <c r="J305" s="317"/>
      <c r="K305" s="312"/>
      <c r="L305" s="312"/>
      <c r="M305" s="312"/>
      <c r="N305" s="312"/>
      <c r="O305" s="312"/>
      <c r="P305" s="318" t="str">
        <f t="shared" si="14"/>
        <v/>
      </c>
      <c r="Q305" s="205" t="str">
        <f t="shared" si="12"/>
        <v/>
      </c>
      <c r="R305" s="205"/>
      <c r="S305" s="319" t="str">
        <f t="shared" si="13"/>
        <v/>
      </c>
      <c r="U305" s="318"/>
      <c r="V305" s="794"/>
      <c r="W305" s="795"/>
      <c r="X305" s="482"/>
      <c r="Y305" s="482"/>
      <c r="Z305" s="482"/>
      <c r="AA305" s="319"/>
      <c r="AB305" s="220"/>
      <c r="AC305" s="318"/>
      <c r="AD305" s="319"/>
      <c r="AE305" s="220"/>
      <c r="AF305" s="320"/>
      <c r="AG305" s="205"/>
      <c r="AH305" s="205"/>
      <c r="AI305" s="205"/>
      <c r="AJ305" s="205"/>
      <c r="AK305" s="205"/>
      <c r="AL305" s="205"/>
      <c r="AM305" s="205"/>
      <c r="AN305" s="205"/>
      <c r="AO305" s="205"/>
      <c r="AP305" s="205"/>
      <c r="AQ305" s="205"/>
      <c r="AR305" s="205"/>
      <c r="AS305" s="205"/>
      <c r="AT305" s="205"/>
      <c r="AU305" s="205"/>
      <c r="AV305" s="205"/>
      <c r="AW305" s="205"/>
      <c r="AX305" s="205"/>
      <c r="AY305" s="205"/>
      <c r="AZ305" s="205"/>
      <c r="BA305" s="205"/>
      <c r="BB305" s="205"/>
      <c r="BC305" s="205"/>
      <c r="BD305" s="205"/>
      <c r="BE305" s="205"/>
      <c r="BF305" s="205"/>
      <c r="BG305" s="205"/>
      <c r="BH305" s="205"/>
      <c r="BI305" s="319"/>
    </row>
    <row r="306" spans="3:61" ht="15" customHeight="1">
      <c r="C306" s="325"/>
      <c r="D306" s="326"/>
      <c r="E306" s="311"/>
      <c r="F306" s="311"/>
      <c r="G306" s="311"/>
      <c r="H306" s="311"/>
      <c r="I306" s="311"/>
      <c r="J306" s="317"/>
      <c r="K306" s="312"/>
      <c r="L306" s="312"/>
      <c r="M306" s="312"/>
      <c r="N306" s="312"/>
      <c r="O306" s="312"/>
      <c r="P306" s="322" t="str">
        <f t="shared" si="14"/>
        <v/>
      </c>
      <c r="Q306" s="208" t="str">
        <f t="shared" si="12"/>
        <v/>
      </c>
      <c r="R306" s="208"/>
      <c r="S306" s="323" t="str">
        <f t="shared" si="13"/>
        <v/>
      </c>
      <c r="U306" s="322"/>
      <c r="V306" s="791"/>
      <c r="W306" s="792"/>
      <c r="X306" s="480"/>
      <c r="Y306" s="480"/>
      <c r="Z306" s="480"/>
      <c r="AA306" s="323"/>
      <c r="AB306" s="220"/>
      <c r="AC306" s="322"/>
      <c r="AD306" s="323"/>
      <c r="AE306" s="220"/>
      <c r="AF306" s="324"/>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208"/>
      <c r="BB306" s="208"/>
      <c r="BC306" s="208"/>
      <c r="BD306" s="208"/>
      <c r="BE306" s="208"/>
      <c r="BF306" s="208"/>
      <c r="BG306" s="208"/>
      <c r="BH306" s="208"/>
      <c r="BI306" s="323"/>
    </row>
    <row r="307" spans="3:61" ht="15" customHeight="1">
      <c r="C307" s="325"/>
      <c r="D307" s="326"/>
      <c r="E307" s="311"/>
      <c r="F307" s="311"/>
      <c r="G307" s="311"/>
      <c r="H307" s="311"/>
      <c r="I307" s="311"/>
      <c r="J307" s="317"/>
      <c r="K307" s="312"/>
      <c r="L307" s="312"/>
      <c r="M307" s="312"/>
      <c r="N307" s="312"/>
      <c r="O307" s="312"/>
      <c r="P307" s="318" t="str">
        <f t="shared" si="14"/>
        <v/>
      </c>
      <c r="Q307" s="205" t="str">
        <f t="shared" si="12"/>
        <v/>
      </c>
      <c r="R307" s="205"/>
      <c r="S307" s="319" t="str">
        <f t="shared" si="13"/>
        <v/>
      </c>
      <c r="U307" s="318"/>
      <c r="V307" s="794"/>
      <c r="W307" s="795"/>
      <c r="X307" s="482"/>
      <c r="Y307" s="482"/>
      <c r="Z307" s="482"/>
      <c r="AA307" s="319"/>
      <c r="AB307" s="220"/>
      <c r="AC307" s="318"/>
      <c r="AD307" s="319"/>
      <c r="AE307" s="220"/>
      <c r="AF307" s="320"/>
      <c r="AG307" s="205"/>
      <c r="AH307" s="205"/>
      <c r="AI307" s="205"/>
      <c r="AJ307" s="205"/>
      <c r="AK307" s="205"/>
      <c r="AL307" s="205"/>
      <c r="AM307" s="205"/>
      <c r="AN307" s="205"/>
      <c r="AO307" s="205"/>
      <c r="AP307" s="205"/>
      <c r="AQ307" s="205"/>
      <c r="AR307" s="205"/>
      <c r="AS307" s="205"/>
      <c r="AT307" s="205"/>
      <c r="AU307" s="205"/>
      <c r="AV307" s="205"/>
      <c r="AW307" s="205"/>
      <c r="AX307" s="205"/>
      <c r="AY307" s="205"/>
      <c r="AZ307" s="205"/>
      <c r="BA307" s="205"/>
      <c r="BB307" s="205"/>
      <c r="BC307" s="205"/>
      <c r="BD307" s="205"/>
      <c r="BE307" s="205"/>
      <c r="BF307" s="205"/>
      <c r="BG307" s="205"/>
      <c r="BH307" s="205"/>
      <c r="BI307" s="319"/>
    </row>
    <row r="308" spans="3:61" ht="15" customHeight="1">
      <c r="C308" s="325"/>
      <c r="D308" s="326"/>
      <c r="E308" s="311"/>
      <c r="F308" s="311"/>
      <c r="G308" s="311"/>
      <c r="H308" s="311"/>
      <c r="I308" s="311"/>
      <c r="J308" s="317"/>
      <c r="K308" s="312"/>
      <c r="L308" s="312"/>
      <c r="M308" s="312"/>
      <c r="N308" s="312"/>
      <c r="O308" s="312"/>
      <c r="P308" s="322" t="str">
        <f t="shared" si="14"/>
        <v/>
      </c>
      <c r="Q308" s="208" t="str">
        <f t="shared" si="12"/>
        <v/>
      </c>
      <c r="R308" s="208"/>
      <c r="S308" s="323" t="str">
        <f t="shared" si="13"/>
        <v/>
      </c>
      <c r="U308" s="322"/>
      <c r="V308" s="791"/>
      <c r="W308" s="792"/>
      <c r="X308" s="480"/>
      <c r="Y308" s="480"/>
      <c r="Z308" s="480"/>
      <c r="AA308" s="323"/>
      <c r="AB308" s="220"/>
      <c r="AC308" s="322"/>
      <c r="AD308" s="323"/>
      <c r="AE308" s="220"/>
      <c r="AF308" s="324"/>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208"/>
      <c r="BB308" s="208"/>
      <c r="BC308" s="208"/>
      <c r="BD308" s="208"/>
      <c r="BE308" s="208"/>
      <c r="BF308" s="208"/>
      <c r="BG308" s="208"/>
      <c r="BH308" s="208"/>
      <c r="BI308" s="323"/>
    </row>
    <row r="309" spans="3:61" ht="15" customHeight="1">
      <c r="C309" s="325"/>
      <c r="D309" s="326"/>
      <c r="E309" s="311"/>
      <c r="F309" s="311"/>
      <c r="G309" s="311"/>
      <c r="H309" s="311"/>
      <c r="I309" s="311"/>
      <c r="J309" s="317"/>
      <c r="K309" s="312"/>
      <c r="L309" s="312"/>
      <c r="M309" s="312"/>
      <c r="N309" s="312"/>
      <c r="O309" s="312"/>
      <c r="P309" s="318" t="str">
        <f t="shared" si="14"/>
        <v/>
      </c>
      <c r="Q309" s="205" t="str">
        <f t="shared" si="12"/>
        <v/>
      </c>
      <c r="R309" s="205"/>
      <c r="S309" s="319" t="str">
        <f t="shared" si="13"/>
        <v/>
      </c>
      <c r="U309" s="318"/>
      <c r="V309" s="794"/>
      <c r="W309" s="795"/>
      <c r="X309" s="482"/>
      <c r="Y309" s="482"/>
      <c r="Z309" s="482"/>
      <c r="AA309" s="319"/>
      <c r="AB309" s="220"/>
      <c r="AC309" s="318"/>
      <c r="AD309" s="319"/>
      <c r="AE309" s="220"/>
      <c r="AF309" s="320"/>
      <c r="AG309" s="205"/>
      <c r="AH309" s="205"/>
      <c r="AI309" s="205"/>
      <c r="AJ309" s="205"/>
      <c r="AK309" s="205"/>
      <c r="AL309" s="205"/>
      <c r="AM309" s="205"/>
      <c r="AN309" s="205"/>
      <c r="AO309" s="205"/>
      <c r="AP309" s="205"/>
      <c r="AQ309" s="205"/>
      <c r="AR309" s="205"/>
      <c r="AS309" s="205"/>
      <c r="AT309" s="205"/>
      <c r="AU309" s="205"/>
      <c r="AV309" s="205"/>
      <c r="AW309" s="205"/>
      <c r="AX309" s="205"/>
      <c r="AY309" s="205"/>
      <c r="AZ309" s="205"/>
      <c r="BA309" s="205"/>
      <c r="BB309" s="205"/>
      <c r="BC309" s="205"/>
      <c r="BD309" s="205"/>
      <c r="BE309" s="205"/>
      <c r="BF309" s="205"/>
      <c r="BG309" s="205"/>
      <c r="BH309" s="205"/>
      <c r="BI309" s="319"/>
    </row>
    <row r="310" spans="3:61" ht="15" customHeight="1">
      <c r="C310" s="325"/>
      <c r="D310" s="326"/>
      <c r="E310" s="311"/>
      <c r="F310" s="311"/>
      <c r="G310" s="311"/>
      <c r="H310" s="311"/>
      <c r="I310" s="311"/>
      <c r="J310" s="317"/>
      <c r="K310" s="312"/>
      <c r="L310" s="312"/>
      <c r="M310" s="312"/>
      <c r="N310" s="312"/>
      <c r="O310" s="312"/>
      <c r="P310" s="322" t="str">
        <f t="shared" si="14"/>
        <v/>
      </c>
      <c r="Q310" s="208" t="str">
        <f t="shared" si="12"/>
        <v/>
      </c>
      <c r="R310" s="208"/>
      <c r="S310" s="323" t="str">
        <f t="shared" si="13"/>
        <v/>
      </c>
      <c r="U310" s="322"/>
      <c r="V310" s="791"/>
      <c r="W310" s="792"/>
      <c r="X310" s="480"/>
      <c r="Y310" s="480"/>
      <c r="Z310" s="480"/>
      <c r="AA310" s="323"/>
      <c r="AB310" s="220"/>
      <c r="AC310" s="322"/>
      <c r="AD310" s="323"/>
      <c r="AE310" s="220"/>
      <c r="AF310" s="324"/>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208"/>
      <c r="BB310" s="208"/>
      <c r="BC310" s="208"/>
      <c r="BD310" s="208"/>
      <c r="BE310" s="208"/>
      <c r="BF310" s="208"/>
      <c r="BG310" s="208"/>
      <c r="BH310" s="208"/>
      <c r="BI310" s="323"/>
    </row>
    <row r="311" spans="3:61" ht="15" customHeight="1">
      <c r="C311" s="325"/>
      <c r="D311" s="326"/>
      <c r="E311" s="311"/>
      <c r="F311" s="311"/>
      <c r="G311" s="311"/>
      <c r="H311" s="311"/>
      <c r="I311" s="311"/>
      <c r="J311" s="317"/>
      <c r="K311" s="312"/>
      <c r="L311" s="312"/>
      <c r="M311" s="312"/>
      <c r="N311" s="312"/>
      <c r="O311" s="312"/>
      <c r="P311" s="318" t="str">
        <f t="shared" si="14"/>
        <v/>
      </c>
      <c r="Q311" s="205" t="str">
        <f t="shared" si="12"/>
        <v/>
      </c>
      <c r="R311" s="205"/>
      <c r="S311" s="319" t="str">
        <f t="shared" si="13"/>
        <v/>
      </c>
      <c r="U311" s="318"/>
      <c r="V311" s="794"/>
      <c r="W311" s="795"/>
      <c r="X311" s="482"/>
      <c r="Y311" s="482"/>
      <c r="Z311" s="482"/>
      <c r="AA311" s="319"/>
      <c r="AB311" s="220"/>
      <c r="AC311" s="318"/>
      <c r="AD311" s="319"/>
      <c r="AE311" s="220"/>
      <c r="AF311" s="320"/>
      <c r="AG311" s="205"/>
      <c r="AH311" s="205"/>
      <c r="AI311" s="205"/>
      <c r="AJ311" s="205"/>
      <c r="AK311" s="205"/>
      <c r="AL311" s="205"/>
      <c r="AM311" s="205"/>
      <c r="AN311" s="205"/>
      <c r="AO311" s="205"/>
      <c r="AP311" s="205"/>
      <c r="AQ311" s="205"/>
      <c r="AR311" s="205"/>
      <c r="AS311" s="205"/>
      <c r="AT311" s="205"/>
      <c r="AU311" s="205"/>
      <c r="AV311" s="205"/>
      <c r="AW311" s="205"/>
      <c r="AX311" s="205"/>
      <c r="AY311" s="205"/>
      <c r="AZ311" s="205"/>
      <c r="BA311" s="205"/>
      <c r="BB311" s="205"/>
      <c r="BC311" s="205"/>
      <c r="BD311" s="205"/>
      <c r="BE311" s="205"/>
      <c r="BF311" s="205"/>
      <c r="BG311" s="205"/>
      <c r="BH311" s="205"/>
      <c r="BI311" s="319"/>
    </row>
    <row r="312" spans="3:61" ht="15" customHeight="1">
      <c r="C312" s="325"/>
      <c r="D312" s="326"/>
      <c r="E312" s="311"/>
      <c r="F312" s="311"/>
      <c r="G312" s="311"/>
      <c r="H312" s="311"/>
      <c r="I312" s="311"/>
      <c r="J312" s="317"/>
      <c r="K312" s="312"/>
      <c r="L312" s="312"/>
      <c r="M312" s="312"/>
      <c r="N312" s="312"/>
      <c r="O312" s="312"/>
      <c r="P312" s="322" t="str">
        <f t="shared" si="14"/>
        <v/>
      </c>
      <c r="Q312" s="208" t="str">
        <f t="shared" si="12"/>
        <v/>
      </c>
      <c r="R312" s="208"/>
      <c r="S312" s="323" t="str">
        <f t="shared" si="13"/>
        <v/>
      </c>
      <c r="U312" s="322"/>
      <c r="V312" s="791"/>
      <c r="W312" s="792"/>
      <c r="X312" s="480"/>
      <c r="Y312" s="480"/>
      <c r="Z312" s="480"/>
      <c r="AA312" s="323"/>
      <c r="AB312" s="220"/>
      <c r="AC312" s="322"/>
      <c r="AD312" s="323"/>
      <c r="AE312" s="220"/>
      <c r="AF312" s="324"/>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208"/>
      <c r="BB312" s="208"/>
      <c r="BC312" s="208"/>
      <c r="BD312" s="208"/>
      <c r="BE312" s="208"/>
      <c r="BF312" s="208"/>
      <c r="BG312" s="208"/>
      <c r="BH312" s="208"/>
      <c r="BI312" s="323"/>
    </row>
    <row r="313" spans="3:61" ht="15" customHeight="1">
      <c r="C313" s="325"/>
      <c r="D313" s="326"/>
      <c r="E313" s="311"/>
      <c r="F313" s="311"/>
      <c r="G313" s="311"/>
      <c r="H313" s="311"/>
      <c r="I313" s="311"/>
      <c r="J313" s="317"/>
      <c r="K313" s="312"/>
      <c r="L313" s="312"/>
      <c r="M313" s="312"/>
      <c r="N313" s="312"/>
      <c r="O313" s="312"/>
      <c r="P313" s="318" t="str">
        <f t="shared" si="14"/>
        <v/>
      </c>
      <c r="Q313" s="205" t="str">
        <f t="shared" si="12"/>
        <v/>
      </c>
      <c r="R313" s="205"/>
      <c r="S313" s="319" t="str">
        <f t="shared" si="13"/>
        <v/>
      </c>
      <c r="U313" s="318"/>
      <c r="V313" s="794"/>
      <c r="W313" s="795"/>
      <c r="X313" s="482"/>
      <c r="Y313" s="482"/>
      <c r="Z313" s="482"/>
      <c r="AA313" s="319"/>
      <c r="AB313" s="220"/>
      <c r="AC313" s="318"/>
      <c r="AD313" s="319"/>
      <c r="AE313" s="220"/>
      <c r="AF313" s="320"/>
      <c r="AG313" s="205"/>
      <c r="AH313" s="205"/>
      <c r="AI313" s="205"/>
      <c r="AJ313" s="205"/>
      <c r="AK313" s="205"/>
      <c r="AL313" s="205"/>
      <c r="AM313" s="205"/>
      <c r="AN313" s="205"/>
      <c r="AO313" s="205"/>
      <c r="AP313" s="205"/>
      <c r="AQ313" s="205"/>
      <c r="AR313" s="205"/>
      <c r="AS313" s="205"/>
      <c r="AT313" s="205"/>
      <c r="AU313" s="205"/>
      <c r="AV313" s="205"/>
      <c r="AW313" s="205"/>
      <c r="AX313" s="205"/>
      <c r="AY313" s="205"/>
      <c r="AZ313" s="205"/>
      <c r="BA313" s="205"/>
      <c r="BB313" s="205"/>
      <c r="BC313" s="205"/>
      <c r="BD313" s="205"/>
      <c r="BE313" s="205"/>
      <c r="BF313" s="205"/>
      <c r="BG313" s="205"/>
      <c r="BH313" s="205"/>
      <c r="BI313" s="319"/>
    </row>
    <row r="314" spans="3:61" ht="15" customHeight="1">
      <c r="C314" s="325"/>
      <c r="D314" s="326"/>
      <c r="E314" s="311"/>
      <c r="F314" s="311"/>
      <c r="G314" s="311"/>
      <c r="H314" s="311"/>
      <c r="I314" s="311"/>
      <c r="J314" s="317"/>
      <c r="K314" s="312"/>
      <c r="L314" s="312"/>
      <c r="M314" s="312"/>
      <c r="N314" s="312"/>
      <c r="O314" s="312"/>
      <c r="P314" s="322" t="str">
        <f t="shared" si="14"/>
        <v/>
      </c>
      <c r="Q314" s="208" t="str">
        <f t="shared" si="12"/>
        <v/>
      </c>
      <c r="R314" s="208"/>
      <c r="S314" s="323" t="str">
        <f t="shared" si="13"/>
        <v/>
      </c>
      <c r="U314" s="322"/>
      <c r="V314" s="791"/>
      <c r="W314" s="792"/>
      <c r="X314" s="480"/>
      <c r="Y314" s="480"/>
      <c r="Z314" s="480"/>
      <c r="AA314" s="323"/>
      <c r="AB314" s="220"/>
      <c r="AC314" s="322"/>
      <c r="AD314" s="323"/>
      <c r="AE314" s="220"/>
      <c r="AF314" s="324"/>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208"/>
      <c r="BB314" s="208"/>
      <c r="BC314" s="208"/>
      <c r="BD314" s="208"/>
      <c r="BE314" s="208"/>
      <c r="BF314" s="208"/>
      <c r="BG314" s="208"/>
      <c r="BH314" s="208"/>
      <c r="BI314" s="323"/>
    </row>
    <row r="315" spans="3:61" ht="15" customHeight="1">
      <c r="C315" s="325"/>
      <c r="D315" s="326"/>
      <c r="E315" s="311"/>
      <c r="F315" s="311"/>
      <c r="G315" s="311"/>
      <c r="H315" s="311"/>
      <c r="I315" s="311"/>
      <c r="J315" s="317"/>
      <c r="K315" s="312"/>
      <c r="L315" s="312"/>
      <c r="M315" s="312"/>
      <c r="N315" s="312"/>
      <c r="O315" s="312"/>
      <c r="P315" s="318" t="str">
        <f t="shared" si="14"/>
        <v/>
      </c>
      <c r="Q315" s="205" t="str">
        <f t="shared" si="12"/>
        <v/>
      </c>
      <c r="R315" s="205"/>
      <c r="S315" s="319" t="str">
        <f t="shared" si="13"/>
        <v/>
      </c>
      <c r="U315" s="318"/>
      <c r="V315" s="794"/>
      <c r="W315" s="795"/>
      <c r="X315" s="482"/>
      <c r="Y315" s="482"/>
      <c r="Z315" s="482"/>
      <c r="AA315" s="319"/>
      <c r="AB315" s="220"/>
      <c r="AC315" s="318"/>
      <c r="AD315" s="319"/>
      <c r="AE315" s="220"/>
      <c r="AF315" s="320"/>
      <c r="AG315" s="205"/>
      <c r="AH315" s="205"/>
      <c r="AI315" s="205"/>
      <c r="AJ315" s="205"/>
      <c r="AK315" s="205"/>
      <c r="AL315" s="205"/>
      <c r="AM315" s="205"/>
      <c r="AN315" s="205"/>
      <c r="AO315" s="205"/>
      <c r="AP315" s="205"/>
      <c r="AQ315" s="205"/>
      <c r="AR315" s="205"/>
      <c r="AS315" s="205"/>
      <c r="AT315" s="205"/>
      <c r="AU315" s="205"/>
      <c r="AV315" s="205"/>
      <c r="AW315" s="205"/>
      <c r="AX315" s="205"/>
      <c r="AY315" s="205"/>
      <c r="AZ315" s="205"/>
      <c r="BA315" s="205"/>
      <c r="BB315" s="205"/>
      <c r="BC315" s="205"/>
      <c r="BD315" s="205"/>
      <c r="BE315" s="205"/>
      <c r="BF315" s="205"/>
      <c r="BG315" s="205"/>
      <c r="BH315" s="205"/>
      <c r="BI315" s="319"/>
    </row>
    <row r="316" spans="3:61" ht="15" customHeight="1">
      <c r="C316" s="325"/>
      <c r="D316" s="326"/>
      <c r="E316" s="311"/>
      <c r="F316" s="311"/>
      <c r="G316" s="311"/>
      <c r="H316" s="311"/>
      <c r="I316" s="311"/>
      <c r="J316" s="317"/>
      <c r="K316" s="312"/>
      <c r="L316" s="312"/>
      <c r="M316" s="312"/>
      <c r="N316" s="312"/>
      <c r="O316" s="312"/>
      <c r="P316" s="322" t="str">
        <f t="shared" si="14"/>
        <v/>
      </c>
      <c r="Q316" s="208" t="str">
        <f t="shared" si="12"/>
        <v/>
      </c>
      <c r="R316" s="208"/>
      <c r="S316" s="323" t="str">
        <f t="shared" si="13"/>
        <v/>
      </c>
      <c r="U316" s="322"/>
      <c r="V316" s="791"/>
      <c r="W316" s="792"/>
      <c r="X316" s="480"/>
      <c r="Y316" s="480"/>
      <c r="Z316" s="480"/>
      <c r="AA316" s="323"/>
      <c r="AB316" s="220"/>
      <c r="AC316" s="322"/>
      <c r="AD316" s="323"/>
      <c r="AE316" s="220"/>
      <c r="AF316" s="324"/>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208"/>
      <c r="BB316" s="208"/>
      <c r="BC316" s="208"/>
      <c r="BD316" s="208"/>
      <c r="BE316" s="208"/>
      <c r="BF316" s="208"/>
      <c r="BG316" s="208"/>
      <c r="BH316" s="208"/>
      <c r="BI316" s="323"/>
    </row>
    <row r="317" spans="3:61" ht="15" customHeight="1">
      <c r="C317" s="325"/>
      <c r="D317" s="326"/>
      <c r="E317" s="311"/>
      <c r="F317" s="311"/>
      <c r="G317" s="311"/>
      <c r="H317" s="311"/>
      <c r="I317" s="311"/>
      <c r="J317" s="317"/>
      <c r="K317" s="312"/>
      <c r="L317" s="312"/>
      <c r="M317" s="312"/>
      <c r="N317" s="312"/>
      <c r="O317" s="312"/>
      <c r="P317" s="318" t="str">
        <f t="shared" si="14"/>
        <v/>
      </c>
      <c r="Q317" s="205" t="str">
        <f t="shared" si="12"/>
        <v/>
      </c>
      <c r="R317" s="205"/>
      <c r="S317" s="319" t="str">
        <f t="shared" si="13"/>
        <v/>
      </c>
      <c r="U317" s="318"/>
      <c r="V317" s="794"/>
      <c r="W317" s="795"/>
      <c r="X317" s="482"/>
      <c r="Y317" s="482"/>
      <c r="Z317" s="482"/>
      <c r="AA317" s="319"/>
      <c r="AB317" s="220"/>
      <c r="AC317" s="318"/>
      <c r="AD317" s="319"/>
      <c r="AE317" s="220"/>
      <c r="AF317" s="320"/>
      <c r="AG317" s="205"/>
      <c r="AH317" s="205"/>
      <c r="AI317" s="205"/>
      <c r="AJ317" s="205"/>
      <c r="AK317" s="205"/>
      <c r="AL317" s="205"/>
      <c r="AM317" s="205"/>
      <c r="AN317" s="205"/>
      <c r="AO317" s="205"/>
      <c r="AP317" s="205"/>
      <c r="AQ317" s="205"/>
      <c r="AR317" s="205"/>
      <c r="AS317" s="205"/>
      <c r="AT317" s="205"/>
      <c r="AU317" s="205"/>
      <c r="AV317" s="205"/>
      <c r="AW317" s="205"/>
      <c r="AX317" s="205"/>
      <c r="AY317" s="205"/>
      <c r="AZ317" s="205"/>
      <c r="BA317" s="205"/>
      <c r="BB317" s="205"/>
      <c r="BC317" s="205"/>
      <c r="BD317" s="205"/>
      <c r="BE317" s="205"/>
      <c r="BF317" s="205"/>
      <c r="BG317" s="205"/>
      <c r="BH317" s="205"/>
      <c r="BI317" s="319"/>
    </row>
    <row r="318" spans="3:61" ht="15" customHeight="1">
      <c r="C318" s="325"/>
      <c r="D318" s="326"/>
      <c r="E318" s="311"/>
      <c r="F318" s="311"/>
      <c r="G318" s="311"/>
      <c r="H318" s="311"/>
      <c r="I318" s="311"/>
      <c r="J318" s="317"/>
      <c r="K318" s="312"/>
      <c r="L318" s="312"/>
      <c r="M318" s="312"/>
      <c r="N318" s="312"/>
      <c r="O318" s="312"/>
      <c r="P318" s="322" t="str">
        <f t="shared" si="14"/>
        <v/>
      </c>
      <c r="Q318" s="208" t="str">
        <f t="shared" si="12"/>
        <v/>
      </c>
      <c r="R318" s="208"/>
      <c r="S318" s="323" t="str">
        <f t="shared" si="13"/>
        <v/>
      </c>
      <c r="U318" s="322"/>
      <c r="V318" s="791"/>
      <c r="W318" s="792"/>
      <c r="X318" s="480"/>
      <c r="Y318" s="480"/>
      <c r="Z318" s="480"/>
      <c r="AA318" s="323"/>
      <c r="AB318" s="220"/>
      <c r="AC318" s="322"/>
      <c r="AD318" s="323"/>
      <c r="AE318" s="220"/>
      <c r="AF318" s="324"/>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208"/>
      <c r="BB318" s="208"/>
      <c r="BC318" s="208"/>
      <c r="BD318" s="208"/>
      <c r="BE318" s="208"/>
      <c r="BF318" s="208"/>
      <c r="BG318" s="208"/>
      <c r="BH318" s="208"/>
      <c r="BI318" s="323"/>
    </row>
    <row r="319" spans="3:61" ht="15" customHeight="1">
      <c r="C319" s="325"/>
      <c r="D319" s="326"/>
      <c r="E319" s="311"/>
      <c r="F319" s="311"/>
      <c r="G319" s="311"/>
      <c r="H319" s="311"/>
      <c r="I319" s="311"/>
      <c r="J319" s="317"/>
      <c r="K319" s="312"/>
      <c r="L319" s="312"/>
      <c r="M319" s="312"/>
      <c r="N319" s="312"/>
      <c r="O319" s="312"/>
      <c r="P319" s="318" t="str">
        <f t="shared" si="14"/>
        <v/>
      </c>
      <c r="Q319" s="205" t="str">
        <f t="shared" si="12"/>
        <v/>
      </c>
      <c r="R319" s="205"/>
      <c r="S319" s="319" t="str">
        <f t="shared" si="13"/>
        <v/>
      </c>
      <c r="U319" s="318"/>
      <c r="V319" s="794"/>
      <c r="W319" s="795"/>
      <c r="X319" s="482"/>
      <c r="Y319" s="482"/>
      <c r="Z319" s="482"/>
      <c r="AA319" s="319"/>
      <c r="AB319" s="220"/>
      <c r="AC319" s="318"/>
      <c r="AD319" s="319"/>
      <c r="AE319" s="220"/>
      <c r="AF319" s="320"/>
      <c r="AG319" s="205"/>
      <c r="AH319" s="205"/>
      <c r="AI319" s="205"/>
      <c r="AJ319" s="205"/>
      <c r="AK319" s="205"/>
      <c r="AL319" s="205"/>
      <c r="AM319" s="205"/>
      <c r="AN319" s="205"/>
      <c r="AO319" s="205"/>
      <c r="AP319" s="205"/>
      <c r="AQ319" s="205"/>
      <c r="AR319" s="205"/>
      <c r="AS319" s="205"/>
      <c r="AT319" s="205"/>
      <c r="AU319" s="205"/>
      <c r="AV319" s="205"/>
      <c r="AW319" s="205"/>
      <c r="AX319" s="205"/>
      <c r="AY319" s="205"/>
      <c r="AZ319" s="205"/>
      <c r="BA319" s="205"/>
      <c r="BB319" s="205"/>
      <c r="BC319" s="205"/>
      <c r="BD319" s="205"/>
      <c r="BE319" s="205"/>
      <c r="BF319" s="205"/>
      <c r="BG319" s="205"/>
      <c r="BH319" s="205"/>
      <c r="BI319" s="319"/>
    </row>
    <row r="320" spans="3:61" ht="15" customHeight="1">
      <c r="C320" s="325"/>
      <c r="D320" s="326"/>
      <c r="E320" s="311"/>
      <c r="F320" s="311"/>
      <c r="G320" s="311"/>
      <c r="H320" s="311"/>
      <c r="I320" s="311"/>
      <c r="J320" s="317"/>
      <c r="K320" s="312"/>
      <c r="L320" s="312"/>
      <c r="M320" s="312"/>
      <c r="N320" s="312"/>
      <c r="O320" s="312"/>
      <c r="P320" s="322" t="str">
        <f t="shared" si="14"/>
        <v/>
      </c>
      <c r="Q320" s="208" t="str">
        <f t="shared" si="12"/>
        <v/>
      </c>
      <c r="R320" s="208"/>
      <c r="S320" s="323" t="str">
        <f t="shared" si="13"/>
        <v/>
      </c>
      <c r="U320" s="322"/>
      <c r="V320" s="791"/>
      <c r="W320" s="792"/>
      <c r="X320" s="480"/>
      <c r="Y320" s="480"/>
      <c r="Z320" s="480"/>
      <c r="AA320" s="323"/>
      <c r="AB320" s="220"/>
      <c r="AC320" s="322"/>
      <c r="AD320" s="323"/>
      <c r="AE320" s="220"/>
      <c r="AF320" s="324"/>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208"/>
      <c r="BB320" s="208"/>
      <c r="BC320" s="208"/>
      <c r="BD320" s="208"/>
      <c r="BE320" s="208"/>
      <c r="BF320" s="208"/>
      <c r="BG320" s="208"/>
      <c r="BH320" s="208"/>
      <c r="BI320" s="323"/>
    </row>
    <row r="321" spans="3:61" ht="15" customHeight="1">
      <c r="C321" s="325"/>
      <c r="D321" s="326"/>
      <c r="E321" s="311"/>
      <c r="F321" s="311"/>
      <c r="G321" s="311"/>
      <c r="H321" s="311"/>
      <c r="I321" s="311"/>
      <c r="J321" s="317"/>
      <c r="K321" s="312"/>
      <c r="L321" s="312"/>
      <c r="M321" s="312"/>
      <c r="N321" s="312"/>
      <c r="O321" s="312"/>
      <c r="P321" s="318" t="str">
        <f t="shared" si="14"/>
        <v/>
      </c>
      <c r="Q321" s="205" t="str">
        <f t="shared" si="12"/>
        <v/>
      </c>
      <c r="R321" s="205"/>
      <c r="S321" s="319" t="str">
        <f t="shared" si="13"/>
        <v/>
      </c>
      <c r="U321" s="318"/>
      <c r="V321" s="794"/>
      <c r="W321" s="795"/>
      <c r="X321" s="482"/>
      <c r="Y321" s="482"/>
      <c r="Z321" s="482"/>
      <c r="AA321" s="319"/>
      <c r="AB321" s="220"/>
      <c r="AC321" s="318"/>
      <c r="AD321" s="319"/>
      <c r="AE321" s="220"/>
      <c r="AF321" s="320"/>
      <c r="AG321" s="205"/>
      <c r="AH321" s="205"/>
      <c r="AI321" s="205"/>
      <c r="AJ321" s="205"/>
      <c r="AK321" s="205"/>
      <c r="AL321" s="205"/>
      <c r="AM321" s="205"/>
      <c r="AN321" s="205"/>
      <c r="AO321" s="205"/>
      <c r="AP321" s="205"/>
      <c r="AQ321" s="205"/>
      <c r="AR321" s="205"/>
      <c r="AS321" s="205"/>
      <c r="AT321" s="205"/>
      <c r="AU321" s="205"/>
      <c r="AV321" s="205"/>
      <c r="AW321" s="205"/>
      <c r="AX321" s="205"/>
      <c r="AY321" s="205"/>
      <c r="AZ321" s="205"/>
      <c r="BA321" s="205"/>
      <c r="BB321" s="205"/>
      <c r="BC321" s="205"/>
      <c r="BD321" s="205"/>
      <c r="BE321" s="205"/>
      <c r="BF321" s="205"/>
      <c r="BG321" s="205"/>
      <c r="BH321" s="205"/>
      <c r="BI321" s="319"/>
    </row>
    <row r="322" spans="3:61" ht="15" customHeight="1">
      <c r="C322" s="325"/>
      <c r="D322" s="326"/>
      <c r="E322" s="311"/>
      <c r="F322" s="311"/>
      <c r="G322" s="311"/>
      <c r="H322" s="311"/>
      <c r="I322" s="311"/>
      <c r="J322" s="317"/>
      <c r="K322" s="312"/>
      <c r="L322" s="312"/>
      <c r="M322" s="312"/>
      <c r="N322" s="312"/>
      <c r="O322" s="312"/>
      <c r="P322" s="322" t="str">
        <f t="shared" si="14"/>
        <v/>
      </c>
      <c r="Q322" s="208" t="str">
        <f t="shared" si="12"/>
        <v/>
      </c>
      <c r="R322" s="208"/>
      <c r="S322" s="323" t="str">
        <f t="shared" si="13"/>
        <v/>
      </c>
      <c r="U322" s="322"/>
      <c r="V322" s="791"/>
      <c r="W322" s="792"/>
      <c r="X322" s="480"/>
      <c r="Y322" s="480"/>
      <c r="Z322" s="480"/>
      <c r="AA322" s="323"/>
      <c r="AB322" s="220"/>
      <c r="AC322" s="322"/>
      <c r="AD322" s="323"/>
      <c r="AE322" s="220"/>
      <c r="AF322" s="324"/>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208"/>
      <c r="BB322" s="208"/>
      <c r="BC322" s="208"/>
      <c r="BD322" s="208"/>
      <c r="BE322" s="208"/>
      <c r="BF322" s="208"/>
      <c r="BG322" s="208"/>
      <c r="BH322" s="208"/>
      <c r="BI322" s="323"/>
    </row>
    <row r="323" spans="3:61" ht="15" customHeight="1">
      <c r="C323" s="325"/>
      <c r="D323" s="326"/>
      <c r="E323" s="311"/>
      <c r="F323" s="311"/>
      <c r="G323" s="311"/>
      <c r="H323" s="311"/>
      <c r="I323" s="311"/>
      <c r="J323" s="317"/>
      <c r="K323" s="312"/>
      <c r="L323" s="312"/>
      <c r="M323" s="312"/>
      <c r="N323" s="312"/>
      <c r="O323" s="312"/>
      <c r="P323" s="318" t="str">
        <f t="shared" si="14"/>
        <v/>
      </c>
      <c r="Q323" s="205" t="str">
        <f t="shared" si="12"/>
        <v/>
      </c>
      <c r="R323" s="205"/>
      <c r="S323" s="319" t="str">
        <f t="shared" si="13"/>
        <v/>
      </c>
      <c r="U323" s="318"/>
      <c r="V323" s="794"/>
      <c r="W323" s="795"/>
      <c r="X323" s="482"/>
      <c r="Y323" s="482"/>
      <c r="Z323" s="482"/>
      <c r="AA323" s="319"/>
      <c r="AB323" s="220"/>
      <c r="AC323" s="318"/>
      <c r="AD323" s="319"/>
      <c r="AE323" s="220"/>
      <c r="AF323" s="320"/>
      <c r="AG323" s="205"/>
      <c r="AH323" s="205"/>
      <c r="AI323" s="205"/>
      <c r="AJ323" s="205"/>
      <c r="AK323" s="205"/>
      <c r="AL323" s="205"/>
      <c r="AM323" s="205"/>
      <c r="AN323" s="205"/>
      <c r="AO323" s="205"/>
      <c r="AP323" s="205"/>
      <c r="AQ323" s="205"/>
      <c r="AR323" s="205"/>
      <c r="AS323" s="205"/>
      <c r="AT323" s="205"/>
      <c r="AU323" s="205"/>
      <c r="AV323" s="205"/>
      <c r="AW323" s="205"/>
      <c r="AX323" s="205"/>
      <c r="AY323" s="205"/>
      <c r="AZ323" s="205"/>
      <c r="BA323" s="205"/>
      <c r="BB323" s="205"/>
      <c r="BC323" s="205"/>
      <c r="BD323" s="205"/>
      <c r="BE323" s="205"/>
      <c r="BF323" s="205"/>
      <c r="BG323" s="205"/>
      <c r="BH323" s="205"/>
      <c r="BI323" s="319"/>
    </row>
    <row r="324" spans="3:61" ht="15" customHeight="1">
      <c r="C324" s="325"/>
      <c r="D324" s="326"/>
      <c r="E324" s="311"/>
      <c r="F324" s="311"/>
      <c r="G324" s="311"/>
      <c r="H324" s="311"/>
      <c r="I324" s="311"/>
      <c r="J324" s="317"/>
      <c r="K324" s="312"/>
      <c r="L324" s="312"/>
      <c r="M324" s="312"/>
      <c r="N324" s="312"/>
      <c r="O324" s="312"/>
      <c r="P324" s="322" t="str">
        <f t="shared" si="14"/>
        <v/>
      </c>
      <c r="Q324" s="208" t="str">
        <f t="shared" si="12"/>
        <v/>
      </c>
      <c r="R324" s="208"/>
      <c r="S324" s="323" t="str">
        <f t="shared" si="13"/>
        <v/>
      </c>
      <c r="U324" s="322"/>
      <c r="V324" s="791"/>
      <c r="W324" s="792"/>
      <c r="X324" s="480"/>
      <c r="Y324" s="480"/>
      <c r="Z324" s="480"/>
      <c r="AA324" s="323"/>
      <c r="AB324" s="220"/>
      <c r="AC324" s="322"/>
      <c r="AD324" s="323"/>
      <c r="AE324" s="220"/>
      <c r="AF324" s="324"/>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208"/>
      <c r="BB324" s="208"/>
      <c r="BC324" s="208"/>
      <c r="BD324" s="208"/>
      <c r="BE324" s="208"/>
      <c r="BF324" s="208"/>
      <c r="BG324" s="208"/>
      <c r="BH324" s="208"/>
      <c r="BI324" s="323"/>
    </row>
    <row r="325" spans="3:61" ht="15" customHeight="1">
      <c r="C325" s="325"/>
      <c r="D325" s="326"/>
      <c r="E325" s="311"/>
      <c r="F325" s="311"/>
      <c r="G325" s="311"/>
      <c r="H325" s="311"/>
      <c r="I325" s="311"/>
      <c r="J325" s="317"/>
      <c r="K325" s="312"/>
      <c r="L325" s="312"/>
      <c r="M325" s="312"/>
      <c r="N325" s="312"/>
      <c r="O325" s="312"/>
      <c r="P325" s="318" t="str">
        <f t="shared" si="14"/>
        <v/>
      </c>
      <c r="Q325" s="205" t="str">
        <f t="shared" si="12"/>
        <v/>
      </c>
      <c r="R325" s="205"/>
      <c r="S325" s="319" t="str">
        <f t="shared" si="13"/>
        <v/>
      </c>
      <c r="U325" s="318"/>
      <c r="V325" s="794"/>
      <c r="W325" s="795"/>
      <c r="X325" s="482"/>
      <c r="Y325" s="482"/>
      <c r="Z325" s="482"/>
      <c r="AA325" s="319"/>
      <c r="AB325" s="220"/>
      <c r="AC325" s="318"/>
      <c r="AD325" s="319"/>
      <c r="AE325" s="220"/>
      <c r="AF325" s="320"/>
      <c r="AG325" s="205"/>
      <c r="AH325" s="205"/>
      <c r="AI325" s="205"/>
      <c r="AJ325" s="205"/>
      <c r="AK325" s="205"/>
      <c r="AL325" s="205"/>
      <c r="AM325" s="205"/>
      <c r="AN325" s="205"/>
      <c r="AO325" s="205"/>
      <c r="AP325" s="205"/>
      <c r="AQ325" s="205"/>
      <c r="AR325" s="205"/>
      <c r="AS325" s="205"/>
      <c r="AT325" s="205"/>
      <c r="AU325" s="205"/>
      <c r="AV325" s="205"/>
      <c r="AW325" s="205"/>
      <c r="AX325" s="205"/>
      <c r="AY325" s="205"/>
      <c r="AZ325" s="205"/>
      <c r="BA325" s="205"/>
      <c r="BB325" s="205"/>
      <c r="BC325" s="205"/>
      <c r="BD325" s="205"/>
      <c r="BE325" s="205"/>
      <c r="BF325" s="205"/>
      <c r="BG325" s="205"/>
      <c r="BH325" s="205"/>
      <c r="BI325" s="319"/>
    </row>
    <row r="326" spans="3:61" ht="15" customHeight="1">
      <c r="C326" s="325"/>
      <c r="D326" s="326"/>
      <c r="E326" s="311"/>
      <c r="F326" s="311"/>
      <c r="G326" s="311"/>
      <c r="H326" s="311"/>
      <c r="I326" s="311"/>
      <c r="J326" s="317"/>
      <c r="K326" s="312"/>
      <c r="L326" s="312"/>
      <c r="M326" s="312"/>
      <c r="N326" s="312"/>
      <c r="O326" s="312"/>
      <c r="P326" s="322" t="str">
        <f t="shared" si="14"/>
        <v/>
      </c>
      <c r="Q326" s="208" t="str">
        <f t="shared" si="12"/>
        <v/>
      </c>
      <c r="R326" s="208"/>
      <c r="S326" s="323" t="str">
        <f t="shared" si="13"/>
        <v/>
      </c>
      <c r="U326" s="322"/>
      <c r="V326" s="791"/>
      <c r="W326" s="792"/>
      <c r="X326" s="480"/>
      <c r="Y326" s="480"/>
      <c r="Z326" s="480"/>
      <c r="AA326" s="323"/>
      <c r="AB326" s="220"/>
      <c r="AC326" s="322"/>
      <c r="AD326" s="323"/>
      <c r="AE326" s="220"/>
      <c r="AF326" s="324"/>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208"/>
      <c r="BB326" s="208"/>
      <c r="BC326" s="208"/>
      <c r="BD326" s="208"/>
      <c r="BE326" s="208"/>
      <c r="BF326" s="208"/>
      <c r="BG326" s="208"/>
      <c r="BH326" s="208"/>
      <c r="BI326" s="323"/>
    </row>
    <row r="327" spans="3:61" ht="15" customHeight="1">
      <c r="C327" s="325"/>
      <c r="D327" s="326"/>
      <c r="E327" s="311"/>
      <c r="F327" s="311"/>
      <c r="G327" s="311"/>
      <c r="H327" s="311"/>
      <c r="I327" s="311"/>
      <c r="J327" s="317"/>
      <c r="K327" s="312"/>
      <c r="L327" s="312"/>
      <c r="M327" s="312"/>
      <c r="N327" s="312"/>
      <c r="O327" s="312"/>
      <c r="P327" s="318" t="str">
        <f t="shared" si="14"/>
        <v/>
      </c>
      <c r="Q327" s="205" t="str">
        <f t="shared" si="12"/>
        <v/>
      </c>
      <c r="R327" s="205"/>
      <c r="S327" s="319" t="str">
        <f t="shared" si="13"/>
        <v/>
      </c>
      <c r="U327" s="318"/>
      <c r="V327" s="794"/>
      <c r="W327" s="795"/>
      <c r="X327" s="482"/>
      <c r="Y327" s="482"/>
      <c r="Z327" s="482"/>
      <c r="AA327" s="319"/>
      <c r="AB327" s="220"/>
      <c r="AC327" s="318"/>
      <c r="AD327" s="319"/>
      <c r="AE327" s="220"/>
      <c r="AF327" s="320"/>
      <c r="AG327" s="205"/>
      <c r="AH327" s="205"/>
      <c r="AI327" s="205"/>
      <c r="AJ327" s="205"/>
      <c r="AK327" s="205"/>
      <c r="AL327" s="205"/>
      <c r="AM327" s="205"/>
      <c r="AN327" s="205"/>
      <c r="AO327" s="205"/>
      <c r="AP327" s="205"/>
      <c r="AQ327" s="205"/>
      <c r="AR327" s="205"/>
      <c r="AS327" s="205"/>
      <c r="AT327" s="205"/>
      <c r="AU327" s="205"/>
      <c r="AV327" s="205"/>
      <c r="AW327" s="205"/>
      <c r="AX327" s="205"/>
      <c r="AY327" s="205"/>
      <c r="AZ327" s="205"/>
      <c r="BA327" s="205"/>
      <c r="BB327" s="205"/>
      <c r="BC327" s="205"/>
      <c r="BD327" s="205"/>
      <c r="BE327" s="205"/>
      <c r="BF327" s="205"/>
      <c r="BG327" s="205"/>
      <c r="BH327" s="205"/>
      <c r="BI327" s="319"/>
    </row>
    <row r="328" spans="3:61" ht="15" customHeight="1">
      <c r="C328" s="325"/>
      <c r="D328" s="326"/>
      <c r="E328" s="311"/>
      <c r="F328" s="311"/>
      <c r="G328" s="311"/>
      <c r="H328" s="311"/>
      <c r="I328" s="311"/>
      <c r="J328" s="317"/>
      <c r="K328" s="312"/>
      <c r="L328" s="312"/>
      <c r="M328" s="312"/>
      <c r="N328" s="312"/>
      <c r="O328" s="312"/>
      <c r="P328" s="322" t="str">
        <f t="shared" si="14"/>
        <v/>
      </c>
      <c r="Q328" s="208" t="str">
        <f t="shared" si="12"/>
        <v/>
      </c>
      <c r="R328" s="208"/>
      <c r="S328" s="323" t="str">
        <f t="shared" si="13"/>
        <v/>
      </c>
      <c r="U328" s="322"/>
      <c r="V328" s="791"/>
      <c r="W328" s="792"/>
      <c r="X328" s="480"/>
      <c r="Y328" s="480"/>
      <c r="Z328" s="480"/>
      <c r="AA328" s="323"/>
      <c r="AB328" s="220"/>
      <c r="AC328" s="322"/>
      <c r="AD328" s="323"/>
      <c r="AE328" s="220"/>
      <c r="AF328" s="324"/>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208"/>
      <c r="BB328" s="208"/>
      <c r="BC328" s="208"/>
      <c r="BD328" s="208"/>
      <c r="BE328" s="208"/>
      <c r="BF328" s="208"/>
      <c r="BG328" s="208"/>
      <c r="BH328" s="208"/>
      <c r="BI328" s="323"/>
    </row>
    <row r="329" spans="3:61" ht="15" customHeight="1">
      <c r="C329" s="325"/>
      <c r="D329" s="326"/>
      <c r="E329" s="311"/>
      <c r="F329" s="311"/>
      <c r="G329" s="311"/>
      <c r="H329" s="311"/>
      <c r="I329" s="311"/>
      <c r="J329" s="317"/>
      <c r="K329" s="312"/>
      <c r="L329" s="312"/>
      <c r="M329" s="312"/>
      <c r="N329" s="312"/>
      <c r="O329" s="312"/>
      <c r="P329" s="318" t="str">
        <f t="shared" si="14"/>
        <v/>
      </c>
      <c r="Q329" s="205" t="str">
        <f t="shared" si="12"/>
        <v/>
      </c>
      <c r="R329" s="205"/>
      <c r="S329" s="319" t="str">
        <f t="shared" si="13"/>
        <v/>
      </c>
      <c r="U329" s="318"/>
      <c r="V329" s="794"/>
      <c r="W329" s="795"/>
      <c r="X329" s="482"/>
      <c r="Y329" s="482"/>
      <c r="Z329" s="482"/>
      <c r="AA329" s="319"/>
      <c r="AB329" s="220"/>
      <c r="AC329" s="318"/>
      <c r="AD329" s="319"/>
      <c r="AE329" s="220"/>
      <c r="AF329" s="320"/>
      <c r="AG329" s="205"/>
      <c r="AH329" s="205"/>
      <c r="AI329" s="205"/>
      <c r="AJ329" s="205"/>
      <c r="AK329" s="205"/>
      <c r="AL329" s="205"/>
      <c r="AM329" s="205"/>
      <c r="AN329" s="205"/>
      <c r="AO329" s="205"/>
      <c r="AP329" s="205"/>
      <c r="AQ329" s="205"/>
      <c r="AR329" s="205"/>
      <c r="AS329" s="205"/>
      <c r="AT329" s="205"/>
      <c r="AU329" s="205"/>
      <c r="AV329" s="205"/>
      <c r="AW329" s="205"/>
      <c r="AX329" s="205"/>
      <c r="AY329" s="205"/>
      <c r="AZ329" s="205"/>
      <c r="BA329" s="205"/>
      <c r="BB329" s="205"/>
      <c r="BC329" s="205"/>
      <c r="BD329" s="205"/>
      <c r="BE329" s="205"/>
      <c r="BF329" s="205"/>
      <c r="BG329" s="205"/>
      <c r="BH329" s="205"/>
      <c r="BI329" s="319"/>
    </row>
    <row r="330" spans="3:61" ht="15" customHeight="1">
      <c r="C330" s="325"/>
      <c r="D330" s="326"/>
      <c r="E330" s="311"/>
      <c r="F330" s="311"/>
      <c r="G330" s="311"/>
      <c r="H330" s="311"/>
      <c r="I330" s="311"/>
      <c r="J330" s="317"/>
      <c r="K330" s="312"/>
      <c r="L330" s="312"/>
      <c r="M330" s="312"/>
      <c r="N330" s="312"/>
      <c r="O330" s="312"/>
      <c r="P330" s="322" t="str">
        <f t="shared" si="14"/>
        <v/>
      </c>
      <c r="Q330" s="208" t="str">
        <f t="shared" si="12"/>
        <v/>
      </c>
      <c r="R330" s="208"/>
      <c r="S330" s="323" t="str">
        <f t="shared" si="13"/>
        <v/>
      </c>
      <c r="U330" s="322"/>
      <c r="V330" s="791"/>
      <c r="W330" s="792"/>
      <c r="X330" s="480"/>
      <c r="Y330" s="480"/>
      <c r="Z330" s="480"/>
      <c r="AA330" s="323"/>
      <c r="AB330" s="220"/>
      <c r="AC330" s="322"/>
      <c r="AD330" s="323"/>
      <c r="AE330" s="220"/>
      <c r="AF330" s="324"/>
      <c r="AG330" s="208"/>
      <c r="AH330" s="208"/>
      <c r="AI330" s="208"/>
      <c r="AJ330" s="208"/>
      <c r="AK330" s="208"/>
      <c r="AL330" s="208"/>
      <c r="AM330" s="208"/>
      <c r="AN330" s="208"/>
      <c r="AO330" s="208"/>
      <c r="AP330" s="208"/>
      <c r="AQ330" s="208"/>
      <c r="AR330" s="208"/>
      <c r="AS330" s="208"/>
      <c r="AT330" s="208"/>
      <c r="AU330" s="208"/>
      <c r="AV330" s="208"/>
      <c r="AW330" s="208"/>
      <c r="AX330" s="208"/>
      <c r="AY330" s="208"/>
      <c r="AZ330" s="208"/>
      <c r="BA330" s="208"/>
      <c r="BB330" s="208"/>
      <c r="BC330" s="208"/>
      <c r="BD330" s="208"/>
      <c r="BE330" s="208"/>
      <c r="BF330" s="208"/>
      <c r="BG330" s="208"/>
      <c r="BH330" s="208"/>
      <c r="BI330" s="323"/>
    </row>
    <row r="331" spans="3:61" ht="15" customHeight="1">
      <c r="C331" s="325"/>
      <c r="D331" s="326"/>
      <c r="E331" s="311"/>
      <c r="F331" s="311"/>
      <c r="G331" s="311"/>
      <c r="H331" s="311"/>
      <c r="I331" s="311"/>
      <c r="J331" s="317"/>
      <c r="K331" s="312"/>
      <c r="L331" s="312"/>
      <c r="M331" s="312"/>
      <c r="N331" s="312"/>
      <c r="O331" s="312"/>
      <c r="P331" s="318" t="str">
        <f t="shared" si="14"/>
        <v/>
      </c>
      <c r="Q331" s="205" t="str">
        <f t="shared" ref="Q331:Q394" si="15">IF($AA331 = "", "", $AA331/$AA$10*100)</f>
        <v/>
      </c>
      <c r="R331" s="205"/>
      <c r="S331" s="319" t="str">
        <f t="shared" ref="S331:S394" si="16">IF($AD331 = "", "", $AD331/$AD$10*100)</f>
        <v/>
      </c>
      <c r="U331" s="318"/>
      <c r="V331" s="794"/>
      <c r="W331" s="795"/>
      <c r="X331" s="482"/>
      <c r="Y331" s="482"/>
      <c r="Z331" s="482"/>
      <c r="AA331" s="319"/>
      <c r="AB331" s="220"/>
      <c r="AC331" s="318"/>
      <c r="AD331" s="319"/>
      <c r="AE331" s="220"/>
      <c r="AF331" s="320"/>
      <c r="AG331" s="205"/>
      <c r="AH331" s="205"/>
      <c r="AI331" s="205"/>
      <c r="AJ331" s="205"/>
      <c r="AK331" s="205"/>
      <c r="AL331" s="205"/>
      <c r="AM331" s="205"/>
      <c r="AN331" s="205"/>
      <c r="AO331" s="205"/>
      <c r="AP331" s="205"/>
      <c r="AQ331" s="205"/>
      <c r="AR331" s="205"/>
      <c r="AS331" s="205"/>
      <c r="AT331" s="205"/>
      <c r="AU331" s="205"/>
      <c r="AV331" s="205"/>
      <c r="AW331" s="205"/>
      <c r="AX331" s="205"/>
      <c r="AY331" s="205"/>
      <c r="AZ331" s="205"/>
      <c r="BA331" s="205"/>
      <c r="BB331" s="205"/>
      <c r="BC331" s="205"/>
      <c r="BD331" s="205"/>
      <c r="BE331" s="205"/>
      <c r="BF331" s="205"/>
      <c r="BG331" s="205"/>
      <c r="BH331" s="205"/>
      <c r="BI331" s="319"/>
    </row>
    <row r="332" spans="3:61" ht="15" customHeight="1">
      <c r="C332" s="325"/>
      <c r="D332" s="326"/>
      <c r="E332" s="311"/>
      <c r="F332" s="311"/>
      <c r="G332" s="311"/>
      <c r="H332" s="311"/>
      <c r="I332" s="311"/>
      <c r="J332" s="317"/>
      <c r="K332" s="312"/>
      <c r="L332" s="312"/>
      <c r="M332" s="312"/>
      <c r="N332" s="312"/>
      <c r="O332" s="312"/>
      <c r="P332" s="322" t="str">
        <f t="shared" ref="P332:P395" si="17">IF(U332="", "", U332)</f>
        <v/>
      </c>
      <c r="Q332" s="208" t="str">
        <f t="shared" si="15"/>
        <v/>
      </c>
      <c r="R332" s="208"/>
      <c r="S332" s="323" t="str">
        <f t="shared" si="16"/>
        <v/>
      </c>
      <c r="U332" s="322"/>
      <c r="V332" s="791"/>
      <c r="W332" s="792"/>
      <c r="X332" s="480"/>
      <c r="Y332" s="480"/>
      <c r="Z332" s="480"/>
      <c r="AA332" s="323"/>
      <c r="AB332" s="220"/>
      <c r="AC332" s="322"/>
      <c r="AD332" s="323"/>
      <c r="AE332" s="220"/>
      <c r="AF332" s="324"/>
      <c r="AG332" s="208"/>
      <c r="AH332" s="208"/>
      <c r="AI332" s="208"/>
      <c r="AJ332" s="208"/>
      <c r="AK332" s="208"/>
      <c r="AL332" s="208"/>
      <c r="AM332" s="208"/>
      <c r="AN332" s="208"/>
      <c r="AO332" s="208"/>
      <c r="AP332" s="208"/>
      <c r="AQ332" s="208"/>
      <c r="AR332" s="208"/>
      <c r="AS332" s="208"/>
      <c r="AT332" s="208"/>
      <c r="AU332" s="208"/>
      <c r="AV332" s="208"/>
      <c r="AW332" s="208"/>
      <c r="AX332" s="208"/>
      <c r="AY332" s="208"/>
      <c r="AZ332" s="208"/>
      <c r="BA332" s="208"/>
      <c r="BB332" s="208"/>
      <c r="BC332" s="208"/>
      <c r="BD332" s="208"/>
      <c r="BE332" s="208"/>
      <c r="BF332" s="208"/>
      <c r="BG332" s="208"/>
      <c r="BH332" s="208"/>
      <c r="BI332" s="323"/>
    </row>
    <row r="333" spans="3:61" ht="15" customHeight="1">
      <c r="C333" s="325"/>
      <c r="D333" s="326"/>
      <c r="E333" s="311"/>
      <c r="F333" s="311"/>
      <c r="G333" s="311"/>
      <c r="H333" s="311"/>
      <c r="I333" s="311"/>
      <c r="J333" s="317"/>
      <c r="K333" s="312"/>
      <c r="L333" s="312"/>
      <c r="M333" s="312"/>
      <c r="N333" s="312"/>
      <c r="O333" s="312"/>
      <c r="P333" s="318" t="str">
        <f t="shared" si="17"/>
        <v/>
      </c>
      <c r="Q333" s="205" t="str">
        <f t="shared" si="15"/>
        <v/>
      </c>
      <c r="R333" s="205"/>
      <c r="S333" s="319" t="str">
        <f t="shared" si="16"/>
        <v/>
      </c>
      <c r="U333" s="318"/>
      <c r="V333" s="794"/>
      <c r="W333" s="795"/>
      <c r="X333" s="482"/>
      <c r="Y333" s="482"/>
      <c r="Z333" s="482"/>
      <c r="AA333" s="319"/>
      <c r="AB333" s="220"/>
      <c r="AC333" s="318"/>
      <c r="AD333" s="319"/>
      <c r="AE333" s="220"/>
      <c r="AF333" s="320"/>
      <c r="AG333" s="205"/>
      <c r="AH333" s="205"/>
      <c r="AI333" s="205"/>
      <c r="AJ333" s="205"/>
      <c r="AK333" s="205"/>
      <c r="AL333" s="205"/>
      <c r="AM333" s="205"/>
      <c r="AN333" s="205"/>
      <c r="AO333" s="205"/>
      <c r="AP333" s="205"/>
      <c r="AQ333" s="205"/>
      <c r="AR333" s="205"/>
      <c r="AS333" s="205"/>
      <c r="AT333" s="205"/>
      <c r="AU333" s="205"/>
      <c r="AV333" s="205"/>
      <c r="AW333" s="205"/>
      <c r="AX333" s="205"/>
      <c r="AY333" s="205"/>
      <c r="AZ333" s="205"/>
      <c r="BA333" s="205"/>
      <c r="BB333" s="205"/>
      <c r="BC333" s="205"/>
      <c r="BD333" s="205"/>
      <c r="BE333" s="205"/>
      <c r="BF333" s="205"/>
      <c r="BG333" s="205"/>
      <c r="BH333" s="205"/>
      <c r="BI333" s="319"/>
    </row>
    <row r="334" spans="3:61" ht="15" customHeight="1">
      <c r="C334" s="325"/>
      <c r="D334" s="326"/>
      <c r="E334" s="311"/>
      <c r="F334" s="311"/>
      <c r="G334" s="311"/>
      <c r="H334" s="311"/>
      <c r="I334" s="311"/>
      <c r="J334" s="317"/>
      <c r="K334" s="312"/>
      <c r="L334" s="312"/>
      <c r="M334" s="312"/>
      <c r="N334" s="312"/>
      <c r="O334" s="312"/>
      <c r="P334" s="322" t="str">
        <f t="shared" si="17"/>
        <v/>
      </c>
      <c r="Q334" s="208" t="str">
        <f t="shared" si="15"/>
        <v/>
      </c>
      <c r="R334" s="208"/>
      <c r="S334" s="323" t="str">
        <f t="shared" si="16"/>
        <v/>
      </c>
      <c r="U334" s="322"/>
      <c r="V334" s="791"/>
      <c r="W334" s="792"/>
      <c r="X334" s="480"/>
      <c r="Y334" s="480"/>
      <c r="Z334" s="480"/>
      <c r="AA334" s="323"/>
      <c r="AB334" s="220"/>
      <c r="AC334" s="322"/>
      <c r="AD334" s="323"/>
      <c r="AE334" s="220"/>
      <c r="AF334" s="324"/>
      <c r="AG334" s="208"/>
      <c r="AH334" s="208"/>
      <c r="AI334" s="208"/>
      <c r="AJ334" s="208"/>
      <c r="AK334" s="208"/>
      <c r="AL334" s="208"/>
      <c r="AM334" s="208"/>
      <c r="AN334" s="208"/>
      <c r="AO334" s="208"/>
      <c r="AP334" s="208"/>
      <c r="AQ334" s="208"/>
      <c r="AR334" s="208"/>
      <c r="AS334" s="208"/>
      <c r="AT334" s="208"/>
      <c r="AU334" s="208"/>
      <c r="AV334" s="208"/>
      <c r="AW334" s="208"/>
      <c r="AX334" s="208"/>
      <c r="AY334" s="208"/>
      <c r="AZ334" s="208"/>
      <c r="BA334" s="208"/>
      <c r="BB334" s="208"/>
      <c r="BC334" s="208"/>
      <c r="BD334" s="208"/>
      <c r="BE334" s="208"/>
      <c r="BF334" s="208"/>
      <c r="BG334" s="208"/>
      <c r="BH334" s="208"/>
      <c r="BI334" s="323"/>
    </row>
    <row r="335" spans="3:61" ht="15" customHeight="1">
      <c r="C335" s="325"/>
      <c r="D335" s="326"/>
      <c r="E335" s="311"/>
      <c r="F335" s="311"/>
      <c r="G335" s="311"/>
      <c r="H335" s="311"/>
      <c r="I335" s="311"/>
      <c r="J335" s="317"/>
      <c r="K335" s="312"/>
      <c r="L335" s="312"/>
      <c r="M335" s="312"/>
      <c r="N335" s="312"/>
      <c r="O335" s="312"/>
      <c r="P335" s="318" t="str">
        <f t="shared" si="17"/>
        <v/>
      </c>
      <c r="Q335" s="205" t="str">
        <f t="shared" si="15"/>
        <v/>
      </c>
      <c r="R335" s="205"/>
      <c r="S335" s="319" t="str">
        <f t="shared" si="16"/>
        <v/>
      </c>
      <c r="U335" s="318"/>
      <c r="V335" s="794"/>
      <c r="W335" s="795"/>
      <c r="X335" s="482"/>
      <c r="Y335" s="482"/>
      <c r="Z335" s="482"/>
      <c r="AA335" s="319"/>
      <c r="AB335" s="220"/>
      <c r="AC335" s="318"/>
      <c r="AD335" s="319"/>
      <c r="AE335" s="220"/>
      <c r="AF335" s="320"/>
      <c r="AG335" s="205"/>
      <c r="AH335" s="205"/>
      <c r="AI335" s="205"/>
      <c r="AJ335" s="205"/>
      <c r="AK335" s="205"/>
      <c r="AL335" s="205"/>
      <c r="AM335" s="205"/>
      <c r="AN335" s="205"/>
      <c r="AO335" s="205"/>
      <c r="AP335" s="205"/>
      <c r="AQ335" s="205"/>
      <c r="AR335" s="205"/>
      <c r="AS335" s="205"/>
      <c r="AT335" s="205"/>
      <c r="AU335" s="205"/>
      <c r="AV335" s="205"/>
      <c r="AW335" s="205"/>
      <c r="AX335" s="205"/>
      <c r="AY335" s="205"/>
      <c r="AZ335" s="205"/>
      <c r="BA335" s="205"/>
      <c r="BB335" s="205"/>
      <c r="BC335" s="205"/>
      <c r="BD335" s="205"/>
      <c r="BE335" s="205"/>
      <c r="BF335" s="205"/>
      <c r="BG335" s="205"/>
      <c r="BH335" s="205"/>
      <c r="BI335" s="319"/>
    </row>
    <row r="336" spans="3:61" ht="15" customHeight="1">
      <c r="C336" s="325"/>
      <c r="D336" s="326"/>
      <c r="E336" s="311"/>
      <c r="F336" s="311"/>
      <c r="G336" s="311"/>
      <c r="H336" s="311"/>
      <c r="I336" s="311"/>
      <c r="J336" s="317"/>
      <c r="K336" s="312"/>
      <c r="L336" s="312"/>
      <c r="M336" s="312"/>
      <c r="N336" s="312"/>
      <c r="O336" s="312"/>
      <c r="P336" s="322" t="str">
        <f t="shared" si="17"/>
        <v/>
      </c>
      <c r="Q336" s="208" t="str">
        <f t="shared" si="15"/>
        <v/>
      </c>
      <c r="R336" s="208"/>
      <c r="S336" s="323" t="str">
        <f t="shared" si="16"/>
        <v/>
      </c>
      <c r="U336" s="322"/>
      <c r="V336" s="791"/>
      <c r="W336" s="792"/>
      <c r="X336" s="480"/>
      <c r="Y336" s="480"/>
      <c r="Z336" s="480"/>
      <c r="AA336" s="323"/>
      <c r="AB336" s="220"/>
      <c r="AC336" s="322"/>
      <c r="AD336" s="323"/>
      <c r="AE336" s="220"/>
      <c r="AF336" s="324"/>
      <c r="AG336" s="208"/>
      <c r="AH336" s="208"/>
      <c r="AI336" s="208"/>
      <c r="AJ336" s="208"/>
      <c r="AK336" s="208"/>
      <c r="AL336" s="208"/>
      <c r="AM336" s="208"/>
      <c r="AN336" s="208"/>
      <c r="AO336" s="208"/>
      <c r="AP336" s="208"/>
      <c r="AQ336" s="208"/>
      <c r="AR336" s="208"/>
      <c r="AS336" s="208"/>
      <c r="AT336" s="208"/>
      <c r="AU336" s="208"/>
      <c r="AV336" s="208"/>
      <c r="AW336" s="208"/>
      <c r="AX336" s="208"/>
      <c r="AY336" s="208"/>
      <c r="AZ336" s="208"/>
      <c r="BA336" s="208"/>
      <c r="BB336" s="208"/>
      <c r="BC336" s="208"/>
      <c r="BD336" s="208"/>
      <c r="BE336" s="208"/>
      <c r="BF336" s="208"/>
      <c r="BG336" s="208"/>
      <c r="BH336" s="208"/>
      <c r="BI336" s="323"/>
    </row>
    <row r="337" spans="3:61" ht="15" customHeight="1">
      <c r="C337" s="325"/>
      <c r="D337" s="326"/>
      <c r="E337" s="311"/>
      <c r="F337" s="311"/>
      <c r="G337" s="311"/>
      <c r="H337" s="311"/>
      <c r="I337" s="311"/>
      <c r="J337" s="317"/>
      <c r="K337" s="312"/>
      <c r="L337" s="312"/>
      <c r="M337" s="312"/>
      <c r="N337" s="312"/>
      <c r="O337" s="312"/>
      <c r="P337" s="318" t="str">
        <f t="shared" si="17"/>
        <v/>
      </c>
      <c r="Q337" s="205" t="str">
        <f t="shared" si="15"/>
        <v/>
      </c>
      <c r="R337" s="205"/>
      <c r="S337" s="319" t="str">
        <f t="shared" si="16"/>
        <v/>
      </c>
      <c r="U337" s="318"/>
      <c r="V337" s="794"/>
      <c r="W337" s="795"/>
      <c r="X337" s="482"/>
      <c r="Y337" s="482"/>
      <c r="Z337" s="482"/>
      <c r="AA337" s="319"/>
      <c r="AB337" s="220"/>
      <c r="AC337" s="318"/>
      <c r="AD337" s="319"/>
      <c r="AE337" s="220"/>
      <c r="AF337" s="320"/>
      <c r="AG337" s="205"/>
      <c r="AH337" s="205"/>
      <c r="AI337" s="205"/>
      <c r="AJ337" s="205"/>
      <c r="AK337" s="205"/>
      <c r="AL337" s="205"/>
      <c r="AM337" s="205"/>
      <c r="AN337" s="205"/>
      <c r="AO337" s="205"/>
      <c r="AP337" s="205"/>
      <c r="AQ337" s="205"/>
      <c r="AR337" s="205"/>
      <c r="AS337" s="205"/>
      <c r="AT337" s="205"/>
      <c r="AU337" s="205"/>
      <c r="AV337" s="205"/>
      <c r="AW337" s="205"/>
      <c r="AX337" s="205"/>
      <c r="AY337" s="205"/>
      <c r="AZ337" s="205"/>
      <c r="BA337" s="205"/>
      <c r="BB337" s="205"/>
      <c r="BC337" s="205"/>
      <c r="BD337" s="205"/>
      <c r="BE337" s="205"/>
      <c r="BF337" s="205"/>
      <c r="BG337" s="205"/>
      <c r="BH337" s="205"/>
      <c r="BI337" s="319"/>
    </row>
    <row r="338" spans="3:61" ht="15" customHeight="1">
      <c r="C338" s="325"/>
      <c r="D338" s="326"/>
      <c r="E338" s="311"/>
      <c r="F338" s="311"/>
      <c r="G338" s="311"/>
      <c r="H338" s="311"/>
      <c r="I338" s="311"/>
      <c r="J338" s="317"/>
      <c r="K338" s="312"/>
      <c r="L338" s="312"/>
      <c r="M338" s="312"/>
      <c r="N338" s="312"/>
      <c r="O338" s="312"/>
      <c r="P338" s="322" t="str">
        <f t="shared" si="17"/>
        <v/>
      </c>
      <c r="Q338" s="208" t="str">
        <f t="shared" si="15"/>
        <v/>
      </c>
      <c r="R338" s="208"/>
      <c r="S338" s="323" t="str">
        <f t="shared" si="16"/>
        <v/>
      </c>
      <c r="U338" s="322"/>
      <c r="V338" s="791"/>
      <c r="W338" s="792"/>
      <c r="X338" s="480"/>
      <c r="Y338" s="480"/>
      <c r="Z338" s="480"/>
      <c r="AA338" s="323"/>
      <c r="AB338" s="220"/>
      <c r="AC338" s="322"/>
      <c r="AD338" s="323"/>
      <c r="AE338" s="220"/>
      <c r="AF338" s="324"/>
      <c r="AG338" s="208"/>
      <c r="AH338" s="208"/>
      <c r="AI338" s="208"/>
      <c r="AJ338" s="208"/>
      <c r="AK338" s="208"/>
      <c r="AL338" s="208"/>
      <c r="AM338" s="208"/>
      <c r="AN338" s="208"/>
      <c r="AO338" s="208"/>
      <c r="AP338" s="208"/>
      <c r="AQ338" s="208"/>
      <c r="AR338" s="208"/>
      <c r="AS338" s="208"/>
      <c r="AT338" s="208"/>
      <c r="AU338" s="208"/>
      <c r="AV338" s="208"/>
      <c r="AW338" s="208"/>
      <c r="AX338" s="208"/>
      <c r="AY338" s="208"/>
      <c r="AZ338" s="208"/>
      <c r="BA338" s="208"/>
      <c r="BB338" s="208"/>
      <c r="BC338" s="208"/>
      <c r="BD338" s="208"/>
      <c r="BE338" s="208"/>
      <c r="BF338" s="208"/>
      <c r="BG338" s="208"/>
      <c r="BH338" s="208"/>
      <c r="BI338" s="323"/>
    </row>
    <row r="339" spans="3:61" ht="15" customHeight="1">
      <c r="C339" s="325"/>
      <c r="D339" s="326"/>
      <c r="E339" s="311"/>
      <c r="F339" s="311"/>
      <c r="G339" s="311"/>
      <c r="H339" s="311"/>
      <c r="I339" s="311"/>
      <c r="J339" s="317"/>
      <c r="K339" s="312"/>
      <c r="L339" s="312"/>
      <c r="M339" s="312"/>
      <c r="N339" s="312"/>
      <c r="O339" s="312"/>
      <c r="P339" s="318" t="str">
        <f t="shared" si="17"/>
        <v/>
      </c>
      <c r="Q339" s="205" t="str">
        <f t="shared" si="15"/>
        <v/>
      </c>
      <c r="R339" s="205"/>
      <c r="S339" s="319" t="str">
        <f t="shared" si="16"/>
        <v/>
      </c>
      <c r="U339" s="318"/>
      <c r="V339" s="794"/>
      <c r="W339" s="795"/>
      <c r="X339" s="482"/>
      <c r="Y339" s="482"/>
      <c r="Z339" s="482"/>
      <c r="AA339" s="319"/>
      <c r="AB339" s="220"/>
      <c r="AC339" s="318"/>
      <c r="AD339" s="319"/>
      <c r="AE339" s="220"/>
      <c r="AF339" s="320"/>
      <c r="AG339" s="205"/>
      <c r="AH339" s="205"/>
      <c r="AI339" s="205"/>
      <c r="AJ339" s="205"/>
      <c r="AK339" s="205"/>
      <c r="AL339" s="205"/>
      <c r="AM339" s="205"/>
      <c r="AN339" s="205"/>
      <c r="AO339" s="205"/>
      <c r="AP339" s="205"/>
      <c r="AQ339" s="205"/>
      <c r="AR339" s="205"/>
      <c r="AS339" s="205"/>
      <c r="AT339" s="205"/>
      <c r="AU339" s="205"/>
      <c r="AV339" s="205"/>
      <c r="AW339" s="205"/>
      <c r="AX339" s="205"/>
      <c r="AY339" s="205"/>
      <c r="AZ339" s="205"/>
      <c r="BA339" s="205"/>
      <c r="BB339" s="205"/>
      <c r="BC339" s="205"/>
      <c r="BD339" s="205"/>
      <c r="BE339" s="205"/>
      <c r="BF339" s="205"/>
      <c r="BG339" s="205"/>
      <c r="BH339" s="205"/>
      <c r="BI339" s="319"/>
    </row>
    <row r="340" spans="3:61" ht="15" customHeight="1">
      <c r="C340" s="325"/>
      <c r="D340" s="326"/>
      <c r="E340" s="311"/>
      <c r="F340" s="311"/>
      <c r="G340" s="311"/>
      <c r="H340" s="311"/>
      <c r="I340" s="311"/>
      <c r="J340" s="317"/>
      <c r="K340" s="312"/>
      <c r="L340" s="312"/>
      <c r="M340" s="312"/>
      <c r="N340" s="312"/>
      <c r="O340" s="312"/>
      <c r="P340" s="322" t="str">
        <f t="shared" si="17"/>
        <v/>
      </c>
      <c r="Q340" s="208" t="str">
        <f t="shared" si="15"/>
        <v/>
      </c>
      <c r="R340" s="208"/>
      <c r="S340" s="323" t="str">
        <f t="shared" si="16"/>
        <v/>
      </c>
      <c r="U340" s="322"/>
      <c r="V340" s="791"/>
      <c r="W340" s="792"/>
      <c r="X340" s="480"/>
      <c r="Y340" s="480"/>
      <c r="Z340" s="480"/>
      <c r="AA340" s="323"/>
      <c r="AB340" s="220"/>
      <c r="AC340" s="322"/>
      <c r="AD340" s="323"/>
      <c r="AE340" s="220"/>
      <c r="AF340" s="324"/>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208"/>
      <c r="BB340" s="208"/>
      <c r="BC340" s="208"/>
      <c r="BD340" s="208"/>
      <c r="BE340" s="208"/>
      <c r="BF340" s="208"/>
      <c r="BG340" s="208"/>
      <c r="BH340" s="208"/>
      <c r="BI340" s="323"/>
    </row>
    <row r="341" spans="3:61" ht="15" customHeight="1">
      <c r="C341" s="325"/>
      <c r="D341" s="326"/>
      <c r="E341" s="311"/>
      <c r="F341" s="311"/>
      <c r="G341" s="311"/>
      <c r="H341" s="311"/>
      <c r="I341" s="311"/>
      <c r="J341" s="317"/>
      <c r="K341" s="312"/>
      <c r="L341" s="312"/>
      <c r="M341" s="312"/>
      <c r="N341" s="312"/>
      <c r="O341" s="312"/>
      <c r="P341" s="318" t="str">
        <f t="shared" si="17"/>
        <v/>
      </c>
      <c r="Q341" s="205" t="str">
        <f t="shared" si="15"/>
        <v/>
      </c>
      <c r="R341" s="205"/>
      <c r="S341" s="319" t="str">
        <f t="shared" si="16"/>
        <v/>
      </c>
      <c r="U341" s="318"/>
      <c r="V341" s="794"/>
      <c r="W341" s="795"/>
      <c r="X341" s="482"/>
      <c r="Y341" s="482"/>
      <c r="Z341" s="482"/>
      <c r="AA341" s="319"/>
      <c r="AB341" s="220"/>
      <c r="AC341" s="318"/>
      <c r="AD341" s="319"/>
      <c r="AE341" s="220"/>
      <c r="AF341" s="320"/>
      <c r="AG341" s="205"/>
      <c r="AH341" s="205"/>
      <c r="AI341" s="205"/>
      <c r="AJ341" s="205"/>
      <c r="AK341" s="205"/>
      <c r="AL341" s="205"/>
      <c r="AM341" s="205"/>
      <c r="AN341" s="205"/>
      <c r="AO341" s="205"/>
      <c r="AP341" s="205"/>
      <c r="AQ341" s="205"/>
      <c r="AR341" s="205"/>
      <c r="AS341" s="205"/>
      <c r="AT341" s="205"/>
      <c r="AU341" s="205"/>
      <c r="AV341" s="205"/>
      <c r="AW341" s="205"/>
      <c r="AX341" s="205"/>
      <c r="AY341" s="205"/>
      <c r="AZ341" s="205"/>
      <c r="BA341" s="205"/>
      <c r="BB341" s="205"/>
      <c r="BC341" s="205"/>
      <c r="BD341" s="205"/>
      <c r="BE341" s="205"/>
      <c r="BF341" s="205"/>
      <c r="BG341" s="205"/>
      <c r="BH341" s="205"/>
      <c r="BI341" s="319"/>
    </row>
    <row r="342" spans="3:61" ht="15" customHeight="1">
      <c r="C342" s="325"/>
      <c r="D342" s="326"/>
      <c r="E342" s="311"/>
      <c r="F342" s="311"/>
      <c r="G342" s="311"/>
      <c r="H342" s="311"/>
      <c r="I342" s="311"/>
      <c r="J342" s="317"/>
      <c r="K342" s="312"/>
      <c r="L342" s="312"/>
      <c r="M342" s="312"/>
      <c r="N342" s="312"/>
      <c r="O342" s="312"/>
      <c r="P342" s="322" t="str">
        <f t="shared" si="17"/>
        <v/>
      </c>
      <c r="Q342" s="208" t="str">
        <f t="shared" si="15"/>
        <v/>
      </c>
      <c r="R342" s="208"/>
      <c r="S342" s="323" t="str">
        <f t="shared" si="16"/>
        <v/>
      </c>
      <c r="U342" s="322"/>
      <c r="V342" s="791"/>
      <c r="W342" s="792"/>
      <c r="X342" s="480"/>
      <c r="Y342" s="480"/>
      <c r="Z342" s="480"/>
      <c r="AA342" s="323"/>
      <c r="AB342" s="220"/>
      <c r="AC342" s="322"/>
      <c r="AD342" s="323"/>
      <c r="AE342" s="220"/>
      <c r="AF342" s="324"/>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08"/>
      <c r="BB342" s="208"/>
      <c r="BC342" s="208"/>
      <c r="BD342" s="208"/>
      <c r="BE342" s="208"/>
      <c r="BF342" s="208"/>
      <c r="BG342" s="208"/>
      <c r="BH342" s="208"/>
      <c r="BI342" s="323"/>
    </row>
    <row r="343" spans="3:61" ht="15" customHeight="1">
      <c r="C343" s="325"/>
      <c r="D343" s="326"/>
      <c r="E343" s="311"/>
      <c r="F343" s="311"/>
      <c r="G343" s="311"/>
      <c r="H343" s="311"/>
      <c r="I343" s="311"/>
      <c r="J343" s="317"/>
      <c r="K343" s="312"/>
      <c r="L343" s="312"/>
      <c r="M343" s="312"/>
      <c r="N343" s="312"/>
      <c r="O343" s="312"/>
      <c r="P343" s="318" t="str">
        <f t="shared" si="17"/>
        <v/>
      </c>
      <c r="Q343" s="205" t="str">
        <f t="shared" si="15"/>
        <v/>
      </c>
      <c r="R343" s="205"/>
      <c r="S343" s="319" t="str">
        <f t="shared" si="16"/>
        <v/>
      </c>
      <c r="U343" s="318"/>
      <c r="V343" s="794"/>
      <c r="W343" s="795"/>
      <c r="X343" s="482"/>
      <c r="Y343" s="482"/>
      <c r="Z343" s="482"/>
      <c r="AA343" s="319"/>
      <c r="AB343" s="220"/>
      <c r="AC343" s="318"/>
      <c r="AD343" s="319"/>
      <c r="AE343" s="220"/>
      <c r="AF343" s="320"/>
      <c r="AG343" s="205"/>
      <c r="AH343" s="205"/>
      <c r="AI343" s="205"/>
      <c r="AJ343" s="205"/>
      <c r="AK343" s="205"/>
      <c r="AL343" s="205"/>
      <c r="AM343" s="205"/>
      <c r="AN343" s="205"/>
      <c r="AO343" s="205"/>
      <c r="AP343" s="205"/>
      <c r="AQ343" s="205"/>
      <c r="AR343" s="205"/>
      <c r="AS343" s="205"/>
      <c r="AT343" s="205"/>
      <c r="AU343" s="205"/>
      <c r="AV343" s="205"/>
      <c r="AW343" s="205"/>
      <c r="AX343" s="205"/>
      <c r="AY343" s="205"/>
      <c r="AZ343" s="205"/>
      <c r="BA343" s="205"/>
      <c r="BB343" s="205"/>
      <c r="BC343" s="205"/>
      <c r="BD343" s="205"/>
      <c r="BE343" s="205"/>
      <c r="BF343" s="205"/>
      <c r="BG343" s="205"/>
      <c r="BH343" s="205"/>
      <c r="BI343" s="319"/>
    </row>
    <row r="344" spans="3:61" ht="15" customHeight="1">
      <c r="C344" s="325"/>
      <c r="D344" s="326"/>
      <c r="E344" s="311"/>
      <c r="F344" s="311"/>
      <c r="G344" s="311"/>
      <c r="H344" s="311"/>
      <c r="I344" s="311"/>
      <c r="J344" s="317"/>
      <c r="K344" s="312"/>
      <c r="L344" s="312"/>
      <c r="M344" s="312"/>
      <c r="N344" s="312"/>
      <c r="O344" s="312"/>
      <c r="P344" s="322" t="str">
        <f t="shared" si="17"/>
        <v/>
      </c>
      <c r="Q344" s="208" t="str">
        <f t="shared" si="15"/>
        <v/>
      </c>
      <c r="R344" s="208"/>
      <c r="S344" s="323" t="str">
        <f t="shared" si="16"/>
        <v/>
      </c>
      <c r="U344" s="322"/>
      <c r="V344" s="791"/>
      <c r="W344" s="792"/>
      <c r="X344" s="480"/>
      <c r="Y344" s="480"/>
      <c r="Z344" s="480"/>
      <c r="AA344" s="323"/>
      <c r="AB344" s="220"/>
      <c r="AC344" s="322"/>
      <c r="AD344" s="323"/>
      <c r="AE344" s="220"/>
      <c r="AF344" s="324"/>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08"/>
      <c r="BB344" s="208"/>
      <c r="BC344" s="208"/>
      <c r="BD344" s="208"/>
      <c r="BE344" s="208"/>
      <c r="BF344" s="208"/>
      <c r="BG344" s="208"/>
      <c r="BH344" s="208"/>
      <c r="BI344" s="323"/>
    </row>
    <row r="345" spans="3:61" ht="15" customHeight="1">
      <c r="C345" s="325"/>
      <c r="D345" s="326"/>
      <c r="E345" s="311"/>
      <c r="F345" s="311"/>
      <c r="G345" s="311"/>
      <c r="H345" s="311"/>
      <c r="I345" s="311"/>
      <c r="J345" s="317"/>
      <c r="K345" s="312"/>
      <c r="L345" s="312"/>
      <c r="M345" s="312"/>
      <c r="N345" s="312"/>
      <c r="O345" s="312"/>
      <c r="P345" s="318" t="str">
        <f t="shared" si="17"/>
        <v/>
      </c>
      <c r="Q345" s="205" t="str">
        <f t="shared" si="15"/>
        <v/>
      </c>
      <c r="R345" s="205"/>
      <c r="S345" s="319" t="str">
        <f t="shared" si="16"/>
        <v/>
      </c>
      <c r="U345" s="318"/>
      <c r="V345" s="794"/>
      <c r="W345" s="795"/>
      <c r="X345" s="482"/>
      <c r="Y345" s="482"/>
      <c r="Z345" s="482"/>
      <c r="AA345" s="319"/>
      <c r="AB345" s="220"/>
      <c r="AC345" s="318"/>
      <c r="AD345" s="319"/>
      <c r="AE345" s="220"/>
      <c r="AF345" s="320"/>
      <c r="AG345" s="205"/>
      <c r="AH345" s="205"/>
      <c r="AI345" s="205"/>
      <c r="AJ345" s="205"/>
      <c r="AK345" s="205"/>
      <c r="AL345" s="205"/>
      <c r="AM345" s="205"/>
      <c r="AN345" s="205"/>
      <c r="AO345" s="205"/>
      <c r="AP345" s="205"/>
      <c r="AQ345" s="205"/>
      <c r="AR345" s="205"/>
      <c r="AS345" s="205"/>
      <c r="AT345" s="205"/>
      <c r="AU345" s="205"/>
      <c r="AV345" s="205"/>
      <c r="AW345" s="205"/>
      <c r="AX345" s="205"/>
      <c r="AY345" s="205"/>
      <c r="AZ345" s="205"/>
      <c r="BA345" s="205"/>
      <c r="BB345" s="205"/>
      <c r="BC345" s="205"/>
      <c r="BD345" s="205"/>
      <c r="BE345" s="205"/>
      <c r="BF345" s="205"/>
      <c r="BG345" s="205"/>
      <c r="BH345" s="205"/>
      <c r="BI345" s="319"/>
    </row>
    <row r="346" spans="3:61" ht="15" customHeight="1">
      <c r="C346" s="325"/>
      <c r="D346" s="326"/>
      <c r="E346" s="311"/>
      <c r="F346" s="311"/>
      <c r="G346" s="311"/>
      <c r="H346" s="311"/>
      <c r="I346" s="311"/>
      <c r="J346" s="317"/>
      <c r="K346" s="312"/>
      <c r="L346" s="312"/>
      <c r="M346" s="312"/>
      <c r="N346" s="312"/>
      <c r="O346" s="312"/>
      <c r="P346" s="322" t="str">
        <f t="shared" si="17"/>
        <v/>
      </c>
      <c r="Q346" s="208" t="str">
        <f t="shared" si="15"/>
        <v/>
      </c>
      <c r="R346" s="208"/>
      <c r="S346" s="323" t="str">
        <f t="shared" si="16"/>
        <v/>
      </c>
      <c r="U346" s="322"/>
      <c r="V346" s="791"/>
      <c r="W346" s="792"/>
      <c r="X346" s="480"/>
      <c r="Y346" s="480"/>
      <c r="Z346" s="480"/>
      <c r="AA346" s="323"/>
      <c r="AB346" s="220"/>
      <c r="AC346" s="322"/>
      <c r="AD346" s="323"/>
      <c r="AE346" s="220"/>
      <c r="AF346" s="324"/>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08"/>
      <c r="BB346" s="208"/>
      <c r="BC346" s="208"/>
      <c r="BD346" s="208"/>
      <c r="BE346" s="208"/>
      <c r="BF346" s="208"/>
      <c r="BG346" s="208"/>
      <c r="BH346" s="208"/>
      <c r="BI346" s="323"/>
    </row>
    <row r="347" spans="3:61" ht="15" customHeight="1">
      <c r="C347" s="325"/>
      <c r="D347" s="326"/>
      <c r="E347" s="311"/>
      <c r="F347" s="311"/>
      <c r="G347" s="311"/>
      <c r="H347" s="311"/>
      <c r="I347" s="311"/>
      <c r="J347" s="317"/>
      <c r="K347" s="312"/>
      <c r="L347" s="312"/>
      <c r="M347" s="312"/>
      <c r="N347" s="312"/>
      <c r="O347" s="312"/>
      <c r="P347" s="318" t="str">
        <f t="shared" si="17"/>
        <v/>
      </c>
      <c r="Q347" s="205" t="str">
        <f t="shared" si="15"/>
        <v/>
      </c>
      <c r="R347" s="205"/>
      <c r="S347" s="319" t="str">
        <f t="shared" si="16"/>
        <v/>
      </c>
      <c r="U347" s="318"/>
      <c r="V347" s="794"/>
      <c r="W347" s="795"/>
      <c r="X347" s="482"/>
      <c r="Y347" s="482"/>
      <c r="Z347" s="482"/>
      <c r="AA347" s="319"/>
      <c r="AB347" s="220"/>
      <c r="AC347" s="318"/>
      <c r="AD347" s="319"/>
      <c r="AE347" s="220"/>
      <c r="AF347" s="320"/>
      <c r="AG347" s="205"/>
      <c r="AH347" s="205"/>
      <c r="AI347" s="205"/>
      <c r="AJ347" s="205"/>
      <c r="AK347" s="205"/>
      <c r="AL347" s="205"/>
      <c r="AM347" s="205"/>
      <c r="AN347" s="205"/>
      <c r="AO347" s="205"/>
      <c r="AP347" s="205"/>
      <c r="AQ347" s="205"/>
      <c r="AR347" s="205"/>
      <c r="AS347" s="205"/>
      <c r="AT347" s="205"/>
      <c r="AU347" s="205"/>
      <c r="AV347" s="205"/>
      <c r="AW347" s="205"/>
      <c r="AX347" s="205"/>
      <c r="AY347" s="205"/>
      <c r="AZ347" s="205"/>
      <c r="BA347" s="205"/>
      <c r="BB347" s="205"/>
      <c r="BC347" s="205"/>
      <c r="BD347" s="205"/>
      <c r="BE347" s="205"/>
      <c r="BF347" s="205"/>
      <c r="BG347" s="205"/>
      <c r="BH347" s="205"/>
      <c r="BI347" s="319"/>
    </row>
    <row r="348" spans="3:61" ht="15" customHeight="1">
      <c r="C348" s="325"/>
      <c r="D348" s="326"/>
      <c r="E348" s="311"/>
      <c r="F348" s="311"/>
      <c r="G348" s="311"/>
      <c r="H348" s="311"/>
      <c r="I348" s="311"/>
      <c r="J348" s="317"/>
      <c r="K348" s="312"/>
      <c r="L348" s="312"/>
      <c r="M348" s="312"/>
      <c r="N348" s="312"/>
      <c r="O348" s="312"/>
      <c r="P348" s="322" t="str">
        <f t="shared" si="17"/>
        <v/>
      </c>
      <c r="Q348" s="208" t="str">
        <f t="shared" si="15"/>
        <v/>
      </c>
      <c r="R348" s="208"/>
      <c r="S348" s="323" t="str">
        <f t="shared" si="16"/>
        <v/>
      </c>
      <c r="U348" s="322"/>
      <c r="V348" s="791"/>
      <c r="W348" s="792"/>
      <c r="X348" s="480"/>
      <c r="Y348" s="480"/>
      <c r="Z348" s="480"/>
      <c r="AA348" s="323"/>
      <c r="AB348" s="220"/>
      <c r="AC348" s="322"/>
      <c r="AD348" s="323"/>
      <c r="AE348" s="220"/>
      <c r="AF348" s="324"/>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08"/>
      <c r="BB348" s="208"/>
      <c r="BC348" s="208"/>
      <c r="BD348" s="208"/>
      <c r="BE348" s="208"/>
      <c r="BF348" s="208"/>
      <c r="BG348" s="208"/>
      <c r="BH348" s="208"/>
      <c r="BI348" s="323"/>
    </row>
    <row r="349" spans="3:61" ht="15" customHeight="1">
      <c r="C349" s="325"/>
      <c r="D349" s="326"/>
      <c r="E349" s="311"/>
      <c r="F349" s="311"/>
      <c r="G349" s="311"/>
      <c r="H349" s="311"/>
      <c r="I349" s="311"/>
      <c r="J349" s="317"/>
      <c r="K349" s="312"/>
      <c r="L349" s="312"/>
      <c r="M349" s="312"/>
      <c r="N349" s="312"/>
      <c r="O349" s="312"/>
      <c r="P349" s="318" t="str">
        <f t="shared" si="17"/>
        <v/>
      </c>
      <c r="Q349" s="205" t="str">
        <f t="shared" si="15"/>
        <v/>
      </c>
      <c r="R349" s="205"/>
      <c r="S349" s="319" t="str">
        <f t="shared" si="16"/>
        <v/>
      </c>
      <c r="U349" s="318"/>
      <c r="V349" s="794"/>
      <c r="W349" s="795"/>
      <c r="X349" s="482"/>
      <c r="Y349" s="482"/>
      <c r="Z349" s="482"/>
      <c r="AA349" s="319"/>
      <c r="AB349" s="220"/>
      <c r="AC349" s="318"/>
      <c r="AD349" s="319"/>
      <c r="AE349" s="220"/>
      <c r="AF349" s="320"/>
      <c r="AG349" s="205"/>
      <c r="AH349" s="205"/>
      <c r="AI349" s="205"/>
      <c r="AJ349" s="205"/>
      <c r="AK349" s="205"/>
      <c r="AL349" s="205"/>
      <c r="AM349" s="205"/>
      <c r="AN349" s="205"/>
      <c r="AO349" s="205"/>
      <c r="AP349" s="205"/>
      <c r="AQ349" s="205"/>
      <c r="AR349" s="205"/>
      <c r="AS349" s="205"/>
      <c r="AT349" s="205"/>
      <c r="AU349" s="205"/>
      <c r="AV349" s="205"/>
      <c r="AW349" s="205"/>
      <c r="AX349" s="205"/>
      <c r="AY349" s="205"/>
      <c r="AZ349" s="205"/>
      <c r="BA349" s="205"/>
      <c r="BB349" s="205"/>
      <c r="BC349" s="205"/>
      <c r="BD349" s="205"/>
      <c r="BE349" s="205"/>
      <c r="BF349" s="205"/>
      <c r="BG349" s="205"/>
      <c r="BH349" s="205"/>
      <c r="BI349" s="319"/>
    </row>
    <row r="350" spans="3:61" ht="15" customHeight="1">
      <c r="C350" s="325"/>
      <c r="D350" s="326"/>
      <c r="E350" s="311"/>
      <c r="F350" s="311"/>
      <c r="G350" s="311"/>
      <c r="H350" s="311"/>
      <c r="I350" s="311"/>
      <c r="J350" s="317"/>
      <c r="K350" s="312"/>
      <c r="L350" s="312"/>
      <c r="M350" s="312"/>
      <c r="N350" s="312"/>
      <c r="O350" s="312"/>
      <c r="P350" s="322" t="str">
        <f t="shared" si="17"/>
        <v/>
      </c>
      <c r="Q350" s="208" t="str">
        <f t="shared" si="15"/>
        <v/>
      </c>
      <c r="R350" s="208"/>
      <c r="S350" s="323" t="str">
        <f t="shared" si="16"/>
        <v/>
      </c>
      <c r="U350" s="322"/>
      <c r="V350" s="791"/>
      <c r="W350" s="792"/>
      <c r="X350" s="480"/>
      <c r="Y350" s="480"/>
      <c r="Z350" s="480"/>
      <c r="AA350" s="323"/>
      <c r="AB350" s="220"/>
      <c r="AC350" s="322"/>
      <c r="AD350" s="323"/>
      <c r="AE350" s="220"/>
      <c r="AF350" s="324"/>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08"/>
      <c r="BB350" s="208"/>
      <c r="BC350" s="208"/>
      <c r="BD350" s="208"/>
      <c r="BE350" s="208"/>
      <c r="BF350" s="208"/>
      <c r="BG350" s="208"/>
      <c r="BH350" s="208"/>
      <c r="BI350" s="323"/>
    </row>
    <row r="351" spans="3:61" ht="15" customHeight="1">
      <c r="C351" s="325"/>
      <c r="D351" s="326"/>
      <c r="E351" s="311"/>
      <c r="F351" s="311"/>
      <c r="G351" s="311"/>
      <c r="H351" s="311"/>
      <c r="I351" s="311"/>
      <c r="J351" s="317"/>
      <c r="K351" s="312"/>
      <c r="L351" s="312"/>
      <c r="M351" s="312"/>
      <c r="N351" s="312"/>
      <c r="O351" s="312"/>
      <c r="P351" s="318" t="str">
        <f t="shared" si="17"/>
        <v/>
      </c>
      <c r="Q351" s="205" t="str">
        <f t="shared" si="15"/>
        <v/>
      </c>
      <c r="R351" s="205"/>
      <c r="S351" s="319" t="str">
        <f t="shared" si="16"/>
        <v/>
      </c>
      <c r="U351" s="318"/>
      <c r="V351" s="794"/>
      <c r="W351" s="795"/>
      <c r="X351" s="482"/>
      <c r="Y351" s="482"/>
      <c r="Z351" s="482"/>
      <c r="AA351" s="319"/>
      <c r="AB351" s="220"/>
      <c r="AC351" s="318"/>
      <c r="AD351" s="319"/>
      <c r="AE351" s="220"/>
      <c r="AF351" s="320"/>
      <c r="AG351" s="205"/>
      <c r="AH351" s="205"/>
      <c r="AI351" s="205"/>
      <c r="AJ351" s="205"/>
      <c r="AK351" s="205"/>
      <c r="AL351" s="205"/>
      <c r="AM351" s="205"/>
      <c r="AN351" s="205"/>
      <c r="AO351" s="205"/>
      <c r="AP351" s="205"/>
      <c r="AQ351" s="205"/>
      <c r="AR351" s="205"/>
      <c r="AS351" s="205"/>
      <c r="AT351" s="205"/>
      <c r="AU351" s="205"/>
      <c r="AV351" s="205"/>
      <c r="AW351" s="205"/>
      <c r="AX351" s="205"/>
      <c r="AY351" s="205"/>
      <c r="AZ351" s="205"/>
      <c r="BA351" s="205"/>
      <c r="BB351" s="205"/>
      <c r="BC351" s="205"/>
      <c r="BD351" s="205"/>
      <c r="BE351" s="205"/>
      <c r="BF351" s="205"/>
      <c r="BG351" s="205"/>
      <c r="BH351" s="205"/>
      <c r="BI351" s="319"/>
    </row>
    <row r="352" spans="3:61" ht="15" customHeight="1">
      <c r="C352" s="325"/>
      <c r="D352" s="326"/>
      <c r="E352" s="311"/>
      <c r="F352" s="311"/>
      <c r="G352" s="311"/>
      <c r="H352" s="311"/>
      <c r="I352" s="311"/>
      <c r="J352" s="317"/>
      <c r="K352" s="312"/>
      <c r="L352" s="312"/>
      <c r="M352" s="312"/>
      <c r="N352" s="312"/>
      <c r="O352" s="312"/>
      <c r="P352" s="322" t="str">
        <f t="shared" si="17"/>
        <v/>
      </c>
      <c r="Q352" s="208" t="str">
        <f t="shared" si="15"/>
        <v/>
      </c>
      <c r="R352" s="208"/>
      <c r="S352" s="323" t="str">
        <f t="shared" si="16"/>
        <v/>
      </c>
      <c r="U352" s="322"/>
      <c r="V352" s="791"/>
      <c r="W352" s="792"/>
      <c r="X352" s="480"/>
      <c r="Y352" s="480"/>
      <c r="Z352" s="480"/>
      <c r="AA352" s="323"/>
      <c r="AB352" s="220"/>
      <c r="AC352" s="322"/>
      <c r="AD352" s="323"/>
      <c r="AE352" s="220"/>
      <c r="AF352" s="324"/>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08"/>
      <c r="BB352" s="208"/>
      <c r="BC352" s="208"/>
      <c r="BD352" s="208"/>
      <c r="BE352" s="208"/>
      <c r="BF352" s="208"/>
      <c r="BG352" s="208"/>
      <c r="BH352" s="208"/>
      <c r="BI352" s="323"/>
    </row>
    <row r="353" spans="3:61" ht="15" customHeight="1">
      <c r="C353" s="325"/>
      <c r="D353" s="326"/>
      <c r="E353" s="311"/>
      <c r="F353" s="311"/>
      <c r="G353" s="311"/>
      <c r="H353" s="311"/>
      <c r="I353" s="311"/>
      <c r="J353" s="317"/>
      <c r="K353" s="312"/>
      <c r="L353" s="312"/>
      <c r="M353" s="312"/>
      <c r="N353" s="312"/>
      <c r="O353" s="312"/>
      <c r="P353" s="318" t="str">
        <f t="shared" si="17"/>
        <v/>
      </c>
      <c r="Q353" s="205" t="str">
        <f t="shared" si="15"/>
        <v/>
      </c>
      <c r="R353" s="205"/>
      <c r="S353" s="319" t="str">
        <f t="shared" si="16"/>
        <v/>
      </c>
      <c r="U353" s="318"/>
      <c r="V353" s="794"/>
      <c r="W353" s="795"/>
      <c r="X353" s="482"/>
      <c r="Y353" s="482"/>
      <c r="Z353" s="482"/>
      <c r="AA353" s="319"/>
      <c r="AB353" s="220"/>
      <c r="AC353" s="318"/>
      <c r="AD353" s="319"/>
      <c r="AE353" s="220"/>
      <c r="AF353" s="320"/>
      <c r="AG353" s="205"/>
      <c r="AH353" s="205"/>
      <c r="AI353" s="205"/>
      <c r="AJ353" s="205"/>
      <c r="AK353" s="205"/>
      <c r="AL353" s="205"/>
      <c r="AM353" s="205"/>
      <c r="AN353" s="205"/>
      <c r="AO353" s="205"/>
      <c r="AP353" s="205"/>
      <c r="AQ353" s="205"/>
      <c r="AR353" s="205"/>
      <c r="AS353" s="205"/>
      <c r="AT353" s="205"/>
      <c r="AU353" s="205"/>
      <c r="AV353" s="205"/>
      <c r="AW353" s="205"/>
      <c r="AX353" s="205"/>
      <c r="AY353" s="205"/>
      <c r="AZ353" s="205"/>
      <c r="BA353" s="205"/>
      <c r="BB353" s="205"/>
      <c r="BC353" s="205"/>
      <c r="BD353" s="205"/>
      <c r="BE353" s="205"/>
      <c r="BF353" s="205"/>
      <c r="BG353" s="205"/>
      <c r="BH353" s="205"/>
      <c r="BI353" s="319"/>
    </row>
    <row r="354" spans="3:61" ht="15" customHeight="1">
      <c r="C354" s="325"/>
      <c r="D354" s="326"/>
      <c r="E354" s="311"/>
      <c r="F354" s="311"/>
      <c r="G354" s="311"/>
      <c r="H354" s="311"/>
      <c r="I354" s="311"/>
      <c r="J354" s="317"/>
      <c r="K354" s="312"/>
      <c r="L354" s="312"/>
      <c r="M354" s="312"/>
      <c r="N354" s="312"/>
      <c r="O354" s="312"/>
      <c r="P354" s="322" t="str">
        <f t="shared" si="17"/>
        <v/>
      </c>
      <c r="Q354" s="208" t="str">
        <f t="shared" si="15"/>
        <v/>
      </c>
      <c r="R354" s="208"/>
      <c r="S354" s="323" t="str">
        <f t="shared" si="16"/>
        <v/>
      </c>
      <c r="U354" s="322"/>
      <c r="V354" s="791"/>
      <c r="W354" s="792"/>
      <c r="X354" s="480"/>
      <c r="Y354" s="480"/>
      <c r="Z354" s="480"/>
      <c r="AA354" s="323"/>
      <c r="AB354" s="220"/>
      <c r="AC354" s="322"/>
      <c r="AD354" s="323"/>
      <c r="AE354" s="220"/>
      <c r="AF354" s="324"/>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08"/>
      <c r="BB354" s="208"/>
      <c r="BC354" s="208"/>
      <c r="BD354" s="208"/>
      <c r="BE354" s="208"/>
      <c r="BF354" s="208"/>
      <c r="BG354" s="208"/>
      <c r="BH354" s="208"/>
      <c r="BI354" s="323"/>
    </row>
    <row r="355" spans="3:61" ht="15" customHeight="1">
      <c r="C355" s="325"/>
      <c r="D355" s="326"/>
      <c r="E355" s="311"/>
      <c r="F355" s="311"/>
      <c r="G355" s="311"/>
      <c r="H355" s="311"/>
      <c r="I355" s="311"/>
      <c r="J355" s="317"/>
      <c r="K355" s="312"/>
      <c r="L355" s="312"/>
      <c r="M355" s="312"/>
      <c r="N355" s="312"/>
      <c r="O355" s="312"/>
      <c r="P355" s="318" t="str">
        <f t="shared" si="17"/>
        <v/>
      </c>
      <c r="Q355" s="205" t="str">
        <f t="shared" si="15"/>
        <v/>
      </c>
      <c r="R355" s="205"/>
      <c r="S355" s="319" t="str">
        <f t="shared" si="16"/>
        <v/>
      </c>
      <c r="U355" s="318"/>
      <c r="V355" s="794"/>
      <c r="W355" s="795"/>
      <c r="X355" s="482"/>
      <c r="Y355" s="482"/>
      <c r="Z355" s="482"/>
      <c r="AA355" s="319"/>
      <c r="AB355" s="220"/>
      <c r="AC355" s="318"/>
      <c r="AD355" s="319"/>
      <c r="AE355" s="220"/>
      <c r="AF355" s="320"/>
      <c r="AG355" s="205"/>
      <c r="AH355" s="205"/>
      <c r="AI355" s="205"/>
      <c r="AJ355" s="205"/>
      <c r="AK355" s="205"/>
      <c r="AL355" s="205"/>
      <c r="AM355" s="205"/>
      <c r="AN355" s="205"/>
      <c r="AO355" s="205"/>
      <c r="AP355" s="205"/>
      <c r="AQ355" s="205"/>
      <c r="AR355" s="205"/>
      <c r="AS355" s="205"/>
      <c r="AT355" s="205"/>
      <c r="AU355" s="205"/>
      <c r="AV355" s="205"/>
      <c r="AW355" s="205"/>
      <c r="AX355" s="205"/>
      <c r="AY355" s="205"/>
      <c r="AZ355" s="205"/>
      <c r="BA355" s="205"/>
      <c r="BB355" s="205"/>
      <c r="BC355" s="205"/>
      <c r="BD355" s="205"/>
      <c r="BE355" s="205"/>
      <c r="BF355" s="205"/>
      <c r="BG355" s="205"/>
      <c r="BH355" s="205"/>
      <c r="BI355" s="319"/>
    </row>
    <row r="356" spans="3:61" ht="15" customHeight="1">
      <c r="C356" s="325"/>
      <c r="D356" s="326"/>
      <c r="E356" s="311"/>
      <c r="F356" s="311"/>
      <c r="G356" s="311"/>
      <c r="H356" s="311"/>
      <c r="I356" s="311"/>
      <c r="J356" s="317"/>
      <c r="K356" s="312"/>
      <c r="L356" s="312"/>
      <c r="M356" s="312"/>
      <c r="N356" s="312"/>
      <c r="O356" s="312"/>
      <c r="P356" s="322" t="str">
        <f t="shared" si="17"/>
        <v/>
      </c>
      <c r="Q356" s="208" t="str">
        <f t="shared" si="15"/>
        <v/>
      </c>
      <c r="R356" s="208"/>
      <c r="S356" s="323" t="str">
        <f t="shared" si="16"/>
        <v/>
      </c>
      <c r="U356" s="322"/>
      <c r="V356" s="791"/>
      <c r="W356" s="792"/>
      <c r="X356" s="480"/>
      <c r="Y356" s="480"/>
      <c r="Z356" s="480"/>
      <c r="AA356" s="323"/>
      <c r="AB356" s="220"/>
      <c r="AC356" s="322"/>
      <c r="AD356" s="323"/>
      <c r="AE356" s="220"/>
      <c r="AF356" s="324"/>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08"/>
      <c r="BB356" s="208"/>
      <c r="BC356" s="208"/>
      <c r="BD356" s="208"/>
      <c r="BE356" s="208"/>
      <c r="BF356" s="208"/>
      <c r="BG356" s="208"/>
      <c r="BH356" s="208"/>
      <c r="BI356" s="323"/>
    </row>
    <row r="357" spans="3:61" ht="15" customHeight="1">
      <c r="C357" s="325"/>
      <c r="D357" s="326"/>
      <c r="E357" s="311"/>
      <c r="F357" s="311"/>
      <c r="G357" s="311"/>
      <c r="H357" s="311"/>
      <c r="I357" s="311"/>
      <c r="J357" s="317"/>
      <c r="K357" s="312"/>
      <c r="L357" s="312"/>
      <c r="M357" s="312"/>
      <c r="N357" s="312"/>
      <c r="O357" s="312"/>
      <c r="P357" s="318" t="str">
        <f t="shared" si="17"/>
        <v/>
      </c>
      <c r="Q357" s="205" t="str">
        <f t="shared" si="15"/>
        <v/>
      </c>
      <c r="R357" s="205"/>
      <c r="S357" s="319" t="str">
        <f t="shared" si="16"/>
        <v/>
      </c>
      <c r="U357" s="318"/>
      <c r="V357" s="794"/>
      <c r="W357" s="795"/>
      <c r="X357" s="482"/>
      <c r="Y357" s="482"/>
      <c r="Z357" s="482"/>
      <c r="AA357" s="319"/>
      <c r="AB357" s="220"/>
      <c r="AC357" s="318"/>
      <c r="AD357" s="319"/>
      <c r="AE357" s="220"/>
      <c r="AF357" s="320"/>
      <c r="AG357" s="205"/>
      <c r="AH357" s="205"/>
      <c r="AI357" s="205"/>
      <c r="AJ357" s="205"/>
      <c r="AK357" s="205"/>
      <c r="AL357" s="205"/>
      <c r="AM357" s="205"/>
      <c r="AN357" s="205"/>
      <c r="AO357" s="205"/>
      <c r="AP357" s="205"/>
      <c r="AQ357" s="205"/>
      <c r="AR357" s="205"/>
      <c r="AS357" s="205"/>
      <c r="AT357" s="205"/>
      <c r="AU357" s="205"/>
      <c r="AV357" s="205"/>
      <c r="AW357" s="205"/>
      <c r="AX357" s="205"/>
      <c r="AY357" s="205"/>
      <c r="AZ357" s="205"/>
      <c r="BA357" s="205"/>
      <c r="BB357" s="205"/>
      <c r="BC357" s="205"/>
      <c r="BD357" s="205"/>
      <c r="BE357" s="205"/>
      <c r="BF357" s="205"/>
      <c r="BG357" s="205"/>
      <c r="BH357" s="205"/>
      <c r="BI357" s="319"/>
    </row>
    <row r="358" spans="3:61" ht="15" customHeight="1">
      <c r="C358" s="325"/>
      <c r="D358" s="326"/>
      <c r="E358" s="311"/>
      <c r="F358" s="311"/>
      <c r="G358" s="311"/>
      <c r="H358" s="311"/>
      <c r="I358" s="311"/>
      <c r="J358" s="317"/>
      <c r="K358" s="312"/>
      <c r="L358" s="312"/>
      <c r="M358" s="312"/>
      <c r="N358" s="312"/>
      <c r="O358" s="312"/>
      <c r="P358" s="322" t="str">
        <f t="shared" si="17"/>
        <v/>
      </c>
      <c r="Q358" s="208" t="str">
        <f t="shared" si="15"/>
        <v/>
      </c>
      <c r="R358" s="208"/>
      <c r="S358" s="323" t="str">
        <f t="shared" si="16"/>
        <v/>
      </c>
      <c r="U358" s="322"/>
      <c r="V358" s="791"/>
      <c r="W358" s="792"/>
      <c r="X358" s="480"/>
      <c r="Y358" s="480"/>
      <c r="Z358" s="480"/>
      <c r="AA358" s="323"/>
      <c r="AB358" s="220"/>
      <c r="AC358" s="322"/>
      <c r="AD358" s="323"/>
      <c r="AE358" s="220"/>
      <c r="AF358" s="324"/>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08"/>
      <c r="BB358" s="208"/>
      <c r="BC358" s="208"/>
      <c r="BD358" s="208"/>
      <c r="BE358" s="208"/>
      <c r="BF358" s="208"/>
      <c r="BG358" s="208"/>
      <c r="BH358" s="208"/>
      <c r="BI358" s="323"/>
    </row>
    <row r="359" spans="3:61" ht="15" customHeight="1">
      <c r="C359" s="325"/>
      <c r="D359" s="326"/>
      <c r="E359" s="311"/>
      <c r="F359" s="311"/>
      <c r="G359" s="311"/>
      <c r="H359" s="311"/>
      <c r="I359" s="311"/>
      <c r="J359" s="317"/>
      <c r="K359" s="312"/>
      <c r="L359" s="312"/>
      <c r="M359" s="312"/>
      <c r="N359" s="312"/>
      <c r="O359" s="312"/>
      <c r="P359" s="318" t="str">
        <f t="shared" si="17"/>
        <v/>
      </c>
      <c r="Q359" s="205" t="str">
        <f t="shared" si="15"/>
        <v/>
      </c>
      <c r="R359" s="205"/>
      <c r="S359" s="319" t="str">
        <f t="shared" si="16"/>
        <v/>
      </c>
      <c r="U359" s="318"/>
      <c r="V359" s="794"/>
      <c r="W359" s="795"/>
      <c r="X359" s="482"/>
      <c r="Y359" s="482"/>
      <c r="Z359" s="482"/>
      <c r="AA359" s="319"/>
      <c r="AB359" s="220"/>
      <c r="AC359" s="318"/>
      <c r="AD359" s="319"/>
      <c r="AE359" s="220"/>
      <c r="AF359" s="320"/>
      <c r="AG359" s="205"/>
      <c r="AH359" s="205"/>
      <c r="AI359" s="205"/>
      <c r="AJ359" s="205"/>
      <c r="AK359" s="205"/>
      <c r="AL359" s="205"/>
      <c r="AM359" s="205"/>
      <c r="AN359" s="205"/>
      <c r="AO359" s="205"/>
      <c r="AP359" s="205"/>
      <c r="AQ359" s="205"/>
      <c r="AR359" s="205"/>
      <c r="AS359" s="205"/>
      <c r="AT359" s="205"/>
      <c r="AU359" s="205"/>
      <c r="AV359" s="205"/>
      <c r="AW359" s="205"/>
      <c r="AX359" s="205"/>
      <c r="AY359" s="205"/>
      <c r="AZ359" s="205"/>
      <c r="BA359" s="205"/>
      <c r="BB359" s="205"/>
      <c r="BC359" s="205"/>
      <c r="BD359" s="205"/>
      <c r="BE359" s="205"/>
      <c r="BF359" s="205"/>
      <c r="BG359" s="205"/>
      <c r="BH359" s="205"/>
      <c r="BI359" s="319"/>
    </row>
    <row r="360" spans="3:61" ht="15" customHeight="1">
      <c r="C360" s="325"/>
      <c r="D360" s="326"/>
      <c r="E360" s="311"/>
      <c r="F360" s="311"/>
      <c r="G360" s="311"/>
      <c r="H360" s="311"/>
      <c r="I360" s="311"/>
      <c r="J360" s="317"/>
      <c r="K360" s="312"/>
      <c r="L360" s="312"/>
      <c r="M360" s="312"/>
      <c r="N360" s="312"/>
      <c r="O360" s="312"/>
      <c r="P360" s="322" t="str">
        <f t="shared" si="17"/>
        <v/>
      </c>
      <c r="Q360" s="208" t="str">
        <f t="shared" si="15"/>
        <v/>
      </c>
      <c r="R360" s="208"/>
      <c r="S360" s="323" t="str">
        <f t="shared" si="16"/>
        <v/>
      </c>
      <c r="U360" s="322"/>
      <c r="V360" s="791"/>
      <c r="W360" s="792"/>
      <c r="X360" s="480"/>
      <c r="Y360" s="480"/>
      <c r="Z360" s="480"/>
      <c r="AA360" s="323"/>
      <c r="AB360" s="220"/>
      <c r="AC360" s="322"/>
      <c r="AD360" s="323"/>
      <c r="AE360" s="220"/>
      <c r="AF360" s="324"/>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08"/>
      <c r="BB360" s="208"/>
      <c r="BC360" s="208"/>
      <c r="BD360" s="208"/>
      <c r="BE360" s="208"/>
      <c r="BF360" s="208"/>
      <c r="BG360" s="208"/>
      <c r="BH360" s="208"/>
      <c r="BI360" s="323"/>
    </row>
    <row r="361" spans="3:61" ht="15" customHeight="1">
      <c r="C361" s="325"/>
      <c r="D361" s="326"/>
      <c r="E361" s="311"/>
      <c r="F361" s="311"/>
      <c r="G361" s="311"/>
      <c r="H361" s="311"/>
      <c r="I361" s="311"/>
      <c r="J361" s="317"/>
      <c r="K361" s="312"/>
      <c r="L361" s="312"/>
      <c r="M361" s="312"/>
      <c r="N361" s="312"/>
      <c r="O361" s="312"/>
      <c r="P361" s="318" t="str">
        <f t="shared" si="17"/>
        <v/>
      </c>
      <c r="Q361" s="205" t="str">
        <f t="shared" si="15"/>
        <v/>
      </c>
      <c r="R361" s="205"/>
      <c r="S361" s="319" t="str">
        <f t="shared" si="16"/>
        <v/>
      </c>
      <c r="U361" s="318"/>
      <c r="V361" s="794"/>
      <c r="W361" s="795"/>
      <c r="X361" s="482"/>
      <c r="Y361" s="482"/>
      <c r="Z361" s="482"/>
      <c r="AA361" s="319"/>
      <c r="AB361" s="220"/>
      <c r="AC361" s="318"/>
      <c r="AD361" s="319"/>
      <c r="AE361" s="220"/>
      <c r="AF361" s="320"/>
      <c r="AG361" s="205"/>
      <c r="AH361" s="205"/>
      <c r="AI361" s="205"/>
      <c r="AJ361" s="205"/>
      <c r="AK361" s="205"/>
      <c r="AL361" s="205"/>
      <c r="AM361" s="205"/>
      <c r="AN361" s="205"/>
      <c r="AO361" s="205"/>
      <c r="AP361" s="205"/>
      <c r="AQ361" s="205"/>
      <c r="AR361" s="205"/>
      <c r="AS361" s="205"/>
      <c r="AT361" s="205"/>
      <c r="AU361" s="205"/>
      <c r="AV361" s="205"/>
      <c r="AW361" s="205"/>
      <c r="AX361" s="205"/>
      <c r="AY361" s="205"/>
      <c r="AZ361" s="205"/>
      <c r="BA361" s="205"/>
      <c r="BB361" s="205"/>
      <c r="BC361" s="205"/>
      <c r="BD361" s="205"/>
      <c r="BE361" s="205"/>
      <c r="BF361" s="205"/>
      <c r="BG361" s="205"/>
      <c r="BH361" s="205"/>
      <c r="BI361" s="319"/>
    </row>
    <row r="362" spans="3:61" ht="15" customHeight="1">
      <c r="C362" s="325"/>
      <c r="D362" s="326"/>
      <c r="E362" s="311"/>
      <c r="F362" s="311"/>
      <c r="G362" s="311"/>
      <c r="H362" s="311"/>
      <c r="I362" s="311"/>
      <c r="J362" s="317"/>
      <c r="K362" s="312"/>
      <c r="L362" s="312"/>
      <c r="M362" s="312"/>
      <c r="N362" s="312"/>
      <c r="O362" s="312"/>
      <c r="P362" s="322" t="str">
        <f t="shared" si="17"/>
        <v/>
      </c>
      <c r="Q362" s="208" t="str">
        <f t="shared" si="15"/>
        <v/>
      </c>
      <c r="R362" s="208"/>
      <c r="S362" s="323" t="str">
        <f t="shared" si="16"/>
        <v/>
      </c>
      <c r="U362" s="322"/>
      <c r="V362" s="791"/>
      <c r="W362" s="792"/>
      <c r="X362" s="480"/>
      <c r="Y362" s="480"/>
      <c r="Z362" s="480"/>
      <c r="AA362" s="323"/>
      <c r="AB362" s="220"/>
      <c r="AC362" s="322"/>
      <c r="AD362" s="323"/>
      <c r="AE362" s="220"/>
      <c r="AF362" s="324"/>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08"/>
      <c r="BB362" s="208"/>
      <c r="BC362" s="208"/>
      <c r="BD362" s="208"/>
      <c r="BE362" s="208"/>
      <c r="BF362" s="208"/>
      <c r="BG362" s="208"/>
      <c r="BH362" s="208"/>
      <c r="BI362" s="323"/>
    </row>
    <row r="363" spans="3:61" ht="15" customHeight="1">
      <c r="C363" s="325"/>
      <c r="D363" s="326"/>
      <c r="E363" s="311"/>
      <c r="F363" s="311"/>
      <c r="G363" s="311"/>
      <c r="H363" s="311"/>
      <c r="I363" s="311"/>
      <c r="J363" s="317"/>
      <c r="K363" s="312"/>
      <c r="L363" s="312"/>
      <c r="M363" s="312"/>
      <c r="N363" s="312"/>
      <c r="O363" s="312"/>
      <c r="P363" s="318" t="str">
        <f t="shared" si="17"/>
        <v/>
      </c>
      <c r="Q363" s="205" t="str">
        <f t="shared" si="15"/>
        <v/>
      </c>
      <c r="R363" s="205"/>
      <c r="S363" s="319" t="str">
        <f t="shared" si="16"/>
        <v/>
      </c>
      <c r="U363" s="318"/>
      <c r="V363" s="794"/>
      <c r="W363" s="795"/>
      <c r="X363" s="482"/>
      <c r="Y363" s="482"/>
      <c r="Z363" s="482"/>
      <c r="AA363" s="319"/>
      <c r="AB363" s="220"/>
      <c r="AC363" s="318"/>
      <c r="AD363" s="319"/>
      <c r="AE363" s="220"/>
      <c r="AF363" s="320"/>
      <c r="AG363" s="205"/>
      <c r="AH363" s="205"/>
      <c r="AI363" s="205"/>
      <c r="AJ363" s="205"/>
      <c r="AK363" s="205"/>
      <c r="AL363" s="205"/>
      <c r="AM363" s="205"/>
      <c r="AN363" s="205"/>
      <c r="AO363" s="205"/>
      <c r="AP363" s="205"/>
      <c r="AQ363" s="205"/>
      <c r="AR363" s="205"/>
      <c r="AS363" s="205"/>
      <c r="AT363" s="205"/>
      <c r="AU363" s="205"/>
      <c r="AV363" s="205"/>
      <c r="AW363" s="205"/>
      <c r="AX363" s="205"/>
      <c r="AY363" s="205"/>
      <c r="AZ363" s="205"/>
      <c r="BA363" s="205"/>
      <c r="BB363" s="205"/>
      <c r="BC363" s="205"/>
      <c r="BD363" s="205"/>
      <c r="BE363" s="205"/>
      <c r="BF363" s="205"/>
      <c r="BG363" s="205"/>
      <c r="BH363" s="205"/>
      <c r="BI363" s="319"/>
    </row>
    <row r="364" spans="3:61" ht="15" customHeight="1">
      <c r="C364" s="325"/>
      <c r="D364" s="326"/>
      <c r="E364" s="311"/>
      <c r="F364" s="311"/>
      <c r="G364" s="311"/>
      <c r="H364" s="311"/>
      <c r="I364" s="311"/>
      <c r="J364" s="317"/>
      <c r="K364" s="312"/>
      <c r="L364" s="312"/>
      <c r="M364" s="312"/>
      <c r="N364" s="312"/>
      <c r="O364" s="312"/>
      <c r="P364" s="322" t="str">
        <f t="shared" si="17"/>
        <v/>
      </c>
      <c r="Q364" s="208" t="str">
        <f t="shared" si="15"/>
        <v/>
      </c>
      <c r="R364" s="208"/>
      <c r="S364" s="323" t="str">
        <f t="shared" si="16"/>
        <v/>
      </c>
      <c r="U364" s="322"/>
      <c r="V364" s="791"/>
      <c r="W364" s="792"/>
      <c r="X364" s="480"/>
      <c r="Y364" s="480"/>
      <c r="Z364" s="480"/>
      <c r="AA364" s="323"/>
      <c r="AB364" s="220"/>
      <c r="AC364" s="322"/>
      <c r="AD364" s="323"/>
      <c r="AE364" s="220"/>
      <c r="AF364" s="324"/>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08"/>
      <c r="BB364" s="208"/>
      <c r="BC364" s="208"/>
      <c r="BD364" s="208"/>
      <c r="BE364" s="208"/>
      <c r="BF364" s="208"/>
      <c r="BG364" s="208"/>
      <c r="BH364" s="208"/>
      <c r="BI364" s="323"/>
    </row>
    <row r="365" spans="3:61" ht="15" customHeight="1">
      <c r="C365" s="325"/>
      <c r="D365" s="326"/>
      <c r="E365" s="311"/>
      <c r="F365" s="311"/>
      <c r="G365" s="311"/>
      <c r="H365" s="311"/>
      <c r="I365" s="311"/>
      <c r="J365" s="317"/>
      <c r="K365" s="312"/>
      <c r="L365" s="312"/>
      <c r="M365" s="312"/>
      <c r="N365" s="312"/>
      <c r="O365" s="312"/>
      <c r="P365" s="318" t="str">
        <f t="shared" si="17"/>
        <v/>
      </c>
      <c r="Q365" s="205" t="str">
        <f t="shared" si="15"/>
        <v/>
      </c>
      <c r="R365" s="205"/>
      <c r="S365" s="319" t="str">
        <f t="shared" si="16"/>
        <v/>
      </c>
      <c r="U365" s="318"/>
      <c r="V365" s="794"/>
      <c r="W365" s="795"/>
      <c r="X365" s="482"/>
      <c r="Y365" s="482"/>
      <c r="Z365" s="482"/>
      <c r="AA365" s="319"/>
      <c r="AB365" s="220"/>
      <c r="AC365" s="318"/>
      <c r="AD365" s="319"/>
      <c r="AE365" s="220"/>
      <c r="AF365" s="320"/>
      <c r="AG365" s="205"/>
      <c r="AH365" s="205"/>
      <c r="AI365" s="205"/>
      <c r="AJ365" s="205"/>
      <c r="AK365" s="205"/>
      <c r="AL365" s="205"/>
      <c r="AM365" s="205"/>
      <c r="AN365" s="205"/>
      <c r="AO365" s="205"/>
      <c r="AP365" s="205"/>
      <c r="AQ365" s="205"/>
      <c r="AR365" s="205"/>
      <c r="AS365" s="205"/>
      <c r="AT365" s="205"/>
      <c r="AU365" s="205"/>
      <c r="AV365" s="205"/>
      <c r="AW365" s="205"/>
      <c r="AX365" s="205"/>
      <c r="AY365" s="205"/>
      <c r="AZ365" s="205"/>
      <c r="BA365" s="205"/>
      <c r="BB365" s="205"/>
      <c r="BC365" s="205"/>
      <c r="BD365" s="205"/>
      <c r="BE365" s="205"/>
      <c r="BF365" s="205"/>
      <c r="BG365" s="205"/>
      <c r="BH365" s="205"/>
      <c r="BI365" s="319"/>
    </row>
    <row r="366" spans="3:61" ht="15" customHeight="1">
      <c r="C366" s="325"/>
      <c r="D366" s="326"/>
      <c r="E366" s="311"/>
      <c r="F366" s="311"/>
      <c r="G366" s="311"/>
      <c r="H366" s="311"/>
      <c r="I366" s="311"/>
      <c r="J366" s="317"/>
      <c r="K366" s="312"/>
      <c r="L366" s="312"/>
      <c r="M366" s="312"/>
      <c r="N366" s="312"/>
      <c r="O366" s="312"/>
      <c r="P366" s="322" t="str">
        <f t="shared" si="17"/>
        <v/>
      </c>
      <c r="Q366" s="208" t="str">
        <f t="shared" si="15"/>
        <v/>
      </c>
      <c r="R366" s="208"/>
      <c r="S366" s="323" t="str">
        <f t="shared" si="16"/>
        <v/>
      </c>
      <c r="U366" s="322"/>
      <c r="V366" s="791"/>
      <c r="W366" s="792"/>
      <c r="X366" s="480"/>
      <c r="Y366" s="480"/>
      <c r="Z366" s="480"/>
      <c r="AA366" s="323"/>
      <c r="AB366" s="220"/>
      <c r="AC366" s="322"/>
      <c r="AD366" s="323"/>
      <c r="AE366" s="220"/>
      <c r="AF366" s="324"/>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08"/>
      <c r="BB366" s="208"/>
      <c r="BC366" s="208"/>
      <c r="BD366" s="208"/>
      <c r="BE366" s="208"/>
      <c r="BF366" s="208"/>
      <c r="BG366" s="208"/>
      <c r="BH366" s="208"/>
      <c r="BI366" s="323"/>
    </row>
    <row r="367" spans="3:61" ht="15" customHeight="1">
      <c r="C367" s="325"/>
      <c r="D367" s="326"/>
      <c r="E367" s="311"/>
      <c r="F367" s="311"/>
      <c r="G367" s="311"/>
      <c r="H367" s="311"/>
      <c r="I367" s="311"/>
      <c r="J367" s="317"/>
      <c r="K367" s="312"/>
      <c r="L367" s="312"/>
      <c r="M367" s="312"/>
      <c r="N367" s="312"/>
      <c r="O367" s="312"/>
      <c r="P367" s="318" t="str">
        <f t="shared" si="17"/>
        <v/>
      </c>
      <c r="Q367" s="205" t="str">
        <f t="shared" si="15"/>
        <v/>
      </c>
      <c r="R367" s="205"/>
      <c r="S367" s="319" t="str">
        <f t="shared" si="16"/>
        <v/>
      </c>
      <c r="U367" s="318"/>
      <c r="V367" s="794"/>
      <c r="W367" s="795"/>
      <c r="X367" s="482"/>
      <c r="Y367" s="482"/>
      <c r="Z367" s="482"/>
      <c r="AA367" s="319"/>
      <c r="AB367" s="220"/>
      <c r="AC367" s="318"/>
      <c r="AD367" s="319"/>
      <c r="AE367" s="220"/>
      <c r="AF367" s="320"/>
      <c r="AG367" s="205"/>
      <c r="AH367" s="205"/>
      <c r="AI367" s="205"/>
      <c r="AJ367" s="205"/>
      <c r="AK367" s="205"/>
      <c r="AL367" s="205"/>
      <c r="AM367" s="205"/>
      <c r="AN367" s="205"/>
      <c r="AO367" s="205"/>
      <c r="AP367" s="205"/>
      <c r="AQ367" s="205"/>
      <c r="AR367" s="205"/>
      <c r="AS367" s="205"/>
      <c r="AT367" s="205"/>
      <c r="AU367" s="205"/>
      <c r="AV367" s="205"/>
      <c r="AW367" s="205"/>
      <c r="AX367" s="205"/>
      <c r="AY367" s="205"/>
      <c r="AZ367" s="205"/>
      <c r="BA367" s="205"/>
      <c r="BB367" s="205"/>
      <c r="BC367" s="205"/>
      <c r="BD367" s="205"/>
      <c r="BE367" s="205"/>
      <c r="BF367" s="205"/>
      <c r="BG367" s="205"/>
      <c r="BH367" s="205"/>
      <c r="BI367" s="319"/>
    </row>
    <row r="368" spans="3:61" ht="15" customHeight="1">
      <c r="C368" s="325"/>
      <c r="D368" s="326"/>
      <c r="E368" s="311"/>
      <c r="F368" s="311"/>
      <c r="G368" s="311"/>
      <c r="H368" s="311"/>
      <c r="I368" s="311"/>
      <c r="J368" s="317"/>
      <c r="K368" s="312"/>
      <c r="L368" s="312"/>
      <c r="M368" s="312"/>
      <c r="N368" s="312"/>
      <c r="O368" s="312"/>
      <c r="P368" s="322" t="str">
        <f t="shared" si="17"/>
        <v/>
      </c>
      <c r="Q368" s="208" t="str">
        <f t="shared" si="15"/>
        <v/>
      </c>
      <c r="R368" s="208"/>
      <c r="S368" s="323" t="str">
        <f t="shared" si="16"/>
        <v/>
      </c>
      <c r="U368" s="322"/>
      <c r="V368" s="791"/>
      <c r="W368" s="792"/>
      <c r="X368" s="480"/>
      <c r="Y368" s="480"/>
      <c r="Z368" s="480"/>
      <c r="AA368" s="323"/>
      <c r="AB368" s="220"/>
      <c r="AC368" s="322"/>
      <c r="AD368" s="323"/>
      <c r="AE368" s="220"/>
      <c r="AF368" s="324"/>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08"/>
      <c r="BB368" s="208"/>
      <c r="BC368" s="208"/>
      <c r="BD368" s="208"/>
      <c r="BE368" s="208"/>
      <c r="BF368" s="208"/>
      <c r="BG368" s="208"/>
      <c r="BH368" s="208"/>
      <c r="BI368" s="323"/>
    </row>
    <row r="369" spans="3:61" ht="15" customHeight="1">
      <c r="C369" s="325"/>
      <c r="D369" s="326"/>
      <c r="E369" s="311"/>
      <c r="F369" s="311"/>
      <c r="G369" s="311"/>
      <c r="H369" s="311"/>
      <c r="I369" s="311"/>
      <c r="J369" s="317"/>
      <c r="K369" s="312"/>
      <c r="L369" s="312"/>
      <c r="M369" s="312"/>
      <c r="N369" s="312"/>
      <c r="O369" s="312"/>
      <c r="P369" s="318" t="str">
        <f t="shared" si="17"/>
        <v/>
      </c>
      <c r="Q369" s="205" t="str">
        <f t="shared" si="15"/>
        <v/>
      </c>
      <c r="R369" s="205"/>
      <c r="S369" s="319" t="str">
        <f t="shared" si="16"/>
        <v/>
      </c>
      <c r="U369" s="318"/>
      <c r="V369" s="794"/>
      <c r="W369" s="795"/>
      <c r="X369" s="482"/>
      <c r="Y369" s="482"/>
      <c r="Z369" s="482"/>
      <c r="AA369" s="319"/>
      <c r="AB369" s="220"/>
      <c r="AC369" s="318"/>
      <c r="AD369" s="319"/>
      <c r="AE369" s="220"/>
      <c r="AF369" s="320"/>
      <c r="AG369" s="205"/>
      <c r="AH369" s="205"/>
      <c r="AI369" s="205"/>
      <c r="AJ369" s="205"/>
      <c r="AK369" s="205"/>
      <c r="AL369" s="205"/>
      <c r="AM369" s="205"/>
      <c r="AN369" s="205"/>
      <c r="AO369" s="205"/>
      <c r="AP369" s="205"/>
      <c r="AQ369" s="205"/>
      <c r="AR369" s="205"/>
      <c r="AS369" s="205"/>
      <c r="AT369" s="205"/>
      <c r="AU369" s="205"/>
      <c r="AV369" s="205"/>
      <c r="AW369" s="205"/>
      <c r="AX369" s="205"/>
      <c r="AY369" s="205"/>
      <c r="AZ369" s="205"/>
      <c r="BA369" s="205"/>
      <c r="BB369" s="205"/>
      <c r="BC369" s="205"/>
      <c r="BD369" s="205"/>
      <c r="BE369" s="205"/>
      <c r="BF369" s="205"/>
      <c r="BG369" s="205"/>
      <c r="BH369" s="205"/>
      <c r="BI369" s="319"/>
    </row>
    <row r="370" spans="3:61" ht="15" customHeight="1">
      <c r="C370" s="325"/>
      <c r="D370" s="326"/>
      <c r="E370" s="311"/>
      <c r="F370" s="311"/>
      <c r="G370" s="311"/>
      <c r="H370" s="311"/>
      <c r="I370" s="311"/>
      <c r="J370" s="317"/>
      <c r="K370" s="312"/>
      <c r="L370" s="312"/>
      <c r="M370" s="312"/>
      <c r="N370" s="312"/>
      <c r="O370" s="312"/>
      <c r="P370" s="322" t="str">
        <f t="shared" si="17"/>
        <v/>
      </c>
      <c r="Q370" s="208" t="str">
        <f t="shared" si="15"/>
        <v/>
      </c>
      <c r="R370" s="208"/>
      <c r="S370" s="323" t="str">
        <f t="shared" si="16"/>
        <v/>
      </c>
      <c r="U370" s="322"/>
      <c r="V370" s="791"/>
      <c r="W370" s="792"/>
      <c r="X370" s="480"/>
      <c r="Y370" s="480"/>
      <c r="Z370" s="480"/>
      <c r="AA370" s="323"/>
      <c r="AB370" s="220"/>
      <c r="AC370" s="322"/>
      <c r="AD370" s="323"/>
      <c r="AE370" s="220"/>
      <c r="AF370" s="324"/>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08"/>
      <c r="BB370" s="208"/>
      <c r="BC370" s="208"/>
      <c r="BD370" s="208"/>
      <c r="BE370" s="208"/>
      <c r="BF370" s="208"/>
      <c r="BG370" s="208"/>
      <c r="BH370" s="208"/>
      <c r="BI370" s="323"/>
    </row>
    <row r="371" spans="3:61" ht="15" customHeight="1">
      <c r="C371" s="325"/>
      <c r="D371" s="326"/>
      <c r="E371" s="311"/>
      <c r="F371" s="311"/>
      <c r="G371" s="311"/>
      <c r="H371" s="311"/>
      <c r="I371" s="311"/>
      <c r="J371" s="317"/>
      <c r="K371" s="312"/>
      <c r="L371" s="312"/>
      <c r="M371" s="312"/>
      <c r="N371" s="312"/>
      <c r="O371" s="312"/>
      <c r="P371" s="318" t="str">
        <f t="shared" si="17"/>
        <v/>
      </c>
      <c r="Q371" s="205" t="str">
        <f t="shared" si="15"/>
        <v/>
      </c>
      <c r="R371" s="205"/>
      <c r="S371" s="319" t="str">
        <f t="shared" si="16"/>
        <v/>
      </c>
      <c r="U371" s="318"/>
      <c r="V371" s="794"/>
      <c r="W371" s="795"/>
      <c r="X371" s="482"/>
      <c r="Y371" s="482"/>
      <c r="Z371" s="482"/>
      <c r="AA371" s="319"/>
      <c r="AB371" s="220"/>
      <c r="AC371" s="318"/>
      <c r="AD371" s="319"/>
      <c r="AE371" s="220"/>
      <c r="AF371" s="320"/>
      <c r="AG371" s="205"/>
      <c r="AH371" s="205"/>
      <c r="AI371" s="205"/>
      <c r="AJ371" s="205"/>
      <c r="AK371" s="205"/>
      <c r="AL371" s="205"/>
      <c r="AM371" s="205"/>
      <c r="AN371" s="205"/>
      <c r="AO371" s="205"/>
      <c r="AP371" s="205"/>
      <c r="AQ371" s="205"/>
      <c r="AR371" s="205"/>
      <c r="AS371" s="205"/>
      <c r="AT371" s="205"/>
      <c r="AU371" s="205"/>
      <c r="AV371" s="205"/>
      <c r="AW371" s="205"/>
      <c r="AX371" s="205"/>
      <c r="AY371" s="205"/>
      <c r="AZ371" s="205"/>
      <c r="BA371" s="205"/>
      <c r="BB371" s="205"/>
      <c r="BC371" s="205"/>
      <c r="BD371" s="205"/>
      <c r="BE371" s="205"/>
      <c r="BF371" s="205"/>
      <c r="BG371" s="205"/>
      <c r="BH371" s="205"/>
      <c r="BI371" s="319"/>
    </row>
    <row r="372" spans="3:61" ht="15" customHeight="1">
      <c r="C372" s="325"/>
      <c r="D372" s="326"/>
      <c r="E372" s="311"/>
      <c r="F372" s="311"/>
      <c r="G372" s="311"/>
      <c r="H372" s="311"/>
      <c r="I372" s="311"/>
      <c r="J372" s="317"/>
      <c r="K372" s="312"/>
      <c r="L372" s="312"/>
      <c r="M372" s="312"/>
      <c r="N372" s="312"/>
      <c r="O372" s="312"/>
      <c r="P372" s="322" t="str">
        <f t="shared" si="17"/>
        <v/>
      </c>
      <c r="Q372" s="208" t="str">
        <f t="shared" si="15"/>
        <v/>
      </c>
      <c r="R372" s="208"/>
      <c r="S372" s="323" t="str">
        <f t="shared" si="16"/>
        <v/>
      </c>
      <c r="U372" s="322"/>
      <c r="V372" s="791"/>
      <c r="W372" s="792"/>
      <c r="X372" s="480"/>
      <c r="Y372" s="480"/>
      <c r="Z372" s="480"/>
      <c r="AA372" s="323"/>
      <c r="AB372" s="220"/>
      <c r="AC372" s="322"/>
      <c r="AD372" s="323"/>
      <c r="AE372" s="220"/>
      <c r="AF372" s="324"/>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08"/>
      <c r="BB372" s="208"/>
      <c r="BC372" s="208"/>
      <c r="BD372" s="208"/>
      <c r="BE372" s="208"/>
      <c r="BF372" s="208"/>
      <c r="BG372" s="208"/>
      <c r="BH372" s="208"/>
      <c r="BI372" s="323"/>
    </row>
    <row r="373" spans="3:61" ht="15" customHeight="1">
      <c r="C373" s="325"/>
      <c r="D373" s="326"/>
      <c r="E373" s="311"/>
      <c r="F373" s="311"/>
      <c r="G373" s="311"/>
      <c r="H373" s="311"/>
      <c r="I373" s="311"/>
      <c r="J373" s="317"/>
      <c r="K373" s="312"/>
      <c r="L373" s="312"/>
      <c r="M373" s="312"/>
      <c r="N373" s="312"/>
      <c r="O373" s="312"/>
      <c r="P373" s="318" t="str">
        <f t="shared" si="17"/>
        <v/>
      </c>
      <c r="Q373" s="205" t="str">
        <f t="shared" si="15"/>
        <v/>
      </c>
      <c r="R373" s="205"/>
      <c r="S373" s="319" t="str">
        <f t="shared" si="16"/>
        <v/>
      </c>
      <c r="U373" s="318"/>
      <c r="V373" s="794"/>
      <c r="W373" s="795"/>
      <c r="X373" s="482"/>
      <c r="Y373" s="482"/>
      <c r="Z373" s="482"/>
      <c r="AA373" s="319"/>
      <c r="AB373" s="220"/>
      <c r="AC373" s="318"/>
      <c r="AD373" s="319"/>
      <c r="AE373" s="220"/>
      <c r="AF373" s="320"/>
      <c r="AG373" s="205"/>
      <c r="AH373" s="205"/>
      <c r="AI373" s="205"/>
      <c r="AJ373" s="205"/>
      <c r="AK373" s="205"/>
      <c r="AL373" s="205"/>
      <c r="AM373" s="205"/>
      <c r="AN373" s="205"/>
      <c r="AO373" s="205"/>
      <c r="AP373" s="205"/>
      <c r="AQ373" s="205"/>
      <c r="AR373" s="205"/>
      <c r="AS373" s="205"/>
      <c r="AT373" s="205"/>
      <c r="AU373" s="205"/>
      <c r="AV373" s="205"/>
      <c r="AW373" s="205"/>
      <c r="AX373" s="205"/>
      <c r="AY373" s="205"/>
      <c r="AZ373" s="205"/>
      <c r="BA373" s="205"/>
      <c r="BB373" s="205"/>
      <c r="BC373" s="205"/>
      <c r="BD373" s="205"/>
      <c r="BE373" s="205"/>
      <c r="BF373" s="205"/>
      <c r="BG373" s="205"/>
      <c r="BH373" s="205"/>
      <c r="BI373" s="319"/>
    </row>
    <row r="374" spans="3:61" ht="15" customHeight="1">
      <c r="C374" s="325"/>
      <c r="D374" s="326"/>
      <c r="E374" s="311"/>
      <c r="F374" s="311"/>
      <c r="G374" s="311"/>
      <c r="H374" s="311"/>
      <c r="I374" s="311"/>
      <c r="J374" s="317"/>
      <c r="K374" s="312"/>
      <c r="L374" s="312"/>
      <c r="M374" s="312"/>
      <c r="N374" s="312"/>
      <c r="O374" s="312"/>
      <c r="P374" s="322" t="str">
        <f t="shared" si="17"/>
        <v/>
      </c>
      <c r="Q374" s="208" t="str">
        <f t="shared" si="15"/>
        <v/>
      </c>
      <c r="R374" s="208"/>
      <c r="S374" s="323" t="str">
        <f t="shared" si="16"/>
        <v/>
      </c>
      <c r="U374" s="322"/>
      <c r="V374" s="791"/>
      <c r="W374" s="792"/>
      <c r="X374" s="480"/>
      <c r="Y374" s="480"/>
      <c r="Z374" s="480"/>
      <c r="AA374" s="323"/>
      <c r="AB374" s="220"/>
      <c r="AC374" s="322"/>
      <c r="AD374" s="323"/>
      <c r="AE374" s="220"/>
      <c r="AF374" s="324"/>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08"/>
      <c r="BB374" s="208"/>
      <c r="BC374" s="208"/>
      <c r="BD374" s="208"/>
      <c r="BE374" s="208"/>
      <c r="BF374" s="208"/>
      <c r="BG374" s="208"/>
      <c r="BH374" s="208"/>
      <c r="BI374" s="323"/>
    </row>
    <row r="375" spans="3:61" ht="15" customHeight="1">
      <c r="C375" s="325"/>
      <c r="D375" s="326"/>
      <c r="E375" s="311"/>
      <c r="F375" s="311"/>
      <c r="G375" s="311"/>
      <c r="H375" s="311"/>
      <c r="I375" s="311"/>
      <c r="J375" s="317"/>
      <c r="K375" s="312"/>
      <c r="L375" s="312"/>
      <c r="M375" s="312"/>
      <c r="N375" s="312"/>
      <c r="O375" s="312"/>
      <c r="P375" s="318" t="str">
        <f t="shared" si="17"/>
        <v/>
      </c>
      <c r="Q375" s="205" t="str">
        <f t="shared" si="15"/>
        <v/>
      </c>
      <c r="R375" s="205"/>
      <c r="S375" s="319" t="str">
        <f t="shared" si="16"/>
        <v/>
      </c>
      <c r="U375" s="318"/>
      <c r="V375" s="794"/>
      <c r="W375" s="795"/>
      <c r="X375" s="482"/>
      <c r="Y375" s="482"/>
      <c r="Z375" s="482"/>
      <c r="AA375" s="319"/>
      <c r="AB375" s="220"/>
      <c r="AC375" s="318"/>
      <c r="AD375" s="319"/>
      <c r="AE375" s="220"/>
      <c r="AF375" s="320"/>
      <c r="AG375" s="205"/>
      <c r="AH375" s="205"/>
      <c r="AI375" s="205"/>
      <c r="AJ375" s="205"/>
      <c r="AK375" s="205"/>
      <c r="AL375" s="205"/>
      <c r="AM375" s="205"/>
      <c r="AN375" s="205"/>
      <c r="AO375" s="205"/>
      <c r="AP375" s="205"/>
      <c r="AQ375" s="205"/>
      <c r="AR375" s="205"/>
      <c r="AS375" s="205"/>
      <c r="AT375" s="205"/>
      <c r="AU375" s="205"/>
      <c r="AV375" s="205"/>
      <c r="AW375" s="205"/>
      <c r="AX375" s="205"/>
      <c r="AY375" s="205"/>
      <c r="AZ375" s="205"/>
      <c r="BA375" s="205"/>
      <c r="BB375" s="205"/>
      <c r="BC375" s="205"/>
      <c r="BD375" s="205"/>
      <c r="BE375" s="205"/>
      <c r="BF375" s="205"/>
      <c r="BG375" s="205"/>
      <c r="BH375" s="205"/>
      <c r="BI375" s="319"/>
    </row>
    <row r="376" spans="3:61" ht="15" customHeight="1">
      <c r="C376" s="325"/>
      <c r="D376" s="326"/>
      <c r="E376" s="311"/>
      <c r="F376" s="311"/>
      <c r="G376" s="311"/>
      <c r="H376" s="311"/>
      <c r="I376" s="311"/>
      <c r="J376" s="317"/>
      <c r="K376" s="312"/>
      <c r="L376" s="312"/>
      <c r="M376" s="312"/>
      <c r="N376" s="312"/>
      <c r="O376" s="312"/>
      <c r="P376" s="322" t="str">
        <f t="shared" si="17"/>
        <v/>
      </c>
      <c r="Q376" s="208" t="str">
        <f t="shared" si="15"/>
        <v/>
      </c>
      <c r="R376" s="208"/>
      <c r="S376" s="323" t="str">
        <f t="shared" si="16"/>
        <v/>
      </c>
      <c r="U376" s="322"/>
      <c r="V376" s="791"/>
      <c r="W376" s="792"/>
      <c r="X376" s="480"/>
      <c r="Y376" s="480"/>
      <c r="Z376" s="480"/>
      <c r="AA376" s="323"/>
      <c r="AB376" s="220"/>
      <c r="AC376" s="322"/>
      <c r="AD376" s="323"/>
      <c r="AE376" s="220"/>
      <c r="AF376" s="324"/>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208"/>
      <c r="BB376" s="208"/>
      <c r="BC376" s="208"/>
      <c r="BD376" s="208"/>
      <c r="BE376" s="208"/>
      <c r="BF376" s="208"/>
      <c r="BG376" s="208"/>
      <c r="BH376" s="208"/>
      <c r="BI376" s="323"/>
    </row>
    <row r="377" spans="3:61" ht="15" customHeight="1">
      <c r="C377" s="325"/>
      <c r="D377" s="326"/>
      <c r="E377" s="311"/>
      <c r="F377" s="311"/>
      <c r="G377" s="311"/>
      <c r="H377" s="311"/>
      <c r="I377" s="311"/>
      <c r="J377" s="317"/>
      <c r="K377" s="312"/>
      <c r="L377" s="312"/>
      <c r="M377" s="312"/>
      <c r="N377" s="312"/>
      <c r="O377" s="312"/>
      <c r="P377" s="318" t="str">
        <f t="shared" si="17"/>
        <v/>
      </c>
      <c r="Q377" s="205" t="str">
        <f t="shared" si="15"/>
        <v/>
      </c>
      <c r="R377" s="205"/>
      <c r="S377" s="319" t="str">
        <f t="shared" si="16"/>
        <v/>
      </c>
      <c r="U377" s="318"/>
      <c r="V377" s="794"/>
      <c r="W377" s="795"/>
      <c r="X377" s="482"/>
      <c r="Y377" s="482"/>
      <c r="Z377" s="482"/>
      <c r="AA377" s="319"/>
      <c r="AB377" s="220"/>
      <c r="AC377" s="318"/>
      <c r="AD377" s="319"/>
      <c r="AE377" s="220"/>
      <c r="AF377" s="320"/>
      <c r="AG377" s="205"/>
      <c r="AH377" s="205"/>
      <c r="AI377" s="205"/>
      <c r="AJ377" s="205"/>
      <c r="AK377" s="205"/>
      <c r="AL377" s="205"/>
      <c r="AM377" s="205"/>
      <c r="AN377" s="205"/>
      <c r="AO377" s="205"/>
      <c r="AP377" s="205"/>
      <c r="AQ377" s="205"/>
      <c r="AR377" s="205"/>
      <c r="AS377" s="205"/>
      <c r="AT377" s="205"/>
      <c r="AU377" s="205"/>
      <c r="AV377" s="205"/>
      <c r="AW377" s="205"/>
      <c r="AX377" s="205"/>
      <c r="AY377" s="205"/>
      <c r="AZ377" s="205"/>
      <c r="BA377" s="205"/>
      <c r="BB377" s="205"/>
      <c r="BC377" s="205"/>
      <c r="BD377" s="205"/>
      <c r="BE377" s="205"/>
      <c r="BF377" s="205"/>
      <c r="BG377" s="205"/>
      <c r="BH377" s="205"/>
      <c r="BI377" s="319"/>
    </row>
    <row r="378" spans="3:61" ht="15" customHeight="1">
      <c r="C378" s="325"/>
      <c r="D378" s="326"/>
      <c r="E378" s="311"/>
      <c r="F378" s="311"/>
      <c r="G378" s="311"/>
      <c r="H378" s="311"/>
      <c r="I378" s="311"/>
      <c r="J378" s="317"/>
      <c r="K378" s="312"/>
      <c r="L378" s="312"/>
      <c r="M378" s="312"/>
      <c r="N378" s="312"/>
      <c r="O378" s="312"/>
      <c r="P378" s="322" t="str">
        <f t="shared" si="17"/>
        <v/>
      </c>
      <c r="Q378" s="208" t="str">
        <f t="shared" si="15"/>
        <v/>
      </c>
      <c r="R378" s="208"/>
      <c r="S378" s="323" t="str">
        <f t="shared" si="16"/>
        <v/>
      </c>
      <c r="U378" s="322"/>
      <c r="V378" s="791"/>
      <c r="W378" s="792"/>
      <c r="X378" s="480"/>
      <c r="Y378" s="480"/>
      <c r="Z378" s="480"/>
      <c r="AA378" s="323"/>
      <c r="AB378" s="220"/>
      <c r="AC378" s="322"/>
      <c r="AD378" s="323"/>
      <c r="AE378" s="220"/>
      <c r="AF378" s="324"/>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208"/>
      <c r="BB378" s="208"/>
      <c r="BC378" s="208"/>
      <c r="BD378" s="208"/>
      <c r="BE378" s="208"/>
      <c r="BF378" s="208"/>
      <c r="BG378" s="208"/>
      <c r="BH378" s="208"/>
      <c r="BI378" s="323"/>
    </row>
    <row r="379" spans="3:61" ht="15" customHeight="1">
      <c r="C379" s="325"/>
      <c r="D379" s="326"/>
      <c r="E379" s="311"/>
      <c r="F379" s="311"/>
      <c r="G379" s="311"/>
      <c r="H379" s="311"/>
      <c r="I379" s="311"/>
      <c r="J379" s="317"/>
      <c r="K379" s="312"/>
      <c r="L379" s="312"/>
      <c r="M379" s="312"/>
      <c r="N379" s="312"/>
      <c r="O379" s="312"/>
      <c r="P379" s="318" t="str">
        <f t="shared" si="17"/>
        <v/>
      </c>
      <c r="Q379" s="205" t="str">
        <f t="shared" si="15"/>
        <v/>
      </c>
      <c r="R379" s="205"/>
      <c r="S379" s="319" t="str">
        <f t="shared" si="16"/>
        <v/>
      </c>
      <c r="U379" s="318"/>
      <c r="V379" s="794"/>
      <c r="W379" s="795"/>
      <c r="X379" s="482"/>
      <c r="Y379" s="482"/>
      <c r="Z379" s="482"/>
      <c r="AA379" s="319"/>
      <c r="AB379" s="220"/>
      <c r="AC379" s="318"/>
      <c r="AD379" s="319"/>
      <c r="AE379" s="220"/>
      <c r="AF379" s="320"/>
      <c r="AG379" s="205"/>
      <c r="AH379" s="205"/>
      <c r="AI379" s="205"/>
      <c r="AJ379" s="205"/>
      <c r="AK379" s="205"/>
      <c r="AL379" s="205"/>
      <c r="AM379" s="205"/>
      <c r="AN379" s="205"/>
      <c r="AO379" s="205"/>
      <c r="AP379" s="205"/>
      <c r="AQ379" s="205"/>
      <c r="AR379" s="205"/>
      <c r="AS379" s="205"/>
      <c r="AT379" s="205"/>
      <c r="AU379" s="205"/>
      <c r="AV379" s="205"/>
      <c r="AW379" s="205"/>
      <c r="AX379" s="205"/>
      <c r="AY379" s="205"/>
      <c r="AZ379" s="205"/>
      <c r="BA379" s="205"/>
      <c r="BB379" s="205"/>
      <c r="BC379" s="205"/>
      <c r="BD379" s="205"/>
      <c r="BE379" s="205"/>
      <c r="BF379" s="205"/>
      <c r="BG379" s="205"/>
      <c r="BH379" s="205"/>
      <c r="BI379" s="319"/>
    </row>
    <row r="380" spans="3:61" ht="15" customHeight="1">
      <c r="C380" s="325"/>
      <c r="D380" s="326"/>
      <c r="E380" s="311"/>
      <c r="F380" s="311"/>
      <c r="G380" s="311"/>
      <c r="H380" s="311"/>
      <c r="I380" s="311"/>
      <c r="J380" s="317"/>
      <c r="K380" s="312"/>
      <c r="L380" s="312"/>
      <c r="M380" s="312"/>
      <c r="N380" s="312"/>
      <c r="O380" s="312"/>
      <c r="P380" s="322" t="str">
        <f t="shared" si="17"/>
        <v/>
      </c>
      <c r="Q380" s="208" t="str">
        <f t="shared" si="15"/>
        <v/>
      </c>
      <c r="R380" s="208"/>
      <c r="S380" s="323" t="str">
        <f t="shared" si="16"/>
        <v/>
      </c>
      <c r="U380" s="322"/>
      <c r="V380" s="791"/>
      <c r="W380" s="792"/>
      <c r="X380" s="480"/>
      <c r="Y380" s="480"/>
      <c r="Z380" s="480"/>
      <c r="AA380" s="323"/>
      <c r="AB380" s="220"/>
      <c r="AC380" s="322"/>
      <c r="AD380" s="323"/>
      <c r="AE380" s="220"/>
      <c r="AF380" s="324"/>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208"/>
      <c r="BB380" s="208"/>
      <c r="BC380" s="208"/>
      <c r="BD380" s="208"/>
      <c r="BE380" s="208"/>
      <c r="BF380" s="208"/>
      <c r="BG380" s="208"/>
      <c r="BH380" s="208"/>
      <c r="BI380" s="323"/>
    </row>
    <row r="381" spans="3:61" ht="15" customHeight="1">
      <c r="C381" s="325"/>
      <c r="D381" s="326"/>
      <c r="E381" s="311"/>
      <c r="F381" s="311"/>
      <c r="G381" s="311"/>
      <c r="H381" s="311"/>
      <c r="I381" s="311"/>
      <c r="J381" s="317"/>
      <c r="K381" s="312"/>
      <c r="L381" s="312"/>
      <c r="M381" s="312"/>
      <c r="N381" s="312"/>
      <c r="O381" s="312"/>
      <c r="P381" s="318" t="str">
        <f t="shared" si="17"/>
        <v/>
      </c>
      <c r="Q381" s="205" t="str">
        <f t="shared" si="15"/>
        <v/>
      </c>
      <c r="R381" s="205"/>
      <c r="S381" s="319" t="str">
        <f t="shared" si="16"/>
        <v/>
      </c>
      <c r="U381" s="318"/>
      <c r="V381" s="794"/>
      <c r="W381" s="795"/>
      <c r="X381" s="482"/>
      <c r="Y381" s="482"/>
      <c r="Z381" s="482"/>
      <c r="AA381" s="319"/>
      <c r="AB381" s="220"/>
      <c r="AC381" s="318"/>
      <c r="AD381" s="319"/>
      <c r="AE381" s="220"/>
      <c r="AF381" s="320"/>
      <c r="AG381" s="205"/>
      <c r="AH381" s="205"/>
      <c r="AI381" s="205"/>
      <c r="AJ381" s="205"/>
      <c r="AK381" s="205"/>
      <c r="AL381" s="205"/>
      <c r="AM381" s="205"/>
      <c r="AN381" s="205"/>
      <c r="AO381" s="205"/>
      <c r="AP381" s="205"/>
      <c r="AQ381" s="205"/>
      <c r="AR381" s="205"/>
      <c r="AS381" s="205"/>
      <c r="AT381" s="205"/>
      <c r="AU381" s="205"/>
      <c r="AV381" s="205"/>
      <c r="AW381" s="205"/>
      <c r="AX381" s="205"/>
      <c r="AY381" s="205"/>
      <c r="AZ381" s="205"/>
      <c r="BA381" s="205"/>
      <c r="BB381" s="205"/>
      <c r="BC381" s="205"/>
      <c r="BD381" s="205"/>
      <c r="BE381" s="205"/>
      <c r="BF381" s="205"/>
      <c r="BG381" s="205"/>
      <c r="BH381" s="205"/>
      <c r="BI381" s="319"/>
    </row>
    <row r="382" spans="3:61" ht="15" customHeight="1">
      <c r="C382" s="325"/>
      <c r="D382" s="326"/>
      <c r="E382" s="311"/>
      <c r="F382" s="311"/>
      <c r="G382" s="311"/>
      <c r="H382" s="311"/>
      <c r="I382" s="311"/>
      <c r="J382" s="317"/>
      <c r="K382" s="312"/>
      <c r="L382" s="312"/>
      <c r="M382" s="312"/>
      <c r="N382" s="312"/>
      <c r="O382" s="312"/>
      <c r="P382" s="322" t="str">
        <f t="shared" si="17"/>
        <v/>
      </c>
      <c r="Q382" s="208" t="str">
        <f t="shared" si="15"/>
        <v/>
      </c>
      <c r="R382" s="208"/>
      <c r="S382" s="323" t="str">
        <f t="shared" si="16"/>
        <v/>
      </c>
      <c r="U382" s="322"/>
      <c r="V382" s="791"/>
      <c r="W382" s="792"/>
      <c r="X382" s="480"/>
      <c r="Y382" s="480"/>
      <c r="Z382" s="480"/>
      <c r="AA382" s="323"/>
      <c r="AB382" s="220"/>
      <c r="AC382" s="322"/>
      <c r="AD382" s="323"/>
      <c r="AE382" s="220"/>
      <c r="AF382" s="324"/>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208"/>
      <c r="BB382" s="208"/>
      <c r="BC382" s="208"/>
      <c r="BD382" s="208"/>
      <c r="BE382" s="208"/>
      <c r="BF382" s="208"/>
      <c r="BG382" s="208"/>
      <c r="BH382" s="208"/>
      <c r="BI382" s="323"/>
    </row>
    <row r="383" spans="3:61" ht="15" customHeight="1">
      <c r="C383" s="325"/>
      <c r="D383" s="326"/>
      <c r="E383" s="311"/>
      <c r="F383" s="311"/>
      <c r="G383" s="311"/>
      <c r="H383" s="311"/>
      <c r="I383" s="311"/>
      <c r="J383" s="317"/>
      <c r="K383" s="312"/>
      <c r="L383" s="312"/>
      <c r="M383" s="312"/>
      <c r="N383" s="312"/>
      <c r="O383" s="312"/>
      <c r="P383" s="318" t="str">
        <f t="shared" si="17"/>
        <v/>
      </c>
      <c r="Q383" s="205" t="str">
        <f t="shared" si="15"/>
        <v/>
      </c>
      <c r="R383" s="205"/>
      <c r="S383" s="319" t="str">
        <f t="shared" si="16"/>
        <v/>
      </c>
      <c r="U383" s="318"/>
      <c r="V383" s="794"/>
      <c r="W383" s="795"/>
      <c r="X383" s="482"/>
      <c r="Y383" s="482"/>
      <c r="Z383" s="482"/>
      <c r="AA383" s="319"/>
      <c r="AB383" s="220"/>
      <c r="AC383" s="318"/>
      <c r="AD383" s="319"/>
      <c r="AE383" s="220"/>
      <c r="AF383" s="320"/>
      <c r="AG383" s="205"/>
      <c r="AH383" s="205"/>
      <c r="AI383" s="205"/>
      <c r="AJ383" s="205"/>
      <c r="AK383" s="205"/>
      <c r="AL383" s="205"/>
      <c r="AM383" s="205"/>
      <c r="AN383" s="205"/>
      <c r="AO383" s="205"/>
      <c r="AP383" s="205"/>
      <c r="AQ383" s="205"/>
      <c r="AR383" s="205"/>
      <c r="AS383" s="205"/>
      <c r="AT383" s="205"/>
      <c r="AU383" s="205"/>
      <c r="AV383" s="205"/>
      <c r="AW383" s="205"/>
      <c r="AX383" s="205"/>
      <c r="AY383" s="205"/>
      <c r="AZ383" s="205"/>
      <c r="BA383" s="205"/>
      <c r="BB383" s="205"/>
      <c r="BC383" s="205"/>
      <c r="BD383" s="205"/>
      <c r="BE383" s="205"/>
      <c r="BF383" s="205"/>
      <c r="BG383" s="205"/>
      <c r="BH383" s="205"/>
      <c r="BI383" s="319"/>
    </row>
    <row r="384" spans="3:61" ht="15" customHeight="1">
      <c r="C384" s="325"/>
      <c r="D384" s="326"/>
      <c r="E384" s="311"/>
      <c r="F384" s="311"/>
      <c r="G384" s="311"/>
      <c r="H384" s="311"/>
      <c r="I384" s="311"/>
      <c r="J384" s="317"/>
      <c r="K384" s="312"/>
      <c r="L384" s="312"/>
      <c r="M384" s="312"/>
      <c r="N384" s="312"/>
      <c r="O384" s="312"/>
      <c r="P384" s="322" t="str">
        <f t="shared" si="17"/>
        <v/>
      </c>
      <c r="Q384" s="208" t="str">
        <f t="shared" si="15"/>
        <v/>
      </c>
      <c r="R384" s="208"/>
      <c r="S384" s="323" t="str">
        <f t="shared" si="16"/>
        <v/>
      </c>
      <c r="U384" s="322"/>
      <c r="V384" s="791"/>
      <c r="W384" s="792"/>
      <c r="X384" s="480"/>
      <c r="Y384" s="480"/>
      <c r="Z384" s="480"/>
      <c r="AA384" s="323"/>
      <c r="AB384" s="220"/>
      <c r="AC384" s="322"/>
      <c r="AD384" s="323"/>
      <c r="AE384" s="220"/>
      <c r="AF384" s="324"/>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208"/>
      <c r="BB384" s="208"/>
      <c r="BC384" s="208"/>
      <c r="BD384" s="208"/>
      <c r="BE384" s="208"/>
      <c r="BF384" s="208"/>
      <c r="BG384" s="208"/>
      <c r="BH384" s="208"/>
      <c r="BI384" s="323"/>
    </row>
    <row r="385" spans="3:61" ht="15" customHeight="1">
      <c r="C385" s="325"/>
      <c r="D385" s="326"/>
      <c r="E385" s="311"/>
      <c r="F385" s="311"/>
      <c r="G385" s="311"/>
      <c r="H385" s="311"/>
      <c r="I385" s="311"/>
      <c r="J385" s="317"/>
      <c r="K385" s="312"/>
      <c r="L385" s="312"/>
      <c r="M385" s="312"/>
      <c r="N385" s="312"/>
      <c r="O385" s="312"/>
      <c r="P385" s="318" t="str">
        <f t="shared" si="17"/>
        <v/>
      </c>
      <c r="Q385" s="205" t="str">
        <f t="shared" si="15"/>
        <v/>
      </c>
      <c r="R385" s="205"/>
      <c r="S385" s="319" t="str">
        <f t="shared" si="16"/>
        <v/>
      </c>
      <c r="U385" s="318"/>
      <c r="V385" s="794"/>
      <c r="W385" s="795"/>
      <c r="X385" s="482"/>
      <c r="Y385" s="482"/>
      <c r="Z385" s="482"/>
      <c r="AA385" s="319"/>
      <c r="AB385" s="220"/>
      <c r="AC385" s="318"/>
      <c r="AD385" s="319"/>
      <c r="AE385" s="220"/>
      <c r="AF385" s="320"/>
      <c r="AG385" s="205"/>
      <c r="AH385" s="205"/>
      <c r="AI385" s="205"/>
      <c r="AJ385" s="205"/>
      <c r="AK385" s="205"/>
      <c r="AL385" s="205"/>
      <c r="AM385" s="205"/>
      <c r="AN385" s="205"/>
      <c r="AO385" s="205"/>
      <c r="AP385" s="205"/>
      <c r="AQ385" s="205"/>
      <c r="AR385" s="205"/>
      <c r="AS385" s="205"/>
      <c r="AT385" s="205"/>
      <c r="AU385" s="205"/>
      <c r="AV385" s="205"/>
      <c r="AW385" s="205"/>
      <c r="AX385" s="205"/>
      <c r="AY385" s="205"/>
      <c r="AZ385" s="205"/>
      <c r="BA385" s="205"/>
      <c r="BB385" s="205"/>
      <c r="BC385" s="205"/>
      <c r="BD385" s="205"/>
      <c r="BE385" s="205"/>
      <c r="BF385" s="205"/>
      <c r="BG385" s="205"/>
      <c r="BH385" s="205"/>
      <c r="BI385" s="319"/>
    </row>
    <row r="386" spans="3:61" ht="15" customHeight="1">
      <c r="C386" s="325"/>
      <c r="D386" s="326"/>
      <c r="E386" s="311"/>
      <c r="F386" s="311"/>
      <c r="G386" s="311"/>
      <c r="H386" s="311"/>
      <c r="I386" s="311"/>
      <c r="J386" s="317"/>
      <c r="K386" s="312"/>
      <c r="L386" s="312"/>
      <c r="M386" s="312"/>
      <c r="N386" s="312"/>
      <c r="O386" s="312"/>
      <c r="P386" s="322" t="str">
        <f t="shared" si="17"/>
        <v/>
      </c>
      <c r="Q386" s="208" t="str">
        <f t="shared" si="15"/>
        <v/>
      </c>
      <c r="R386" s="208"/>
      <c r="S386" s="323" t="str">
        <f t="shared" si="16"/>
        <v/>
      </c>
      <c r="U386" s="322"/>
      <c r="V386" s="791"/>
      <c r="W386" s="792"/>
      <c r="X386" s="480"/>
      <c r="Y386" s="480"/>
      <c r="Z386" s="480"/>
      <c r="AA386" s="323"/>
      <c r="AB386" s="220"/>
      <c r="AC386" s="322"/>
      <c r="AD386" s="323"/>
      <c r="AE386" s="220"/>
      <c r="AF386" s="324"/>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208"/>
      <c r="BB386" s="208"/>
      <c r="BC386" s="208"/>
      <c r="BD386" s="208"/>
      <c r="BE386" s="208"/>
      <c r="BF386" s="208"/>
      <c r="BG386" s="208"/>
      <c r="BH386" s="208"/>
      <c r="BI386" s="323"/>
    </row>
    <row r="387" spans="3:61" ht="15" customHeight="1">
      <c r="C387" s="325"/>
      <c r="D387" s="326"/>
      <c r="E387" s="311"/>
      <c r="F387" s="311"/>
      <c r="G387" s="311"/>
      <c r="H387" s="311"/>
      <c r="I387" s="311"/>
      <c r="J387" s="317"/>
      <c r="K387" s="312"/>
      <c r="L387" s="312"/>
      <c r="M387" s="312"/>
      <c r="N387" s="312"/>
      <c r="O387" s="312"/>
      <c r="P387" s="318" t="str">
        <f t="shared" si="17"/>
        <v/>
      </c>
      <c r="Q387" s="205" t="str">
        <f t="shared" si="15"/>
        <v/>
      </c>
      <c r="R387" s="205"/>
      <c r="S387" s="319" t="str">
        <f t="shared" si="16"/>
        <v/>
      </c>
      <c r="U387" s="318"/>
      <c r="V387" s="794"/>
      <c r="W387" s="795"/>
      <c r="X387" s="482"/>
      <c r="Y387" s="482"/>
      <c r="Z387" s="482"/>
      <c r="AA387" s="319"/>
      <c r="AB387" s="220"/>
      <c r="AC387" s="318"/>
      <c r="AD387" s="319"/>
      <c r="AE387" s="220"/>
      <c r="AF387" s="320"/>
      <c r="AG387" s="205"/>
      <c r="AH387" s="205"/>
      <c r="AI387" s="205"/>
      <c r="AJ387" s="205"/>
      <c r="AK387" s="205"/>
      <c r="AL387" s="205"/>
      <c r="AM387" s="205"/>
      <c r="AN387" s="205"/>
      <c r="AO387" s="205"/>
      <c r="AP387" s="205"/>
      <c r="AQ387" s="205"/>
      <c r="AR387" s="205"/>
      <c r="AS387" s="205"/>
      <c r="AT387" s="205"/>
      <c r="AU387" s="205"/>
      <c r="AV387" s="205"/>
      <c r="AW387" s="205"/>
      <c r="AX387" s="205"/>
      <c r="AY387" s="205"/>
      <c r="AZ387" s="205"/>
      <c r="BA387" s="205"/>
      <c r="BB387" s="205"/>
      <c r="BC387" s="205"/>
      <c r="BD387" s="205"/>
      <c r="BE387" s="205"/>
      <c r="BF387" s="205"/>
      <c r="BG387" s="205"/>
      <c r="BH387" s="205"/>
      <c r="BI387" s="319"/>
    </row>
    <row r="388" spans="3:61" ht="15" customHeight="1">
      <c r="C388" s="325"/>
      <c r="D388" s="326"/>
      <c r="E388" s="311"/>
      <c r="F388" s="311"/>
      <c r="G388" s="311"/>
      <c r="H388" s="311"/>
      <c r="I388" s="311"/>
      <c r="J388" s="317"/>
      <c r="K388" s="312"/>
      <c r="L388" s="312"/>
      <c r="M388" s="312"/>
      <c r="N388" s="312"/>
      <c r="O388" s="312"/>
      <c r="P388" s="322" t="str">
        <f t="shared" si="17"/>
        <v/>
      </c>
      <c r="Q388" s="208" t="str">
        <f t="shared" si="15"/>
        <v/>
      </c>
      <c r="R388" s="208"/>
      <c r="S388" s="323" t="str">
        <f t="shared" si="16"/>
        <v/>
      </c>
      <c r="U388" s="322"/>
      <c r="V388" s="791"/>
      <c r="W388" s="792"/>
      <c r="X388" s="480"/>
      <c r="Y388" s="480"/>
      <c r="Z388" s="480"/>
      <c r="AA388" s="323"/>
      <c r="AB388" s="220"/>
      <c r="AC388" s="322"/>
      <c r="AD388" s="323"/>
      <c r="AE388" s="220"/>
      <c r="AF388" s="324"/>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208"/>
      <c r="BB388" s="208"/>
      <c r="BC388" s="208"/>
      <c r="BD388" s="208"/>
      <c r="BE388" s="208"/>
      <c r="BF388" s="208"/>
      <c r="BG388" s="208"/>
      <c r="BH388" s="208"/>
      <c r="BI388" s="323"/>
    </row>
    <row r="389" spans="3:61" ht="15" customHeight="1">
      <c r="C389" s="325"/>
      <c r="D389" s="326"/>
      <c r="E389" s="311"/>
      <c r="F389" s="311"/>
      <c r="G389" s="311"/>
      <c r="H389" s="311"/>
      <c r="I389" s="311"/>
      <c r="J389" s="317"/>
      <c r="K389" s="312"/>
      <c r="L389" s="312"/>
      <c r="M389" s="312"/>
      <c r="N389" s="312"/>
      <c r="O389" s="312"/>
      <c r="P389" s="318" t="str">
        <f t="shared" si="17"/>
        <v/>
      </c>
      <c r="Q389" s="205" t="str">
        <f t="shared" si="15"/>
        <v/>
      </c>
      <c r="R389" s="205"/>
      <c r="S389" s="319" t="str">
        <f t="shared" si="16"/>
        <v/>
      </c>
      <c r="U389" s="318"/>
      <c r="V389" s="794"/>
      <c r="W389" s="795"/>
      <c r="X389" s="482"/>
      <c r="Y389" s="482"/>
      <c r="Z389" s="482"/>
      <c r="AA389" s="319"/>
      <c r="AB389" s="220"/>
      <c r="AC389" s="318"/>
      <c r="AD389" s="319"/>
      <c r="AE389" s="220"/>
      <c r="AF389" s="320"/>
      <c r="AG389" s="205"/>
      <c r="AH389" s="205"/>
      <c r="AI389" s="205"/>
      <c r="AJ389" s="205"/>
      <c r="AK389" s="205"/>
      <c r="AL389" s="205"/>
      <c r="AM389" s="205"/>
      <c r="AN389" s="205"/>
      <c r="AO389" s="205"/>
      <c r="AP389" s="205"/>
      <c r="AQ389" s="205"/>
      <c r="AR389" s="205"/>
      <c r="AS389" s="205"/>
      <c r="AT389" s="205"/>
      <c r="AU389" s="205"/>
      <c r="AV389" s="205"/>
      <c r="AW389" s="205"/>
      <c r="AX389" s="205"/>
      <c r="AY389" s="205"/>
      <c r="AZ389" s="205"/>
      <c r="BA389" s="205"/>
      <c r="BB389" s="205"/>
      <c r="BC389" s="205"/>
      <c r="BD389" s="205"/>
      <c r="BE389" s="205"/>
      <c r="BF389" s="205"/>
      <c r="BG389" s="205"/>
      <c r="BH389" s="205"/>
      <c r="BI389" s="319"/>
    </row>
    <row r="390" spans="3:61" ht="15" customHeight="1">
      <c r="C390" s="325"/>
      <c r="D390" s="326"/>
      <c r="E390" s="311"/>
      <c r="F390" s="311"/>
      <c r="G390" s="311"/>
      <c r="H390" s="311"/>
      <c r="I390" s="311"/>
      <c r="J390" s="317"/>
      <c r="K390" s="312"/>
      <c r="L390" s="312"/>
      <c r="M390" s="312"/>
      <c r="N390" s="312"/>
      <c r="O390" s="312"/>
      <c r="P390" s="322" t="str">
        <f t="shared" si="17"/>
        <v/>
      </c>
      <c r="Q390" s="208" t="str">
        <f t="shared" si="15"/>
        <v/>
      </c>
      <c r="R390" s="208"/>
      <c r="S390" s="323" t="str">
        <f t="shared" si="16"/>
        <v/>
      </c>
      <c r="U390" s="322"/>
      <c r="V390" s="791"/>
      <c r="W390" s="792"/>
      <c r="X390" s="480"/>
      <c r="Y390" s="480"/>
      <c r="Z390" s="480"/>
      <c r="AA390" s="323"/>
      <c r="AB390" s="220"/>
      <c r="AC390" s="322"/>
      <c r="AD390" s="323"/>
      <c r="AE390" s="220"/>
      <c r="AF390" s="324"/>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208"/>
      <c r="BB390" s="208"/>
      <c r="BC390" s="208"/>
      <c r="BD390" s="208"/>
      <c r="BE390" s="208"/>
      <c r="BF390" s="208"/>
      <c r="BG390" s="208"/>
      <c r="BH390" s="208"/>
      <c r="BI390" s="323"/>
    </row>
    <row r="391" spans="3:61" ht="15" customHeight="1">
      <c r="C391" s="325"/>
      <c r="D391" s="326"/>
      <c r="E391" s="311"/>
      <c r="F391" s="311"/>
      <c r="G391" s="311"/>
      <c r="H391" s="311"/>
      <c r="I391" s="311"/>
      <c r="J391" s="317"/>
      <c r="K391" s="312"/>
      <c r="L391" s="312"/>
      <c r="M391" s="312"/>
      <c r="N391" s="312"/>
      <c r="O391" s="312"/>
      <c r="P391" s="318" t="str">
        <f t="shared" si="17"/>
        <v/>
      </c>
      <c r="Q391" s="205" t="str">
        <f t="shared" si="15"/>
        <v/>
      </c>
      <c r="R391" s="205"/>
      <c r="S391" s="319" t="str">
        <f t="shared" si="16"/>
        <v/>
      </c>
      <c r="U391" s="318"/>
      <c r="V391" s="794"/>
      <c r="W391" s="795"/>
      <c r="X391" s="482"/>
      <c r="Y391" s="482"/>
      <c r="Z391" s="482"/>
      <c r="AA391" s="319"/>
      <c r="AB391" s="220"/>
      <c r="AC391" s="318"/>
      <c r="AD391" s="319"/>
      <c r="AE391" s="220"/>
      <c r="AF391" s="320"/>
      <c r="AG391" s="205"/>
      <c r="AH391" s="205"/>
      <c r="AI391" s="205"/>
      <c r="AJ391" s="205"/>
      <c r="AK391" s="205"/>
      <c r="AL391" s="205"/>
      <c r="AM391" s="205"/>
      <c r="AN391" s="205"/>
      <c r="AO391" s="205"/>
      <c r="AP391" s="205"/>
      <c r="AQ391" s="205"/>
      <c r="AR391" s="205"/>
      <c r="AS391" s="205"/>
      <c r="AT391" s="205"/>
      <c r="AU391" s="205"/>
      <c r="AV391" s="205"/>
      <c r="AW391" s="205"/>
      <c r="AX391" s="205"/>
      <c r="AY391" s="205"/>
      <c r="AZ391" s="205"/>
      <c r="BA391" s="205"/>
      <c r="BB391" s="205"/>
      <c r="BC391" s="205"/>
      <c r="BD391" s="205"/>
      <c r="BE391" s="205"/>
      <c r="BF391" s="205"/>
      <c r="BG391" s="205"/>
      <c r="BH391" s="205"/>
      <c r="BI391" s="319"/>
    </row>
    <row r="392" spans="3:61" ht="15" customHeight="1">
      <c r="C392" s="325"/>
      <c r="D392" s="326"/>
      <c r="E392" s="311"/>
      <c r="F392" s="311"/>
      <c r="G392" s="311"/>
      <c r="H392" s="311"/>
      <c r="I392" s="311"/>
      <c r="J392" s="317"/>
      <c r="K392" s="312"/>
      <c r="L392" s="312"/>
      <c r="M392" s="312"/>
      <c r="N392" s="312"/>
      <c r="O392" s="312"/>
      <c r="P392" s="322" t="str">
        <f t="shared" si="17"/>
        <v/>
      </c>
      <c r="Q392" s="208" t="str">
        <f t="shared" si="15"/>
        <v/>
      </c>
      <c r="R392" s="208"/>
      <c r="S392" s="323" t="str">
        <f t="shared" si="16"/>
        <v/>
      </c>
      <c r="U392" s="322"/>
      <c r="V392" s="791"/>
      <c r="W392" s="792"/>
      <c r="X392" s="480"/>
      <c r="Y392" s="480"/>
      <c r="Z392" s="480"/>
      <c r="AA392" s="323"/>
      <c r="AB392" s="220"/>
      <c r="AC392" s="322"/>
      <c r="AD392" s="323"/>
      <c r="AE392" s="220"/>
      <c r="AF392" s="324"/>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208"/>
      <c r="BB392" s="208"/>
      <c r="BC392" s="208"/>
      <c r="BD392" s="208"/>
      <c r="BE392" s="208"/>
      <c r="BF392" s="208"/>
      <c r="BG392" s="208"/>
      <c r="BH392" s="208"/>
      <c r="BI392" s="323"/>
    </row>
    <row r="393" spans="3:61" ht="15" customHeight="1">
      <c r="C393" s="325"/>
      <c r="D393" s="326"/>
      <c r="E393" s="311"/>
      <c r="F393" s="311"/>
      <c r="G393" s="311"/>
      <c r="H393" s="311"/>
      <c r="I393" s="311"/>
      <c r="J393" s="317"/>
      <c r="K393" s="312"/>
      <c r="L393" s="312"/>
      <c r="M393" s="312"/>
      <c r="N393" s="312"/>
      <c r="O393" s="312"/>
      <c r="P393" s="318" t="str">
        <f t="shared" si="17"/>
        <v/>
      </c>
      <c r="Q393" s="205" t="str">
        <f t="shared" si="15"/>
        <v/>
      </c>
      <c r="R393" s="205"/>
      <c r="S393" s="319" t="str">
        <f t="shared" si="16"/>
        <v/>
      </c>
      <c r="U393" s="318"/>
      <c r="V393" s="794"/>
      <c r="W393" s="795"/>
      <c r="X393" s="482"/>
      <c r="Y393" s="482"/>
      <c r="Z393" s="482"/>
      <c r="AA393" s="319"/>
      <c r="AB393" s="220"/>
      <c r="AC393" s="318"/>
      <c r="AD393" s="319"/>
      <c r="AE393" s="220"/>
      <c r="AF393" s="320"/>
      <c r="AG393" s="205"/>
      <c r="AH393" s="205"/>
      <c r="AI393" s="205"/>
      <c r="AJ393" s="205"/>
      <c r="AK393" s="205"/>
      <c r="AL393" s="205"/>
      <c r="AM393" s="205"/>
      <c r="AN393" s="205"/>
      <c r="AO393" s="205"/>
      <c r="AP393" s="205"/>
      <c r="AQ393" s="205"/>
      <c r="AR393" s="205"/>
      <c r="AS393" s="205"/>
      <c r="AT393" s="205"/>
      <c r="AU393" s="205"/>
      <c r="AV393" s="205"/>
      <c r="AW393" s="205"/>
      <c r="AX393" s="205"/>
      <c r="AY393" s="205"/>
      <c r="AZ393" s="205"/>
      <c r="BA393" s="205"/>
      <c r="BB393" s="205"/>
      <c r="BC393" s="205"/>
      <c r="BD393" s="205"/>
      <c r="BE393" s="205"/>
      <c r="BF393" s="205"/>
      <c r="BG393" s="205"/>
      <c r="BH393" s="205"/>
      <c r="BI393" s="319"/>
    </row>
    <row r="394" spans="3:61" ht="15" customHeight="1">
      <c r="C394" s="325"/>
      <c r="D394" s="326"/>
      <c r="E394" s="311"/>
      <c r="F394" s="311"/>
      <c r="G394" s="311"/>
      <c r="H394" s="311"/>
      <c r="I394" s="311"/>
      <c r="J394" s="317"/>
      <c r="K394" s="312"/>
      <c r="L394" s="312"/>
      <c r="M394" s="312"/>
      <c r="N394" s="312"/>
      <c r="O394" s="312"/>
      <c r="P394" s="322" t="str">
        <f t="shared" si="17"/>
        <v/>
      </c>
      <c r="Q394" s="208" t="str">
        <f t="shared" si="15"/>
        <v/>
      </c>
      <c r="R394" s="208"/>
      <c r="S394" s="323" t="str">
        <f t="shared" si="16"/>
        <v/>
      </c>
      <c r="U394" s="322"/>
      <c r="V394" s="791"/>
      <c r="W394" s="792"/>
      <c r="X394" s="480"/>
      <c r="Y394" s="480"/>
      <c r="Z394" s="480"/>
      <c r="AA394" s="323"/>
      <c r="AB394" s="220"/>
      <c r="AC394" s="322"/>
      <c r="AD394" s="323"/>
      <c r="AE394" s="220"/>
      <c r="AF394" s="324"/>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208"/>
      <c r="BB394" s="208"/>
      <c r="BC394" s="208"/>
      <c r="BD394" s="208"/>
      <c r="BE394" s="208"/>
      <c r="BF394" s="208"/>
      <c r="BG394" s="208"/>
      <c r="BH394" s="208"/>
      <c r="BI394" s="323"/>
    </row>
    <row r="395" spans="3:61" ht="15" customHeight="1">
      <c r="C395" s="325"/>
      <c r="D395" s="326"/>
      <c r="E395" s="311"/>
      <c r="F395" s="311"/>
      <c r="G395" s="311"/>
      <c r="H395" s="311"/>
      <c r="I395" s="311"/>
      <c r="J395" s="317"/>
      <c r="K395" s="312"/>
      <c r="L395" s="312"/>
      <c r="M395" s="312"/>
      <c r="N395" s="312"/>
      <c r="O395" s="312"/>
      <c r="P395" s="318" t="str">
        <f t="shared" si="17"/>
        <v/>
      </c>
      <c r="Q395" s="205" t="str">
        <f t="shared" ref="Q395:Q458" si="18">IF($AA395 = "", "", $AA395/$AA$10*100)</f>
        <v/>
      </c>
      <c r="R395" s="205"/>
      <c r="S395" s="319" t="str">
        <f t="shared" ref="S395:S458" si="19">IF($AD395 = "", "", $AD395/$AD$10*100)</f>
        <v/>
      </c>
      <c r="U395" s="318"/>
      <c r="V395" s="794"/>
      <c r="W395" s="795"/>
      <c r="X395" s="482"/>
      <c r="Y395" s="482"/>
      <c r="Z395" s="482"/>
      <c r="AA395" s="319"/>
      <c r="AB395" s="220"/>
      <c r="AC395" s="318"/>
      <c r="AD395" s="319"/>
      <c r="AE395" s="220"/>
      <c r="AF395" s="320"/>
      <c r="AG395" s="205"/>
      <c r="AH395" s="205"/>
      <c r="AI395" s="205"/>
      <c r="AJ395" s="205"/>
      <c r="AK395" s="205"/>
      <c r="AL395" s="205"/>
      <c r="AM395" s="205"/>
      <c r="AN395" s="205"/>
      <c r="AO395" s="205"/>
      <c r="AP395" s="205"/>
      <c r="AQ395" s="205"/>
      <c r="AR395" s="205"/>
      <c r="AS395" s="205"/>
      <c r="AT395" s="205"/>
      <c r="AU395" s="205"/>
      <c r="AV395" s="205"/>
      <c r="AW395" s="205"/>
      <c r="AX395" s="205"/>
      <c r="AY395" s="205"/>
      <c r="AZ395" s="205"/>
      <c r="BA395" s="205"/>
      <c r="BB395" s="205"/>
      <c r="BC395" s="205"/>
      <c r="BD395" s="205"/>
      <c r="BE395" s="205"/>
      <c r="BF395" s="205"/>
      <c r="BG395" s="205"/>
      <c r="BH395" s="205"/>
      <c r="BI395" s="319"/>
    </row>
    <row r="396" spans="3:61" ht="15" customHeight="1">
      <c r="C396" s="325"/>
      <c r="D396" s="326"/>
      <c r="E396" s="311"/>
      <c r="F396" s="311"/>
      <c r="G396" s="311"/>
      <c r="H396" s="311"/>
      <c r="I396" s="311"/>
      <c r="J396" s="317"/>
      <c r="K396" s="312"/>
      <c r="L396" s="312"/>
      <c r="M396" s="312"/>
      <c r="N396" s="312"/>
      <c r="O396" s="312"/>
      <c r="P396" s="322" t="str">
        <f t="shared" ref="P396:P459" si="20">IF(U396="", "", U396)</f>
        <v/>
      </c>
      <c r="Q396" s="208" t="str">
        <f t="shared" si="18"/>
        <v/>
      </c>
      <c r="R396" s="208"/>
      <c r="S396" s="323" t="str">
        <f t="shared" si="19"/>
        <v/>
      </c>
      <c r="U396" s="322"/>
      <c r="V396" s="791"/>
      <c r="W396" s="792"/>
      <c r="X396" s="480"/>
      <c r="Y396" s="480"/>
      <c r="Z396" s="480"/>
      <c r="AA396" s="323"/>
      <c r="AB396" s="220"/>
      <c r="AC396" s="322"/>
      <c r="AD396" s="323"/>
      <c r="AE396" s="220"/>
      <c r="AF396" s="324"/>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208"/>
      <c r="BB396" s="208"/>
      <c r="BC396" s="208"/>
      <c r="BD396" s="208"/>
      <c r="BE396" s="208"/>
      <c r="BF396" s="208"/>
      <c r="BG396" s="208"/>
      <c r="BH396" s="208"/>
      <c r="BI396" s="323"/>
    </row>
    <row r="397" spans="3:61" ht="15" customHeight="1">
      <c r="C397" s="325"/>
      <c r="D397" s="326"/>
      <c r="E397" s="311"/>
      <c r="F397" s="311"/>
      <c r="G397" s="311"/>
      <c r="H397" s="311"/>
      <c r="I397" s="311"/>
      <c r="J397" s="317"/>
      <c r="K397" s="312"/>
      <c r="L397" s="312"/>
      <c r="M397" s="312"/>
      <c r="N397" s="312"/>
      <c r="O397" s="312"/>
      <c r="P397" s="318" t="str">
        <f t="shared" si="20"/>
        <v/>
      </c>
      <c r="Q397" s="205" t="str">
        <f t="shared" si="18"/>
        <v/>
      </c>
      <c r="R397" s="205"/>
      <c r="S397" s="319" t="str">
        <f t="shared" si="19"/>
        <v/>
      </c>
      <c r="U397" s="318"/>
      <c r="V397" s="794"/>
      <c r="W397" s="795"/>
      <c r="X397" s="482"/>
      <c r="Y397" s="482"/>
      <c r="Z397" s="482"/>
      <c r="AA397" s="319"/>
      <c r="AB397" s="220"/>
      <c r="AC397" s="318"/>
      <c r="AD397" s="319"/>
      <c r="AE397" s="220"/>
      <c r="AF397" s="320"/>
      <c r="AG397" s="205"/>
      <c r="AH397" s="205"/>
      <c r="AI397" s="205"/>
      <c r="AJ397" s="205"/>
      <c r="AK397" s="205"/>
      <c r="AL397" s="205"/>
      <c r="AM397" s="205"/>
      <c r="AN397" s="205"/>
      <c r="AO397" s="205"/>
      <c r="AP397" s="205"/>
      <c r="AQ397" s="205"/>
      <c r="AR397" s="205"/>
      <c r="AS397" s="205"/>
      <c r="AT397" s="205"/>
      <c r="AU397" s="205"/>
      <c r="AV397" s="205"/>
      <c r="AW397" s="205"/>
      <c r="AX397" s="205"/>
      <c r="AY397" s="205"/>
      <c r="AZ397" s="205"/>
      <c r="BA397" s="205"/>
      <c r="BB397" s="205"/>
      <c r="BC397" s="205"/>
      <c r="BD397" s="205"/>
      <c r="BE397" s="205"/>
      <c r="BF397" s="205"/>
      <c r="BG397" s="205"/>
      <c r="BH397" s="205"/>
      <c r="BI397" s="319"/>
    </row>
    <row r="398" spans="3:61" ht="15" customHeight="1">
      <c r="C398" s="325"/>
      <c r="D398" s="326"/>
      <c r="E398" s="311"/>
      <c r="F398" s="311"/>
      <c r="G398" s="311"/>
      <c r="H398" s="311"/>
      <c r="I398" s="311"/>
      <c r="J398" s="317"/>
      <c r="K398" s="312"/>
      <c r="L398" s="312"/>
      <c r="M398" s="312"/>
      <c r="N398" s="312"/>
      <c r="O398" s="312"/>
      <c r="P398" s="322" t="str">
        <f t="shared" si="20"/>
        <v/>
      </c>
      <c r="Q398" s="208" t="str">
        <f t="shared" si="18"/>
        <v/>
      </c>
      <c r="R398" s="208"/>
      <c r="S398" s="323" t="str">
        <f t="shared" si="19"/>
        <v/>
      </c>
      <c r="U398" s="322"/>
      <c r="V398" s="791"/>
      <c r="W398" s="792"/>
      <c r="X398" s="480"/>
      <c r="Y398" s="480"/>
      <c r="Z398" s="480"/>
      <c r="AA398" s="323"/>
      <c r="AB398" s="220"/>
      <c r="AC398" s="322"/>
      <c r="AD398" s="323"/>
      <c r="AE398" s="220"/>
      <c r="AF398" s="324"/>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208"/>
      <c r="BB398" s="208"/>
      <c r="BC398" s="208"/>
      <c r="BD398" s="208"/>
      <c r="BE398" s="208"/>
      <c r="BF398" s="208"/>
      <c r="BG398" s="208"/>
      <c r="BH398" s="208"/>
      <c r="BI398" s="323"/>
    </row>
    <row r="399" spans="3:61" ht="15" customHeight="1">
      <c r="C399" s="325"/>
      <c r="D399" s="326"/>
      <c r="E399" s="311"/>
      <c r="F399" s="311"/>
      <c r="G399" s="311"/>
      <c r="H399" s="311"/>
      <c r="I399" s="311"/>
      <c r="J399" s="317"/>
      <c r="K399" s="312"/>
      <c r="L399" s="312"/>
      <c r="M399" s="312"/>
      <c r="N399" s="312"/>
      <c r="O399" s="312"/>
      <c r="P399" s="318" t="str">
        <f t="shared" si="20"/>
        <v/>
      </c>
      <c r="Q399" s="205" t="str">
        <f t="shared" si="18"/>
        <v/>
      </c>
      <c r="R399" s="205"/>
      <c r="S399" s="319" t="str">
        <f t="shared" si="19"/>
        <v/>
      </c>
      <c r="U399" s="318"/>
      <c r="V399" s="794"/>
      <c r="W399" s="795"/>
      <c r="X399" s="482"/>
      <c r="Y399" s="482"/>
      <c r="Z399" s="482"/>
      <c r="AA399" s="319"/>
      <c r="AB399" s="220"/>
      <c r="AC399" s="318"/>
      <c r="AD399" s="319"/>
      <c r="AE399" s="220"/>
      <c r="AF399" s="320"/>
      <c r="AG399" s="205"/>
      <c r="AH399" s="205"/>
      <c r="AI399" s="205"/>
      <c r="AJ399" s="205"/>
      <c r="AK399" s="205"/>
      <c r="AL399" s="205"/>
      <c r="AM399" s="205"/>
      <c r="AN399" s="205"/>
      <c r="AO399" s="205"/>
      <c r="AP399" s="205"/>
      <c r="AQ399" s="205"/>
      <c r="AR399" s="205"/>
      <c r="AS399" s="205"/>
      <c r="AT399" s="205"/>
      <c r="AU399" s="205"/>
      <c r="AV399" s="205"/>
      <c r="AW399" s="205"/>
      <c r="AX399" s="205"/>
      <c r="AY399" s="205"/>
      <c r="AZ399" s="205"/>
      <c r="BA399" s="205"/>
      <c r="BB399" s="205"/>
      <c r="BC399" s="205"/>
      <c r="BD399" s="205"/>
      <c r="BE399" s="205"/>
      <c r="BF399" s="205"/>
      <c r="BG399" s="205"/>
      <c r="BH399" s="205"/>
      <c r="BI399" s="319"/>
    </row>
    <row r="400" spans="3:61" ht="15" customHeight="1">
      <c r="C400" s="325"/>
      <c r="D400" s="326"/>
      <c r="E400" s="311"/>
      <c r="F400" s="311"/>
      <c r="G400" s="311"/>
      <c r="H400" s="311"/>
      <c r="I400" s="311"/>
      <c r="J400" s="317"/>
      <c r="K400" s="312"/>
      <c r="L400" s="312"/>
      <c r="M400" s="312"/>
      <c r="N400" s="312"/>
      <c r="O400" s="312"/>
      <c r="P400" s="322" t="str">
        <f t="shared" si="20"/>
        <v/>
      </c>
      <c r="Q400" s="208" t="str">
        <f t="shared" si="18"/>
        <v/>
      </c>
      <c r="R400" s="208"/>
      <c r="S400" s="323" t="str">
        <f t="shared" si="19"/>
        <v/>
      </c>
      <c r="U400" s="322"/>
      <c r="V400" s="791"/>
      <c r="W400" s="792"/>
      <c r="X400" s="480"/>
      <c r="Y400" s="480"/>
      <c r="Z400" s="480"/>
      <c r="AA400" s="323"/>
      <c r="AB400" s="220"/>
      <c r="AC400" s="322"/>
      <c r="AD400" s="323"/>
      <c r="AE400" s="220"/>
      <c r="AF400" s="324"/>
      <c r="AG400" s="208"/>
      <c r="AH400" s="208"/>
      <c r="AI400" s="208"/>
      <c r="AJ400" s="208"/>
      <c r="AK400" s="208"/>
      <c r="AL400" s="208"/>
      <c r="AM400" s="208"/>
      <c r="AN400" s="208"/>
      <c r="AO400" s="208"/>
      <c r="AP400" s="208"/>
      <c r="AQ400" s="208"/>
      <c r="AR400" s="208"/>
      <c r="AS400" s="208"/>
      <c r="AT400" s="208"/>
      <c r="AU400" s="208"/>
      <c r="AV400" s="208"/>
      <c r="AW400" s="208"/>
      <c r="AX400" s="208"/>
      <c r="AY400" s="208"/>
      <c r="AZ400" s="208"/>
      <c r="BA400" s="208"/>
      <c r="BB400" s="208"/>
      <c r="BC400" s="208"/>
      <c r="BD400" s="208"/>
      <c r="BE400" s="208"/>
      <c r="BF400" s="208"/>
      <c r="BG400" s="208"/>
      <c r="BH400" s="208"/>
      <c r="BI400" s="323"/>
    </row>
    <row r="401" spans="3:61" ht="15" customHeight="1">
      <c r="C401" s="325"/>
      <c r="D401" s="326"/>
      <c r="E401" s="311"/>
      <c r="F401" s="311"/>
      <c r="G401" s="311"/>
      <c r="H401" s="311"/>
      <c r="I401" s="311"/>
      <c r="J401" s="317"/>
      <c r="K401" s="312"/>
      <c r="L401" s="312"/>
      <c r="M401" s="312"/>
      <c r="N401" s="312"/>
      <c r="O401" s="312"/>
      <c r="P401" s="318" t="str">
        <f t="shared" si="20"/>
        <v/>
      </c>
      <c r="Q401" s="205" t="str">
        <f t="shared" si="18"/>
        <v/>
      </c>
      <c r="R401" s="205"/>
      <c r="S401" s="319" t="str">
        <f t="shared" si="19"/>
        <v/>
      </c>
      <c r="U401" s="318"/>
      <c r="V401" s="794"/>
      <c r="W401" s="795"/>
      <c r="X401" s="482"/>
      <c r="Y401" s="482"/>
      <c r="Z401" s="482"/>
      <c r="AA401" s="319"/>
      <c r="AB401" s="220"/>
      <c r="AC401" s="318"/>
      <c r="AD401" s="319"/>
      <c r="AE401" s="220"/>
      <c r="AF401" s="320"/>
      <c r="AG401" s="205"/>
      <c r="AH401" s="205"/>
      <c r="AI401" s="205"/>
      <c r="AJ401" s="205"/>
      <c r="AK401" s="205"/>
      <c r="AL401" s="205"/>
      <c r="AM401" s="205"/>
      <c r="AN401" s="205"/>
      <c r="AO401" s="205"/>
      <c r="AP401" s="205"/>
      <c r="AQ401" s="205"/>
      <c r="AR401" s="205"/>
      <c r="AS401" s="205"/>
      <c r="AT401" s="205"/>
      <c r="AU401" s="205"/>
      <c r="AV401" s="205"/>
      <c r="AW401" s="205"/>
      <c r="AX401" s="205"/>
      <c r="AY401" s="205"/>
      <c r="AZ401" s="205"/>
      <c r="BA401" s="205"/>
      <c r="BB401" s="205"/>
      <c r="BC401" s="205"/>
      <c r="BD401" s="205"/>
      <c r="BE401" s="205"/>
      <c r="BF401" s="205"/>
      <c r="BG401" s="205"/>
      <c r="BH401" s="205"/>
      <c r="BI401" s="319"/>
    </row>
    <row r="402" spans="3:61" ht="15" customHeight="1">
      <c r="C402" s="325"/>
      <c r="D402" s="326"/>
      <c r="E402" s="311"/>
      <c r="F402" s="311"/>
      <c r="G402" s="311"/>
      <c r="H402" s="311"/>
      <c r="I402" s="311"/>
      <c r="J402" s="317"/>
      <c r="K402" s="312"/>
      <c r="L402" s="312"/>
      <c r="M402" s="312"/>
      <c r="N402" s="312"/>
      <c r="O402" s="312"/>
      <c r="P402" s="322" t="str">
        <f t="shared" si="20"/>
        <v/>
      </c>
      <c r="Q402" s="208" t="str">
        <f t="shared" si="18"/>
        <v/>
      </c>
      <c r="R402" s="208"/>
      <c r="S402" s="323" t="str">
        <f t="shared" si="19"/>
        <v/>
      </c>
      <c r="U402" s="322"/>
      <c r="V402" s="791"/>
      <c r="W402" s="792"/>
      <c r="X402" s="480"/>
      <c r="Y402" s="480"/>
      <c r="Z402" s="480"/>
      <c r="AA402" s="323"/>
      <c r="AB402" s="220"/>
      <c r="AC402" s="322"/>
      <c r="AD402" s="323"/>
      <c r="AE402" s="220"/>
      <c r="AF402" s="324"/>
      <c r="AG402" s="208"/>
      <c r="AH402" s="208"/>
      <c r="AI402" s="208"/>
      <c r="AJ402" s="208"/>
      <c r="AK402" s="208"/>
      <c r="AL402" s="208"/>
      <c r="AM402" s="208"/>
      <c r="AN402" s="208"/>
      <c r="AO402" s="208"/>
      <c r="AP402" s="208"/>
      <c r="AQ402" s="208"/>
      <c r="AR402" s="208"/>
      <c r="AS402" s="208"/>
      <c r="AT402" s="208"/>
      <c r="AU402" s="208"/>
      <c r="AV402" s="208"/>
      <c r="AW402" s="208"/>
      <c r="AX402" s="208"/>
      <c r="AY402" s="208"/>
      <c r="AZ402" s="208"/>
      <c r="BA402" s="208"/>
      <c r="BB402" s="208"/>
      <c r="BC402" s="208"/>
      <c r="BD402" s="208"/>
      <c r="BE402" s="208"/>
      <c r="BF402" s="208"/>
      <c r="BG402" s="208"/>
      <c r="BH402" s="208"/>
      <c r="BI402" s="323"/>
    </row>
    <row r="403" spans="3:61" ht="15" customHeight="1">
      <c r="C403" s="325"/>
      <c r="D403" s="326"/>
      <c r="E403" s="311"/>
      <c r="F403" s="311"/>
      <c r="G403" s="311"/>
      <c r="H403" s="311"/>
      <c r="I403" s="311"/>
      <c r="J403" s="317"/>
      <c r="K403" s="312"/>
      <c r="L403" s="312"/>
      <c r="M403" s="312"/>
      <c r="N403" s="312"/>
      <c r="O403" s="312"/>
      <c r="P403" s="318" t="str">
        <f t="shared" si="20"/>
        <v/>
      </c>
      <c r="Q403" s="205" t="str">
        <f t="shared" si="18"/>
        <v/>
      </c>
      <c r="R403" s="205"/>
      <c r="S403" s="319" t="str">
        <f t="shared" si="19"/>
        <v/>
      </c>
      <c r="U403" s="318"/>
      <c r="V403" s="794"/>
      <c r="W403" s="795"/>
      <c r="X403" s="482"/>
      <c r="Y403" s="482"/>
      <c r="Z403" s="482"/>
      <c r="AA403" s="319"/>
      <c r="AB403" s="220"/>
      <c r="AC403" s="318"/>
      <c r="AD403" s="319"/>
      <c r="AE403" s="220"/>
      <c r="AF403" s="320"/>
      <c r="AG403" s="205"/>
      <c r="AH403" s="205"/>
      <c r="AI403" s="205"/>
      <c r="AJ403" s="205"/>
      <c r="AK403" s="205"/>
      <c r="AL403" s="205"/>
      <c r="AM403" s="205"/>
      <c r="AN403" s="205"/>
      <c r="AO403" s="205"/>
      <c r="AP403" s="205"/>
      <c r="AQ403" s="205"/>
      <c r="AR403" s="205"/>
      <c r="AS403" s="205"/>
      <c r="AT403" s="205"/>
      <c r="AU403" s="205"/>
      <c r="AV403" s="205"/>
      <c r="AW403" s="205"/>
      <c r="AX403" s="205"/>
      <c r="AY403" s="205"/>
      <c r="AZ403" s="205"/>
      <c r="BA403" s="205"/>
      <c r="BB403" s="205"/>
      <c r="BC403" s="205"/>
      <c r="BD403" s="205"/>
      <c r="BE403" s="205"/>
      <c r="BF403" s="205"/>
      <c r="BG403" s="205"/>
      <c r="BH403" s="205"/>
      <c r="BI403" s="319"/>
    </row>
    <row r="404" spans="3:61" ht="15" customHeight="1">
      <c r="C404" s="325"/>
      <c r="D404" s="326"/>
      <c r="E404" s="311"/>
      <c r="F404" s="311"/>
      <c r="G404" s="311"/>
      <c r="H404" s="311"/>
      <c r="I404" s="311"/>
      <c r="J404" s="317"/>
      <c r="K404" s="312"/>
      <c r="L404" s="312"/>
      <c r="M404" s="312"/>
      <c r="N404" s="312"/>
      <c r="O404" s="312"/>
      <c r="P404" s="322" t="str">
        <f t="shared" si="20"/>
        <v/>
      </c>
      <c r="Q404" s="208" t="str">
        <f t="shared" si="18"/>
        <v/>
      </c>
      <c r="R404" s="208"/>
      <c r="S404" s="323" t="str">
        <f t="shared" si="19"/>
        <v/>
      </c>
      <c r="U404" s="322"/>
      <c r="V404" s="791"/>
      <c r="W404" s="792"/>
      <c r="X404" s="480"/>
      <c r="Y404" s="480"/>
      <c r="Z404" s="480"/>
      <c r="AA404" s="323"/>
      <c r="AB404" s="220"/>
      <c r="AC404" s="322"/>
      <c r="AD404" s="323"/>
      <c r="AE404" s="220"/>
      <c r="AF404" s="324"/>
      <c r="AG404" s="208"/>
      <c r="AH404" s="208"/>
      <c r="AI404" s="208"/>
      <c r="AJ404" s="208"/>
      <c r="AK404" s="208"/>
      <c r="AL404" s="208"/>
      <c r="AM404" s="208"/>
      <c r="AN404" s="208"/>
      <c r="AO404" s="208"/>
      <c r="AP404" s="208"/>
      <c r="AQ404" s="208"/>
      <c r="AR404" s="208"/>
      <c r="AS404" s="208"/>
      <c r="AT404" s="208"/>
      <c r="AU404" s="208"/>
      <c r="AV404" s="208"/>
      <c r="AW404" s="208"/>
      <c r="AX404" s="208"/>
      <c r="AY404" s="208"/>
      <c r="AZ404" s="208"/>
      <c r="BA404" s="208"/>
      <c r="BB404" s="208"/>
      <c r="BC404" s="208"/>
      <c r="BD404" s="208"/>
      <c r="BE404" s="208"/>
      <c r="BF404" s="208"/>
      <c r="BG404" s="208"/>
      <c r="BH404" s="208"/>
      <c r="BI404" s="323"/>
    </row>
    <row r="405" spans="3:61" ht="15" customHeight="1">
      <c r="C405" s="325"/>
      <c r="D405" s="326"/>
      <c r="E405" s="311"/>
      <c r="F405" s="311"/>
      <c r="G405" s="311"/>
      <c r="H405" s="311"/>
      <c r="I405" s="311"/>
      <c r="J405" s="317"/>
      <c r="K405" s="312"/>
      <c r="L405" s="312"/>
      <c r="M405" s="312"/>
      <c r="N405" s="312"/>
      <c r="O405" s="312"/>
      <c r="P405" s="318" t="str">
        <f t="shared" si="20"/>
        <v/>
      </c>
      <c r="Q405" s="205" t="str">
        <f t="shared" si="18"/>
        <v/>
      </c>
      <c r="R405" s="205"/>
      <c r="S405" s="319" t="str">
        <f t="shared" si="19"/>
        <v/>
      </c>
      <c r="U405" s="318"/>
      <c r="V405" s="794"/>
      <c r="W405" s="795"/>
      <c r="X405" s="482"/>
      <c r="Y405" s="482"/>
      <c r="Z405" s="482"/>
      <c r="AA405" s="319"/>
      <c r="AB405" s="220"/>
      <c r="AC405" s="318"/>
      <c r="AD405" s="319"/>
      <c r="AE405" s="220"/>
      <c r="AF405" s="320"/>
      <c r="AG405" s="205"/>
      <c r="AH405" s="205"/>
      <c r="AI405" s="205"/>
      <c r="AJ405" s="205"/>
      <c r="AK405" s="205"/>
      <c r="AL405" s="205"/>
      <c r="AM405" s="205"/>
      <c r="AN405" s="205"/>
      <c r="AO405" s="205"/>
      <c r="AP405" s="205"/>
      <c r="AQ405" s="205"/>
      <c r="AR405" s="205"/>
      <c r="AS405" s="205"/>
      <c r="AT405" s="205"/>
      <c r="AU405" s="205"/>
      <c r="AV405" s="205"/>
      <c r="AW405" s="205"/>
      <c r="AX405" s="205"/>
      <c r="AY405" s="205"/>
      <c r="AZ405" s="205"/>
      <c r="BA405" s="205"/>
      <c r="BB405" s="205"/>
      <c r="BC405" s="205"/>
      <c r="BD405" s="205"/>
      <c r="BE405" s="205"/>
      <c r="BF405" s="205"/>
      <c r="BG405" s="205"/>
      <c r="BH405" s="205"/>
      <c r="BI405" s="319"/>
    </row>
    <row r="406" spans="3:61" ht="15" customHeight="1">
      <c r="C406" s="325"/>
      <c r="D406" s="326"/>
      <c r="E406" s="311"/>
      <c r="F406" s="311"/>
      <c r="G406" s="311"/>
      <c r="H406" s="311"/>
      <c r="I406" s="311"/>
      <c r="J406" s="317"/>
      <c r="K406" s="312"/>
      <c r="L406" s="312"/>
      <c r="M406" s="312"/>
      <c r="N406" s="312"/>
      <c r="O406" s="312"/>
      <c r="P406" s="322" t="str">
        <f t="shared" si="20"/>
        <v/>
      </c>
      <c r="Q406" s="208" t="str">
        <f t="shared" si="18"/>
        <v/>
      </c>
      <c r="R406" s="208"/>
      <c r="S406" s="323" t="str">
        <f t="shared" si="19"/>
        <v/>
      </c>
      <c r="U406" s="322"/>
      <c r="V406" s="791"/>
      <c r="W406" s="792"/>
      <c r="X406" s="480"/>
      <c r="Y406" s="480"/>
      <c r="Z406" s="480"/>
      <c r="AA406" s="323"/>
      <c r="AB406" s="220"/>
      <c r="AC406" s="322"/>
      <c r="AD406" s="323"/>
      <c r="AE406" s="220"/>
      <c r="AF406" s="324"/>
      <c r="AG406" s="208"/>
      <c r="AH406" s="208"/>
      <c r="AI406" s="208"/>
      <c r="AJ406" s="208"/>
      <c r="AK406" s="208"/>
      <c r="AL406" s="208"/>
      <c r="AM406" s="208"/>
      <c r="AN406" s="208"/>
      <c r="AO406" s="208"/>
      <c r="AP406" s="208"/>
      <c r="AQ406" s="208"/>
      <c r="AR406" s="208"/>
      <c r="AS406" s="208"/>
      <c r="AT406" s="208"/>
      <c r="AU406" s="208"/>
      <c r="AV406" s="208"/>
      <c r="AW406" s="208"/>
      <c r="AX406" s="208"/>
      <c r="AY406" s="208"/>
      <c r="AZ406" s="208"/>
      <c r="BA406" s="208"/>
      <c r="BB406" s="208"/>
      <c r="BC406" s="208"/>
      <c r="BD406" s="208"/>
      <c r="BE406" s="208"/>
      <c r="BF406" s="208"/>
      <c r="BG406" s="208"/>
      <c r="BH406" s="208"/>
      <c r="BI406" s="323"/>
    </row>
    <row r="407" spans="3:61" ht="15" customHeight="1">
      <c r="C407" s="325"/>
      <c r="D407" s="326"/>
      <c r="E407" s="311"/>
      <c r="F407" s="311"/>
      <c r="G407" s="311"/>
      <c r="H407" s="311"/>
      <c r="I407" s="311"/>
      <c r="J407" s="317"/>
      <c r="K407" s="312"/>
      <c r="L407" s="312"/>
      <c r="M407" s="312"/>
      <c r="N407" s="312"/>
      <c r="O407" s="312"/>
      <c r="P407" s="318" t="str">
        <f t="shared" si="20"/>
        <v/>
      </c>
      <c r="Q407" s="205" t="str">
        <f t="shared" si="18"/>
        <v/>
      </c>
      <c r="R407" s="205"/>
      <c r="S407" s="319" t="str">
        <f t="shared" si="19"/>
        <v/>
      </c>
      <c r="U407" s="318"/>
      <c r="V407" s="794"/>
      <c r="W407" s="795"/>
      <c r="X407" s="482"/>
      <c r="Y407" s="482"/>
      <c r="Z407" s="482"/>
      <c r="AA407" s="319"/>
      <c r="AB407" s="220"/>
      <c r="AC407" s="318"/>
      <c r="AD407" s="319"/>
      <c r="AE407" s="220"/>
      <c r="AF407" s="320"/>
      <c r="AG407" s="205"/>
      <c r="AH407" s="205"/>
      <c r="AI407" s="205"/>
      <c r="AJ407" s="205"/>
      <c r="AK407" s="205"/>
      <c r="AL407" s="205"/>
      <c r="AM407" s="205"/>
      <c r="AN407" s="205"/>
      <c r="AO407" s="205"/>
      <c r="AP407" s="205"/>
      <c r="AQ407" s="205"/>
      <c r="AR407" s="205"/>
      <c r="AS407" s="205"/>
      <c r="AT407" s="205"/>
      <c r="AU407" s="205"/>
      <c r="AV407" s="205"/>
      <c r="AW407" s="205"/>
      <c r="AX407" s="205"/>
      <c r="AY407" s="205"/>
      <c r="AZ407" s="205"/>
      <c r="BA407" s="205"/>
      <c r="BB407" s="205"/>
      <c r="BC407" s="205"/>
      <c r="BD407" s="205"/>
      <c r="BE407" s="205"/>
      <c r="BF407" s="205"/>
      <c r="BG407" s="205"/>
      <c r="BH407" s="205"/>
      <c r="BI407" s="319"/>
    </row>
    <row r="408" spans="3:61" ht="15" customHeight="1">
      <c r="C408" s="325"/>
      <c r="D408" s="326"/>
      <c r="E408" s="311"/>
      <c r="F408" s="311"/>
      <c r="G408" s="311"/>
      <c r="H408" s="311"/>
      <c r="I408" s="311"/>
      <c r="J408" s="317"/>
      <c r="K408" s="312"/>
      <c r="L408" s="312"/>
      <c r="M408" s="312"/>
      <c r="N408" s="312"/>
      <c r="O408" s="312"/>
      <c r="P408" s="322" t="str">
        <f t="shared" si="20"/>
        <v/>
      </c>
      <c r="Q408" s="208" t="str">
        <f t="shared" si="18"/>
        <v/>
      </c>
      <c r="R408" s="208"/>
      <c r="S408" s="323" t="str">
        <f t="shared" si="19"/>
        <v/>
      </c>
      <c r="U408" s="322"/>
      <c r="V408" s="791"/>
      <c r="W408" s="792"/>
      <c r="X408" s="480"/>
      <c r="Y408" s="480"/>
      <c r="Z408" s="480"/>
      <c r="AA408" s="323"/>
      <c r="AB408" s="220"/>
      <c r="AC408" s="322"/>
      <c r="AD408" s="323"/>
      <c r="AE408" s="220"/>
      <c r="AF408" s="324"/>
      <c r="AG408" s="208"/>
      <c r="AH408" s="208"/>
      <c r="AI408" s="208"/>
      <c r="AJ408" s="208"/>
      <c r="AK408" s="208"/>
      <c r="AL408" s="208"/>
      <c r="AM408" s="208"/>
      <c r="AN408" s="208"/>
      <c r="AO408" s="208"/>
      <c r="AP408" s="208"/>
      <c r="AQ408" s="208"/>
      <c r="AR408" s="208"/>
      <c r="AS408" s="208"/>
      <c r="AT408" s="208"/>
      <c r="AU408" s="208"/>
      <c r="AV408" s="208"/>
      <c r="AW408" s="208"/>
      <c r="AX408" s="208"/>
      <c r="AY408" s="208"/>
      <c r="AZ408" s="208"/>
      <c r="BA408" s="208"/>
      <c r="BB408" s="208"/>
      <c r="BC408" s="208"/>
      <c r="BD408" s="208"/>
      <c r="BE408" s="208"/>
      <c r="BF408" s="208"/>
      <c r="BG408" s="208"/>
      <c r="BH408" s="208"/>
      <c r="BI408" s="323"/>
    </row>
    <row r="409" spans="3:61" ht="15" customHeight="1">
      <c r="C409" s="325"/>
      <c r="D409" s="326"/>
      <c r="E409" s="311"/>
      <c r="F409" s="311"/>
      <c r="G409" s="311"/>
      <c r="H409" s="311"/>
      <c r="I409" s="311"/>
      <c r="J409" s="317"/>
      <c r="K409" s="312"/>
      <c r="L409" s="312"/>
      <c r="M409" s="312"/>
      <c r="N409" s="312"/>
      <c r="O409" s="312"/>
      <c r="P409" s="318" t="str">
        <f t="shared" si="20"/>
        <v/>
      </c>
      <c r="Q409" s="205" t="str">
        <f t="shared" si="18"/>
        <v/>
      </c>
      <c r="R409" s="205"/>
      <c r="S409" s="319" t="str">
        <f t="shared" si="19"/>
        <v/>
      </c>
      <c r="U409" s="318"/>
      <c r="V409" s="794"/>
      <c r="W409" s="795"/>
      <c r="X409" s="482"/>
      <c r="Y409" s="482"/>
      <c r="Z409" s="482"/>
      <c r="AA409" s="319"/>
      <c r="AB409" s="220"/>
      <c r="AC409" s="318"/>
      <c r="AD409" s="319"/>
      <c r="AE409" s="220"/>
      <c r="AF409" s="320"/>
      <c r="AG409" s="205"/>
      <c r="AH409" s="205"/>
      <c r="AI409" s="205"/>
      <c r="AJ409" s="205"/>
      <c r="AK409" s="205"/>
      <c r="AL409" s="205"/>
      <c r="AM409" s="205"/>
      <c r="AN409" s="205"/>
      <c r="AO409" s="205"/>
      <c r="AP409" s="205"/>
      <c r="AQ409" s="205"/>
      <c r="AR409" s="205"/>
      <c r="AS409" s="205"/>
      <c r="AT409" s="205"/>
      <c r="AU409" s="205"/>
      <c r="AV409" s="205"/>
      <c r="AW409" s="205"/>
      <c r="AX409" s="205"/>
      <c r="AY409" s="205"/>
      <c r="AZ409" s="205"/>
      <c r="BA409" s="205"/>
      <c r="BB409" s="205"/>
      <c r="BC409" s="205"/>
      <c r="BD409" s="205"/>
      <c r="BE409" s="205"/>
      <c r="BF409" s="205"/>
      <c r="BG409" s="205"/>
      <c r="BH409" s="205"/>
      <c r="BI409" s="319"/>
    </row>
    <row r="410" spans="3:61" ht="15" customHeight="1">
      <c r="C410" s="325"/>
      <c r="D410" s="326"/>
      <c r="E410" s="311"/>
      <c r="F410" s="311"/>
      <c r="G410" s="311"/>
      <c r="H410" s="311"/>
      <c r="I410" s="311"/>
      <c r="J410" s="317"/>
      <c r="K410" s="312"/>
      <c r="L410" s="312"/>
      <c r="M410" s="312"/>
      <c r="N410" s="312"/>
      <c r="O410" s="312"/>
      <c r="P410" s="322" t="str">
        <f t="shared" si="20"/>
        <v/>
      </c>
      <c r="Q410" s="208" t="str">
        <f t="shared" si="18"/>
        <v/>
      </c>
      <c r="R410" s="208"/>
      <c r="S410" s="323" t="str">
        <f t="shared" si="19"/>
        <v/>
      </c>
      <c r="U410" s="322"/>
      <c r="V410" s="791"/>
      <c r="W410" s="792"/>
      <c r="X410" s="480"/>
      <c r="Y410" s="480"/>
      <c r="Z410" s="480"/>
      <c r="AA410" s="323"/>
      <c r="AB410" s="220"/>
      <c r="AC410" s="322"/>
      <c r="AD410" s="323"/>
      <c r="AE410" s="220"/>
      <c r="AF410" s="324"/>
      <c r="AG410" s="208"/>
      <c r="AH410" s="208"/>
      <c r="AI410" s="208"/>
      <c r="AJ410" s="208"/>
      <c r="AK410" s="208"/>
      <c r="AL410" s="208"/>
      <c r="AM410" s="208"/>
      <c r="AN410" s="208"/>
      <c r="AO410" s="208"/>
      <c r="AP410" s="208"/>
      <c r="AQ410" s="208"/>
      <c r="AR410" s="208"/>
      <c r="AS410" s="208"/>
      <c r="AT410" s="208"/>
      <c r="AU410" s="208"/>
      <c r="AV410" s="208"/>
      <c r="AW410" s="208"/>
      <c r="AX410" s="208"/>
      <c r="AY410" s="208"/>
      <c r="AZ410" s="208"/>
      <c r="BA410" s="208"/>
      <c r="BB410" s="208"/>
      <c r="BC410" s="208"/>
      <c r="BD410" s="208"/>
      <c r="BE410" s="208"/>
      <c r="BF410" s="208"/>
      <c r="BG410" s="208"/>
      <c r="BH410" s="208"/>
      <c r="BI410" s="323"/>
    </row>
    <row r="411" spans="3:61" ht="15" customHeight="1">
      <c r="C411" s="325"/>
      <c r="D411" s="326"/>
      <c r="E411" s="311"/>
      <c r="F411" s="311"/>
      <c r="G411" s="311"/>
      <c r="H411" s="311"/>
      <c r="I411" s="311"/>
      <c r="J411" s="317"/>
      <c r="K411" s="312"/>
      <c r="L411" s="312"/>
      <c r="M411" s="312"/>
      <c r="N411" s="312"/>
      <c r="O411" s="312"/>
      <c r="P411" s="318" t="str">
        <f t="shared" si="20"/>
        <v/>
      </c>
      <c r="Q411" s="205" t="str">
        <f t="shared" si="18"/>
        <v/>
      </c>
      <c r="R411" s="205"/>
      <c r="S411" s="319" t="str">
        <f t="shared" si="19"/>
        <v/>
      </c>
      <c r="U411" s="318"/>
      <c r="V411" s="794"/>
      <c r="W411" s="795"/>
      <c r="X411" s="482"/>
      <c r="Y411" s="482"/>
      <c r="Z411" s="482"/>
      <c r="AA411" s="319"/>
      <c r="AB411" s="220"/>
      <c r="AC411" s="318"/>
      <c r="AD411" s="319"/>
      <c r="AE411" s="220"/>
      <c r="AF411" s="320"/>
      <c r="AG411" s="205"/>
      <c r="AH411" s="205"/>
      <c r="AI411" s="205"/>
      <c r="AJ411" s="205"/>
      <c r="AK411" s="205"/>
      <c r="AL411" s="205"/>
      <c r="AM411" s="205"/>
      <c r="AN411" s="205"/>
      <c r="AO411" s="205"/>
      <c r="AP411" s="205"/>
      <c r="AQ411" s="205"/>
      <c r="AR411" s="205"/>
      <c r="AS411" s="205"/>
      <c r="AT411" s="205"/>
      <c r="AU411" s="205"/>
      <c r="AV411" s="205"/>
      <c r="AW411" s="205"/>
      <c r="AX411" s="205"/>
      <c r="AY411" s="205"/>
      <c r="AZ411" s="205"/>
      <c r="BA411" s="205"/>
      <c r="BB411" s="205"/>
      <c r="BC411" s="205"/>
      <c r="BD411" s="205"/>
      <c r="BE411" s="205"/>
      <c r="BF411" s="205"/>
      <c r="BG411" s="205"/>
      <c r="BH411" s="205"/>
      <c r="BI411" s="319"/>
    </row>
    <row r="412" spans="3:61" ht="15" customHeight="1">
      <c r="C412" s="325"/>
      <c r="D412" s="326"/>
      <c r="E412" s="311"/>
      <c r="F412" s="311"/>
      <c r="G412" s="311"/>
      <c r="H412" s="311"/>
      <c r="I412" s="311"/>
      <c r="J412" s="317"/>
      <c r="K412" s="312"/>
      <c r="L412" s="312"/>
      <c r="M412" s="312"/>
      <c r="N412" s="312"/>
      <c r="O412" s="312"/>
      <c r="P412" s="322" t="str">
        <f t="shared" si="20"/>
        <v/>
      </c>
      <c r="Q412" s="208" t="str">
        <f t="shared" si="18"/>
        <v/>
      </c>
      <c r="R412" s="208"/>
      <c r="S412" s="323" t="str">
        <f t="shared" si="19"/>
        <v/>
      </c>
      <c r="U412" s="322"/>
      <c r="V412" s="791"/>
      <c r="W412" s="792"/>
      <c r="X412" s="480"/>
      <c r="Y412" s="480"/>
      <c r="Z412" s="480"/>
      <c r="AA412" s="323"/>
      <c r="AB412" s="220"/>
      <c r="AC412" s="322"/>
      <c r="AD412" s="323"/>
      <c r="AE412" s="220"/>
      <c r="AF412" s="324"/>
      <c r="AG412" s="208"/>
      <c r="AH412" s="208"/>
      <c r="AI412" s="208"/>
      <c r="AJ412" s="208"/>
      <c r="AK412" s="208"/>
      <c r="AL412" s="208"/>
      <c r="AM412" s="208"/>
      <c r="AN412" s="208"/>
      <c r="AO412" s="208"/>
      <c r="AP412" s="208"/>
      <c r="AQ412" s="208"/>
      <c r="AR412" s="208"/>
      <c r="AS412" s="208"/>
      <c r="AT412" s="208"/>
      <c r="AU412" s="208"/>
      <c r="AV412" s="208"/>
      <c r="AW412" s="208"/>
      <c r="AX412" s="208"/>
      <c r="AY412" s="208"/>
      <c r="AZ412" s="208"/>
      <c r="BA412" s="208"/>
      <c r="BB412" s="208"/>
      <c r="BC412" s="208"/>
      <c r="BD412" s="208"/>
      <c r="BE412" s="208"/>
      <c r="BF412" s="208"/>
      <c r="BG412" s="208"/>
      <c r="BH412" s="208"/>
      <c r="BI412" s="323"/>
    </row>
    <row r="413" spans="3:61" ht="15" customHeight="1">
      <c r="C413" s="325"/>
      <c r="D413" s="326"/>
      <c r="E413" s="311"/>
      <c r="F413" s="311"/>
      <c r="G413" s="311"/>
      <c r="H413" s="311"/>
      <c r="I413" s="311"/>
      <c r="J413" s="317"/>
      <c r="K413" s="312"/>
      <c r="L413" s="312"/>
      <c r="M413" s="312"/>
      <c r="N413" s="312"/>
      <c r="O413" s="312"/>
      <c r="P413" s="318" t="str">
        <f t="shared" si="20"/>
        <v/>
      </c>
      <c r="Q413" s="205" t="str">
        <f t="shared" si="18"/>
        <v/>
      </c>
      <c r="R413" s="205"/>
      <c r="S413" s="319" t="str">
        <f t="shared" si="19"/>
        <v/>
      </c>
      <c r="U413" s="318"/>
      <c r="V413" s="794"/>
      <c r="W413" s="795"/>
      <c r="X413" s="482"/>
      <c r="Y413" s="482"/>
      <c r="Z413" s="482"/>
      <c r="AA413" s="319"/>
      <c r="AB413" s="220"/>
      <c r="AC413" s="318"/>
      <c r="AD413" s="319"/>
      <c r="AE413" s="220"/>
      <c r="AF413" s="320"/>
      <c r="AG413" s="205"/>
      <c r="AH413" s="205"/>
      <c r="AI413" s="205"/>
      <c r="AJ413" s="205"/>
      <c r="AK413" s="205"/>
      <c r="AL413" s="205"/>
      <c r="AM413" s="205"/>
      <c r="AN413" s="205"/>
      <c r="AO413" s="205"/>
      <c r="AP413" s="205"/>
      <c r="AQ413" s="205"/>
      <c r="AR413" s="205"/>
      <c r="AS413" s="205"/>
      <c r="AT413" s="205"/>
      <c r="AU413" s="205"/>
      <c r="AV413" s="205"/>
      <c r="AW413" s="205"/>
      <c r="AX413" s="205"/>
      <c r="AY413" s="205"/>
      <c r="AZ413" s="205"/>
      <c r="BA413" s="205"/>
      <c r="BB413" s="205"/>
      <c r="BC413" s="205"/>
      <c r="BD413" s="205"/>
      <c r="BE413" s="205"/>
      <c r="BF413" s="205"/>
      <c r="BG413" s="205"/>
      <c r="BH413" s="205"/>
      <c r="BI413" s="319"/>
    </row>
    <row r="414" spans="3:61" ht="15" customHeight="1">
      <c r="C414" s="325"/>
      <c r="D414" s="326"/>
      <c r="E414" s="311"/>
      <c r="F414" s="311"/>
      <c r="G414" s="311"/>
      <c r="H414" s="311"/>
      <c r="I414" s="311"/>
      <c r="J414" s="317"/>
      <c r="K414" s="312"/>
      <c r="L414" s="312"/>
      <c r="M414" s="312"/>
      <c r="N414" s="312"/>
      <c r="O414" s="312"/>
      <c r="P414" s="322" t="str">
        <f t="shared" si="20"/>
        <v/>
      </c>
      <c r="Q414" s="208" t="str">
        <f t="shared" si="18"/>
        <v/>
      </c>
      <c r="R414" s="208"/>
      <c r="S414" s="323" t="str">
        <f t="shared" si="19"/>
        <v/>
      </c>
      <c r="U414" s="322"/>
      <c r="V414" s="791"/>
      <c r="W414" s="792"/>
      <c r="X414" s="480"/>
      <c r="Y414" s="480"/>
      <c r="Z414" s="480"/>
      <c r="AA414" s="323"/>
      <c r="AB414" s="220"/>
      <c r="AC414" s="322"/>
      <c r="AD414" s="323"/>
      <c r="AE414" s="220"/>
      <c r="AF414" s="324"/>
      <c r="AG414" s="208"/>
      <c r="AH414" s="208"/>
      <c r="AI414" s="208"/>
      <c r="AJ414" s="208"/>
      <c r="AK414" s="208"/>
      <c r="AL414" s="208"/>
      <c r="AM414" s="208"/>
      <c r="AN414" s="208"/>
      <c r="AO414" s="208"/>
      <c r="AP414" s="208"/>
      <c r="AQ414" s="208"/>
      <c r="AR414" s="208"/>
      <c r="AS414" s="208"/>
      <c r="AT414" s="208"/>
      <c r="AU414" s="208"/>
      <c r="AV414" s="208"/>
      <c r="AW414" s="208"/>
      <c r="AX414" s="208"/>
      <c r="AY414" s="208"/>
      <c r="AZ414" s="208"/>
      <c r="BA414" s="208"/>
      <c r="BB414" s="208"/>
      <c r="BC414" s="208"/>
      <c r="BD414" s="208"/>
      <c r="BE414" s="208"/>
      <c r="BF414" s="208"/>
      <c r="BG414" s="208"/>
      <c r="BH414" s="208"/>
      <c r="BI414" s="323"/>
    </row>
    <row r="415" spans="3:61" ht="15" customHeight="1">
      <c r="C415" s="325"/>
      <c r="D415" s="326"/>
      <c r="E415" s="311"/>
      <c r="F415" s="311"/>
      <c r="G415" s="311"/>
      <c r="H415" s="311"/>
      <c r="I415" s="311"/>
      <c r="J415" s="317"/>
      <c r="K415" s="312"/>
      <c r="L415" s="312"/>
      <c r="M415" s="312"/>
      <c r="N415" s="312"/>
      <c r="O415" s="312"/>
      <c r="P415" s="318" t="str">
        <f t="shared" si="20"/>
        <v/>
      </c>
      <c r="Q415" s="205" t="str">
        <f t="shared" si="18"/>
        <v/>
      </c>
      <c r="R415" s="205"/>
      <c r="S415" s="319" t="str">
        <f t="shared" si="19"/>
        <v/>
      </c>
      <c r="U415" s="318"/>
      <c r="V415" s="794"/>
      <c r="W415" s="795"/>
      <c r="X415" s="482"/>
      <c r="Y415" s="482"/>
      <c r="Z415" s="482"/>
      <c r="AA415" s="319"/>
      <c r="AB415" s="220"/>
      <c r="AC415" s="318"/>
      <c r="AD415" s="319"/>
      <c r="AE415" s="220"/>
      <c r="AF415" s="320"/>
      <c r="AG415" s="205"/>
      <c r="AH415" s="205"/>
      <c r="AI415" s="205"/>
      <c r="AJ415" s="205"/>
      <c r="AK415" s="205"/>
      <c r="AL415" s="205"/>
      <c r="AM415" s="205"/>
      <c r="AN415" s="205"/>
      <c r="AO415" s="205"/>
      <c r="AP415" s="205"/>
      <c r="AQ415" s="205"/>
      <c r="AR415" s="205"/>
      <c r="AS415" s="205"/>
      <c r="AT415" s="205"/>
      <c r="AU415" s="205"/>
      <c r="AV415" s="205"/>
      <c r="AW415" s="205"/>
      <c r="AX415" s="205"/>
      <c r="AY415" s="205"/>
      <c r="AZ415" s="205"/>
      <c r="BA415" s="205"/>
      <c r="BB415" s="205"/>
      <c r="BC415" s="205"/>
      <c r="BD415" s="205"/>
      <c r="BE415" s="205"/>
      <c r="BF415" s="205"/>
      <c r="BG415" s="205"/>
      <c r="BH415" s="205"/>
      <c r="BI415" s="319"/>
    </row>
    <row r="416" spans="3:61" ht="15" customHeight="1">
      <c r="C416" s="325"/>
      <c r="D416" s="326"/>
      <c r="E416" s="311"/>
      <c r="F416" s="311"/>
      <c r="G416" s="311"/>
      <c r="H416" s="311"/>
      <c r="I416" s="311"/>
      <c r="J416" s="317"/>
      <c r="K416" s="312"/>
      <c r="L416" s="312"/>
      <c r="M416" s="312"/>
      <c r="N416" s="312"/>
      <c r="O416" s="312"/>
      <c r="P416" s="322" t="str">
        <f t="shared" si="20"/>
        <v/>
      </c>
      <c r="Q416" s="208" t="str">
        <f t="shared" si="18"/>
        <v/>
      </c>
      <c r="R416" s="208"/>
      <c r="S416" s="323" t="str">
        <f t="shared" si="19"/>
        <v/>
      </c>
      <c r="U416" s="322"/>
      <c r="V416" s="791"/>
      <c r="W416" s="792"/>
      <c r="X416" s="480"/>
      <c r="Y416" s="480"/>
      <c r="Z416" s="480"/>
      <c r="AA416" s="323"/>
      <c r="AB416" s="220"/>
      <c r="AC416" s="322"/>
      <c r="AD416" s="323"/>
      <c r="AE416" s="220"/>
      <c r="AF416" s="324"/>
      <c r="AG416" s="208"/>
      <c r="AH416" s="208"/>
      <c r="AI416" s="208"/>
      <c r="AJ416" s="208"/>
      <c r="AK416" s="208"/>
      <c r="AL416" s="208"/>
      <c r="AM416" s="208"/>
      <c r="AN416" s="208"/>
      <c r="AO416" s="208"/>
      <c r="AP416" s="208"/>
      <c r="AQ416" s="208"/>
      <c r="AR416" s="208"/>
      <c r="AS416" s="208"/>
      <c r="AT416" s="208"/>
      <c r="AU416" s="208"/>
      <c r="AV416" s="208"/>
      <c r="AW416" s="208"/>
      <c r="AX416" s="208"/>
      <c r="AY416" s="208"/>
      <c r="AZ416" s="208"/>
      <c r="BA416" s="208"/>
      <c r="BB416" s="208"/>
      <c r="BC416" s="208"/>
      <c r="BD416" s="208"/>
      <c r="BE416" s="208"/>
      <c r="BF416" s="208"/>
      <c r="BG416" s="208"/>
      <c r="BH416" s="208"/>
      <c r="BI416" s="323"/>
    </row>
    <row r="417" spans="3:61" ht="15" customHeight="1">
      <c r="C417" s="325"/>
      <c r="D417" s="326"/>
      <c r="E417" s="311"/>
      <c r="F417" s="311"/>
      <c r="G417" s="311"/>
      <c r="H417" s="311"/>
      <c r="I417" s="311"/>
      <c r="J417" s="317"/>
      <c r="K417" s="312"/>
      <c r="L417" s="312"/>
      <c r="M417" s="312"/>
      <c r="N417" s="312"/>
      <c r="O417" s="312"/>
      <c r="P417" s="318" t="str">
        <f t="shared" si="20"/>
        <v/>
      </c>
      <c r="Q417" s="205" t="str">
        <f t="shared" si="18"/>
        <v/>
      </c>
      <c r="R417" s="205"/>
      <c r="S417" s="319" t="str">
        <f t="shared" si="19"/>
        <v/>
      </c>
      <c r="U417" s="318"/>
      <c r="V417" s="794"/>
      <c r="W417" s="795"/>
      <c r="X417" s="482"/>
      <c r="Y417" s="482"/>
      <c r="Z417" s="482"/>
      <c r="AA417" s="319"/>
      <c r="AB417" s="220"/>
      <c r="AC417" s="318"/>
      <c r="AD417" s="319"/>
      <c r="AE417" s="220"/>
      <c r="AF417" s="320"/>
      <c r="AG417" s="205"/>
      <c r="AH417" s="205"/>
      <c r="AI417" s="205"/>
      <c r="AJ417" s="205"/>
      <c r="AK417" s="205"/>
      <c r="AL417" s="205"/>
      <c r="AM417" s="205"/>
      <c r="AN417" s="205"/>
      <c r="AO417" s="205"/>
      <c r="AP417" s="205"/>
      <c r="AQ417" s="205"/>
      <c r="AR417" s="205"/>
      <c r="AS417" s="205"/>
      <c r="AT417" s="205"/>
      <c r="AU417" s="205"/>
      <c r="AV417" s="205"/>
      <c r="AW417" s="205"/>
      <c r="AX417" s="205"/>
      <c r="AY417" s="205"/>
      <c r="AZ417" s="205"/>
      <c r="BA417" s="205"/>
      <c r="BB417" s="205"/>
      <c r="BC417" s="205"/>
      <c r="BD417" s="205"/>
      <c r="BE417" s="205"/>
      <c r="BF417" s="205"/>
      <c r="BG417" s="205"/>
      <c r="BH417" s="205"/>
      <c r="BI417" s="319"/>
    </row>
    <row r="418" spans="3:61" ht="15" customHeight="1">
      <c r="C418" s="325"/>
      <c r="D418" s="326"/>
      <c r="E418" s="311"/>
      <c r="F418" s="311"/>
      <c r="G418" s="311"/>
      <c r="H418" s="311"/>
      <c r="I418" s="311"/>
      <c r="J418" s="317"/>
      <c r="K418" s="312"/>
      <c r="L418" s="312"/>
      <c r="M418" s="312"/>
      <c r="N418" s="312"/>
      <c r="O418" s="312"/>
      <c r="P418" s="322" t="str">
        <f t="shared" si="20"/>
        <v/>
      </c>
      <c r="Q418" s="208" t="str">
        <f t="shared" si="18"/>
        <v/>
      </c>
      <c r="R418" s="208"/>
      <c r="S418" s="323" t="str">
        <f t="shared" si="19"/>
        <v/>
      </c>
      <c r="U418" s="322"/>
      <c r="V418" s="791"/>
      <c r="W418" s="792"/>
      <c r="X418" s="480"/>
      <c r="Y418" s="480"/>
      <c r="Z418" s="480"/>
      <c r="AA418" s="323"/>
      <c r="AB418" s="220"/>
      <c r="AC418" s="322"/>
      <c r="AD418" s="323"/>
      <c r="AE418" s="220"/>
      <c r="AF418" s="324"/>
      <c r="AG418" s="208"/>
      <c r="AH418" s="208"/>
      <c r="AI418" s="208"/>
      <c r="AJ418" s="208"/>
      <c r="AK418" s="208"/>
      <c r="AL418" s="208"/>
      <c r="AM418" s="208"/>
      <c r="AN418" s="208"/>
      <c r="AO418" s="208"/>
      <c r="AP418" s="208"/>
      <c r="AQ418" s="208"/>
      <c r="AR418" s="208"/>
      <c r="AS418" s="208"/>
      <c r="AT418" s="208"/>
      <c r="AU418" s="208"/>
      <c r="AV418" s="208"/>
      <c r="AW418" s="208"/>
      <c r="AX418" s="208"/>
      <c r="AY418" s="208"/>
      <c r="AZ418" s="208"/>
      <c r="BA418" s="208"/>
      <c r="BB418" s="208"/>
      <c r="BC418" s="208"/>
      <c r="BD418" s="208"/>
      <c r="BE418" s="208"/>
      <c r="BF418" s="208"/>
      <c r="BG418" s="208"/>
      <c r="BH418" s="208"/>
      <c r="BI418" s="323"/>
    </row>
    <row r="419" spans="3:61" ht="15" customHeight="1">
      <c r="C419" s="325"/>
      <c r="D419" s="326"/>
      <c r="E419" s="311"/>
      <c r="F419" s="311"/>
      <c r="G419" s="311"/>
      <c r="H419" s="311"/>
      <c r="I419" s="311"/>
      <c r="J419" s="317"/>
      <c r="K419" s="312"/>
      <c r="L419" s="312"/>
      <c r="M419" s="312"/>
      <c r="N419" s="312"/>
      <c r="O419" s="312"/>
      <c r="P419" s="318" t="str">
        <f t="shared" si="20"/>
        <v/>
      </c>
      <c r="Q419" s="205" t="str">
        <f t="shared" si="18"/>
        <v/>
      </c>
      <c r="R419" s="205"/>
      <c r="S419" s="319" t="str">
        <f t="shared" si="19"/>
        <v/>
      </c>
      <c r="U419" s="318"/>
      <c r="V419" s="794"/>
      <c r="W419" s="795"/>
      <c r="X419" s="482"/>
      <c r="Y419" s="482"/>
      <c r="Z419" s="482"/>
      <c r="AA419" s="319"/>
      <c r="AB419" s="220"/>
      <c r="AC419" s="318"/>
      <c r="AD419" s="319"/>
      <c r="AE419" s="220"/>
      <c r="AF419" s="320"/>
      <c r="AG419" s="205"/>
      <c r="AH419" s="205"/>
      <c r="AI419" s="205"/>
      <c r="AJ419" s="205"/>
      <c r="AK419" s="205"/>
      <c r="AL419" s="205"/>
      <c r="AM419" s="205"/>
      <c r="AN419" s="205"/>
      <c r="AO419" s="205"/>
      <c r="AP419" s="205"/>
      <c r="AQ419" s="205"/>
      <c r="AR419" s="205"/>
      <c r="AS419" s="205"/>
      <c r="AT419" s="205"/>
      <c r="AU419" s="205"/>
      <c r="AV419" s="205"/>
      <c r="AW419" s="205"/>
      <c r="AX419" s="205"/>
      <c r="AY419" s="205"/>
      <c r="AZ419" s="205"/>
      <c r="BA419" s="205"/>
      <c r="BB419" s="205"/>
      <c r="BC419" s="205"/>
      <c r="BD419" s="205"/>
      <c r="BE419" s="205"/>
      <c r="BF419" s="205"/>
      <c r="BG419" s="205"/>
      <c r="BH419" s="205"/>
      <c r="BI419" s="319"/>
    </row>
    <row r="420" spans="3:61" ht="15" customHeight="1">
      <c r="C420" s="325"/>
      <c r="D420" s="326"/>
      <c r="E420" s="311"/>
      <c r="F420" s="311"/>
      <c r="G420" s="311"/>
      <c r="H420" s="311"/>
      <c r="I420" s="311"/>
      <c r="J420" s="317"/>
      <c r="K420" s="312"/>
      <c r="L420" s="312"/>
      <c r="M420" s="312"/>
      <c r="N420" s="312"/>
      <c r="O420" s="312"/>
      <c r="P420" s="322" t="str">
        <f t="shared" si="20"/>
        <v/>
      </c>
      <c r="Q420" s="208" t="str">
        <f t="shared" si="18"/>
        <v/>
      </c>
      <c r="R420" s="208"/>
      <c r="S420" s="323" t="str">
        <f t="shared" si="19"/>
        <v/>
      </c>
      <c r="U420" s="322"/>
      <c r="V420" s="791"/>
      <c r="W420" s="792"/>
      <c r="X420" s="480"/>
      <c r="Y420" s="480"/>
      <c r="Z420" s="480"/>
      <c r="AA420" s="323"/>
      <c r="AB420" s="220"/>
      <c r="AC420" s="322"/>
      <c r="AD420" s="323"/>
      <c r="AE420" s="220"/>
      <c r="AF420" s="324"/>
      <c r="AG420" s="208"/>
      <c r="AH420" s="208"/>
      <c r="AI420" s="208"/>
      <c r="AJ420" s="208"/>
      <c r="AK420" s="208"/>
      <c r="AL420" s="208"/>
      <c r="AM420" s="208"/>
      <c r="AN420" s="208"/>
      <c r="AO420" s="208"/>
      <c r="AP420" s="208"/>
      <c r="AQ420" s="208"/>
      <c r="AR420" s="208"/>
      <c r="AS420" s="208"/>
      <c r="AT420" s="208"/>
      <c r="AU420" s="208"/>
      <c r="AV420" s="208"/>
      <c r="AW420" s="208"/>
      <c r="AX420" s="208"/>
      <c r="AY420" s="208"/>
      <c r="AZ420" s="208"/>
      <c r="BA420" s="208"/>
      <c r="BB420" s="208"/>
      <c r="BC420" s="208"/>
      <c r="BD420" s="208"/>
      <c r="BE420" s="208"/>
      <c r="BF420" s="208"/>
      <c r="BG420" s="208"/>
      <c r="BH420" s="208"/>
      <c r="BI420" s="323"/>
    </row>
    <row r="421" spans="3:61" ht="15" customHeight="1">
      <c r="C421" s="325"/>
      <c r="D421" s="326"/>
      <c r="E421" s="311"/>
      <c r="F421" s="311"/>
      <c r="G421" s="311"/>
      <c r="H421" s="311"/>
      <c r="I421" s="311"/>
      <c r="J421" s="317"/>
      <c r="K421" s="312"/>
      <c r="L421" s="312"/>
      <c r="M421" s="312"/>
      <c r="N421" s="312"/>
      <c r="O421" s="312"/>
      <c r="P421" s="318" t="str">
        <f t="shared" si="20"/>
        <v/>
      </c>
      <c r="Q421" s="205" t="str">
        <f t="shared" si="18"/>
        <v/>
      </c>
      <c r="R421" s="205"/>
      <c r="S421" s="319" t="str">
        <f t="shared" si="19"/>
        <v/>
      </c>
      <c r="U421" s="318"/>
      <c r="V421" s="794"/>
      <c r="W421" s="795"/>
      <c r="X421" s="482"/>
      <c r="Y421" s="482"/>
      <c r="Z421" s="482"/>
      <c r="AA421" s="319"/>
      <c r="AB421" s="220"/>
      <c r="AC421" s="318"/>
      <c r="AD421" s="319"/>
      <c r="AE421" s="220"/>
      <c r="AF421" s="320"/>
      <c r="AG421" s="205"/>
      <c r="AH421" s="205"/>
      <c r="AI421" s="205"/>
      <c r="AJ421" s="205"/>
      <c r="AK421" s="205"/>
      <c r="AL421" s="205"/>
      <c r="AM421" s="205"/>
      <c r="AN421" s="205"/>
      <c r="AO421" s="205"/>
      <c r="AP421" s="205"/>
      <c r="AQ421" s="205"/>
      <c r="AR421" s="205"/>
      <c r="AS421" s="205"/>
      <c r="AT421" s="205"/>
      <c r="AU421" s="205"/>
      <c r="AV421" s="205"/>
      <c r="AW421" s="205"/>
      <c r="AX421" s="205"/>
      <c r="AY421" s="205"/>
      <c r="AZ421" s="205"/>
      <c r="BA421" s="205"/>
      <c r="BB421" s="205"/>
      <c r="BC421" s="205"/>
      <c r="BD421" s="205"/>
      <c r="BE421" s="205"/>
      <c r="BF421" s="205"/>
      <c r="BG421" s="205"/>
      <c r="BH421" s="205"/>
      <c r="BI421" s="319"/>
    </row>
    <row r="422" spans="3:61" ht="15" customHeight="1">
      <c r="C422" s="325"/>
      <c r="D422" s="326"/>
      <c r="E422" s="311"/>
      <c r="F422" s="311"/>
      <c r="G422" s="311"/>
      <c r="H422" s="311"/>
      <c r="I422" s="311"/>
      <c r="J422" s="317"/>
      <c r="K422" s="312"/>
      <c r="L422" s="312"/>
      <c r="M422" s="312"/>
      <c r="N422" s="312"/>
      <c r="O422" s="312"/>
      <c r="P422" s="322" t="str">
        <f t="shared" si="20"/>
        <v/>
      </c>
      <c r="Q422" s="208" t="str">
        <f t="shared" si="18"/>
        <v/>
      </c>
      <c r="R422" s="208"/>
      <c r="S422" s="323" t="str">
        <f t="shared" si="19"/>
        <v/>
      </c>
      <c r="U422" s="322"/>
      <c r="V422" s="791"/>
      <c r="W422" s="792"/>
      <c r="X422" s="480"/>
      <c r="Y422" s="480"/>
      <c r="Z422" s="480"/>
      <c r="AA422" s="323"/>
      <c r="AB422" s="220"/>
      <c r="AC422" s="322"/>
      <c r="AD422" s="323"/>
      <c r="AE422" s="220"/>
      <c r="AF422" s="324"/>
      <c r="AG422" s="208"/>
      <c r="AH422" s="208"/>
      <c r="AI422" s="208"/>
      <c r="AJ422" s="208"/>
      <c r="AK422" s="208"/>
      <c r="AL422" s="208"/>
      <c r="AM422" s="208"/>
      <c r="AN422" s="208"/>
      <c r="AO422" s="208"/>
      <c r="AP422" s="208"/>
      <c r="AQ422" s="208"/>
      <c r="AR422" s="208"/>
      <c r="AS422" s="208"/>
      <c r="AT422" s="208"/>
      <c r="AU422" s="208"/>
      <c r="AV422" s="208"/>
      <c r="AW422" s="208"/>
      <c r="AX422" s="208"/>
      <c r="AY422" s="208"/>
      <c r="AZ422" s="208"/>
      <c r="BA422" s="208"/>
      <c r="BB422" s="208"/>
      <c r="BC422" s="208"/>
      <c r="BD422" s="208"/>
      <c r="BE422" s="208"/>
      <c r="BF422" s="208"/>
      <c r="BG422" s="208"/>
      <c r="BH422" s="208"/>
      <c r="BI422" s="323"/>
    </row>
    <row r="423" spans="3:61" ht="15" customHeight="1">
      <c r="C423" s="325"/>
      <c r="D423" s="326"/>
      <c r="E423" s="311"/>
      <c r="F423" s="311"/>
      <c r="G423" s="311"/>
      <c r="H423" s="311"/>
      <c r="I423" s="311"/>
      <c r="J423" s="317"/>
      <c r="K423" s="312"/>
      <c r="L423" s="312"/>
      <c r="M423" s="312"/>
      <c r="N423" s="312"/>
      <c r="O423" s="312"/>
      <c r="P423" s="318" t="str">
        <f t="shared" si="20"/>
        <v/>
      </c>
      <c r="Q423" s="205" t="str">
        <f t="shared" si="18"/>
        <v/>
      </c>
      <c r="R423" s="205"/>
      <c r="S423" s="319" t="str">
        <f t="shared" si="19"/>
        <v/>
      </c>
      <c r="U423" s="318"/>
      <c r="V423" s="794"/>
      <c r="W423" s="795"/>
      <c r="X423" s="482"/>
      <c r="Y423" s="482"/>
      <c r="Z423" s="482"/>
      <c r="AA423" s="319"/>
      <c r="AB423" s="220"/>
      <c r="AC423" s="318"/>
      <c r="AD423" s="319"/>
      <c r="AE423" s="220"/>
      <c r="AF423" s="320"/>
      <c r="AG423" s="205"/>
      <c r="AH423" s="205"/>
      <c r="AI423" s="205"/>
      <c r="AJ423" s="205"/>
      <c r="AK423" s="205"/>
      <c r="AL423" s="205"/>
      <c r="AM423" s="205"/>
      <c r="AN423" s="205"/>
      <c r="AO423" s="205"/>
      <c r="AP423" s="205"/>
      <c r="AQ423" s="205"/>
      <c r="AR423" s="205"/>
      <c r="AS423" s="205"/>
      <c r="AT423" s="205"/>
      <c r="AU423" s="205"/>
      <c r="AV423" s="205"/>
      <c r="AW423" s="205"/>
      <c r="AX423" s="205"/>
      <c r="AY423" s="205"/>
      <c r="AZ423" s="205"/>
      <c r="BA423" s="205"/>
      <c r="BB423" s="205"/>
      <c r="BC423" s="205"/>
      <c r="BD423" s="205"/>
      <c r="BE423" s="205"/>
      <c r="BF423" s="205"/>
      <c r="BG423" s="205"/>
      <c r="BH423" s="205"/>
      <c r="BI423" s="319"/>
    </row>
    <row r="424" spans="3:61" ht="15" customHeight="1">
      <c r="C424" s="325"/>
      <c r="D424" s="326"/>
      <c r="E424" s="311"/>
      <c r="F424" s="311"/>
      <c r="G424" s="311"/>
      <c r="H424" s="311"/>
      <c r="I424" s="311"/>
      <c r="J424" s="317"/>
      <c r="K424" s="312"/>
      <c r="L424" s="312"/>
      <c r="M424" s="312"/>
      <c r="N424" s="312"/>
      <c r="O424" s="312"/>
      <c r="P424" s="322" t="str">
        <f t="shared" si="20"/>
        <v/>
      </c>
      <c r="Q424" s="208" t="str">
        <f t="shared" si="18"/>
        <v/>
      </c>
      <c r="R424" s="208"/>
      <c r="S424" s="323" t="str">
        <f t="shared" si="19"/>
        <v/>
      </c>
      <c r="U424" s="322"/>
      <c r="V424" s="791"/>
      <c r="W424" s="792"/>
      <c r="X424" s="480"/>
      <c r="Y424" s="480"/>
      <c r="Z424" s="480"/>
      <c r="AA424" s="323"/>
      <c r="AB424" s="220"/>
      <c r="AC424" s="322"/>
      <c r="AD424" s="323"/>
      <c r="AE424" s="220"/>
      <c r="AF424" s="324"/>
      <c r="AG424" s="208"/>
      <c r="AH424" s="208"/>
      <c r="AI424" s="208"/>
      <c r="AJ424" s="208"/>
      <c r="AK424" s="208"/>
      <c r="AL424" s="208"/>
      <c r="AM424" s="208"/>
      <c r="AN424" s="208"/>
      <c r="AO424" s="208"/>
      <c r="AP424" s="208"/>
      <c r="AQ424" s="208"/>
      <c r="AR424" s="208"/>
      <c r="AS424" s="208"/>
      <c r="AT424" s="208"/>
      <c r="AU424" s="208"/>
      <c r="AV424" s="208"/>
      <c r="AW424" s="208"/>
      <c r="AX424" s="208"/>
      <c r="AY424" s="208"/>
      <c r="AZ424" s="208"/>
      <c r="BA424" s="208"/>
      <c r="BB424" s="208"/>
      <c r="BC424" s="208"/>
      <c r="BD424" s="208"/>
      <c r="BE424" s="208"/>
      <c r="BF424" s="208"/>
      <c r="BG424" s="208"/>
      <c r="BH424" s="208"/>
      <c r="BI424" s="323"/>
    </row>
    <row r="425" spans="3:61" ht="15" customHeight="1">
      <c r="C425" s="325"/>
      <c r="D425" s="326"/>
      <c r="E425" s="311"/>
      <c r="F425" s="311"/>
      <c r="G425" s="311"/>
      <c r="H425" s="311"/>
      <c r="I425" s="311"/>
      <c r="J425" s="317"/>
      <c r="K425" s="312"/>
      <c r="L425" s="312"/>
      <c r="M425" s="312"/>
      <c r="N425" s="312"/>
      <c r="O425" s="312"/>
      <c r="P425" s="318" t="str">
        <f t="shared" si="20"/>
        <v/>
      </c>
      <c r="Q425" s="205" t="str">
        <f t="shared" si="18"/>
        <v/>
      </c>
      <c r="R425" s="205"/>
      <c r="S425" s="319" t="str">
        <f t="shared" si="19"/>
        <v/>
      </c>
      <c r="U425" s="318"/>
      <c r="V425" s="794"/>
      <c r="W425" s="795"/>
      <c r="X425" s="482"/>
      <c r="Y425" s="482"/>
      <c r="Z425" s="482"/>
      <c r="AA425" s="319"/>
      <c r="AB425" s="220"/>
      <c r="AC425" s="318"/>
      <c r="AD425" s="319"/>
      <c r="AE425" s="220"/>
      <c r="AF425" s="320"/>
      <c r="AG425" s="205"/>
      <c r="AH425" s="205"/>
      <c r="AI425" s="205"/>
      <c r="AJ425" s="205"/>
      <c r="AK425" s="205"/>
      <c r="AL425" s="205"/>
      <c r="AM425" s="205"/>
      <c r="AN425" s="205"/>
      <c r="AO425" s="205"/>
      <c r="AP425" s="205"/>
      <c r="AQ425" s="205"/>
      <c r="AR425" s="205"/>
      <c r="AS425" s="205"/>
      <c r="AT425" s="205"/>
      <c r="AU425" s="205"/>
      <c r="AV425" s="205"/>
      <c r="AW425" s="205"/>
      <c r="AX425" s="205"/>
      <c r="AY425" s="205"/>
      <c r="AZ425" s="205"/>
      <c r="BA425" s="205"/>
      <c r="BB425" s="205"/>
      <c r="BC425" s="205"/>
      <c r="BD425" s="205"/>
      <c r="BE425" s="205"/>
      <c r="BF425" s="205"/>
      <c r="BG425" s="205"/>
      <c r="BH425" s="205"/>
      <c r="BI425" s="319"/>
    </row>
    <row r="426" spans="3:61" ht="15" customHeight="1">
      <c r="C426" s="325"/>
      <c r="D426" s="326"/>
      <c r="E426" s="311"/>
      <c r="F426" s="311"/>
      <c r="G426" s="311"/>
      <c r="H426" s="311"/>
      <c r="I426" s="311"/>
      <c r="J426" s="317"/>
      <c r="K426" s="312"/>
      <c r="L426" s="312"/>
      <c r="M426" s="312"/>
      <c r="N426" s="312"/>
      <c r="O426" s="312"/>
      <c r="P426" s="322" t="str">
        <f t="shared" si="20"/>
        <v/>
      </c>
      <c r="Q426" s="208" t="str">
        <f t="shared" si="18"/>
        <v/>
      </c>
      <c r="R426" s="208"/>
      <c r="S426" s="323" t="str">
        <f t="shared" si="19"/>
        <v/>
      </c>
      <c r="U426" s="322"/>
      <c r="V426" s="791"/>
      <c r="W426" s="792"/>
      <c r="X426" s="480"/>
      <c r="Y426" s="480"/>
      <c r="Z426" s="480"/>
      <c r="AA426" s="323"/>
      <c r="AB426" s="220"/>
      <c r="AC426" s="322"/>
      <c r="AD426" s="323"/>
      <c r="AE426" s="220"/>
      <c r="AF426" s="324"/>
      <c r="AG426" s="208"/>
      <c r="AH426" s="208"/>
      <c r="AI426" s="208"/>
      <c r="AJ426" s="208"/>
      <c r="AK426" s="208"/>
      <c r="AL426" s="208"/>
      <c r="AM426" s="208"/>
      <c r="AN426" s="208"/>
      <c r="AO426" s="208"/>
      <c r="AP426" s="208"/>
      <c r="AQ426" s="208"/>
      <c r="AR426" s="208"/>
      <c r="AS426" s="208"/>
      <c r="AT426" s="208"/>
      <c r="AU426" s="208"/>
      <c r="AV426" s="208"/>
      <c r="AW426" s="208"/>
      <c r="AX426" s="208"/>
      <c r="AY426" s="208"/>
      <c r="AZ426" s="208"/>
      <c r="BA426" s="208"/>
      <c r="BB426" s="208"/>
      <c r="BC426" s="208"/>
      <c r="BD426" s="208"/>
      <c r="BE426" s="208"/>
      <c r="BF426" s="208"/>
      <c r="BG426" s="208"/>
      <c r="BH426" s="208"/>
      <c r="BI426" s="323"/>
    </row>
    <row r="427" spans="3:61" ht="15" customHeight="1">
      <c r="C427" s="325"/>
      <c r="D427" s="326"/>
      <c r="E427" s="311"/>
      <c r="F427" s="311"/>
      <c r="G427" s="311"/>
      <c r="H427" s="311"/>
      <c r="I427" s="311"/>
      <c r="J427" s="317"/>
      <c r="K427" s="312"/>
      <c r="L427" s="312"/>
      <c r="M427" s="312"/>
      <c r="N427" s="312"/>
      <c r="O427" s="312"/>
      <c r="P427" s="318" t="str">
        <f t="shared" si="20"/>
        <v/>
      </c>
      <c r="Q427" s="205" t="str">
        <f t="shared" si="18"/>
        <v/>
      </c>
      <c r="R427" s="205"/>
      <c r="S427" s="319" t="str">
        <f t="shared" si="19"/>
        <v/>
      </c>
      <c r="U427" s="318"/>
      <c r="V427" s="794"/>
      <c r="W427" s="795"/>
      <c r="X427" s="482"/>
      <c r="Y427" s="482"/>
      <c r="Z427" s="482"/>
      <c r="AA427" s="319"/>
      <c r="AB427" s="220"/>
      <c r="AC427" s="318"/>
      <c r="AD427" s="319"/>
      <c r="AE427" s="220"/>
      <c r="AF427" s="320"/>
      <c r="AG427" s="205"/>
      <c r="AH427" s="205"/>
      <c r="AI427" s="205"/>
      <c r="AJ427" s="205"/>
      <c r="AK427" s="205"/>
      <c r="AL427" s="205"/>
      <c r="AM427" s="205"/>
      <c r="AN427" s="205"/>
      <c r="AO427" s="205"/>
      <c r="AP427" s="205"/>
      <c r="AQ427" s="205"/>
      <c r="AR427" s="205"/>
      <c r="AS427" s="205"/>
      <c r="AT427" s="205"/>
      <c r="AU427" s="205"/>
      <c r="AV427" s="205"/>
      <c r="AW427" s="205"/>
      <c r="AX427" s="205"/>
      <c r="AY427" s="205"/>
      <c r="AZ427" s="205"/>
      <c r="BA427" s="205"/>
      <c r="BB427" s="205"/>
      <c r="BC427" s="205"/>
      <c r="BD427" s="205"/>
      <c r="BE427" s="205"/>
      <c r="BF427" s="205"/>
      <c r="BG427" s="205"/>
      <c r="BH427" s="205"/>
      <c r="BI427" s="319"/>
    </row>
    <row r="428" spans="3:61" ht="15" customHeight="1">
      <c r="C428" s="325"/>
      <c r="D428" s="326"/>
      <c r="E428" s="311"/>
      <c r="F428" s="311"/>
      <c r="G428" s="311"/>
      <c r="H428" s="311"/>
      <c r="I428" s="311"/>
      <c r="J428" s="317"/>
      <c r="K428" s="312"/>
      <c r="L428" s="312"/>
      <c r="M428" s="312"/>
      <c r="N428" s="312"/>
      <c r="O428" s="312"/>
      <c r="P428" s="322" t="str">
        <f t="shared" si="20"/>
        <v/>
      </c>
      <c r="Q428" s="208" t="str">
        <f t="shared" si="18"/>
        <v/>
      </c>
      <c r="R428" s="208"/>
      <c r="S428" s="323" t="str">
        <f t="shared" si="19"/>
        <v/>
      </c>
      <c r="U428" s="322"/>
      <c r="V428" s="791"/>
      <c r="W428" s="792"/>
      <c r="X428" s="480"/>
      <c r="Y428" s="480"/>
      <c r="Z428" s="480"/>
      <c r="AA428" s="323"/>
      <c r="AB428" s="220"/>
      <c r="AC428" s="322"/>
      <c r="AD428" s="323"/>
      <c r="AE428" s="220"/>
      <c r="AF428" s="324"/>
      <c r="AG428" s="208"/>
      <c r="AH428" s="208"/>
      <c r="AI428" s="208"/>
      <c r="AJ428" s="208"/>
      <c r="AK428" s="208"/>
      <c r="AL428" s="208"/>
      <c r="AM428" s="208"/>
      <c r="AN428" s="208"/>
      <c r="AO428" s="208"/>
      <c r="AP428" s="208"/>
      <c r="AQ428" s="208"/>
      <c r="AR428" s="208"/>
      <c r="AS428" s="208"/>
      <c r="AT428" s="208"/>
      <c r="AU428" s="208"/>
      <c r="AV428" s="208"/>
      <c r="AW428" s="208"/>
      <c r="AX428" s="208"/>
      <c r="AY428" s="208"/>
      <c r="AZ428" s="208"/>
      <c r="BA428" s="208"/>
      <c r="BB428" s="208"/>
      <c r="BC428" s="208"/>
      <c r="BD428" s="208"/>
      <c r="BE428" s="208"/>
      <c r="BF428" s="208"/>
      <c r="BG428" s="208"/>
      <c r="BH428" s="208"/>
      <c r="BI428" s="323"/>
    </row>
    <row r="429" spans="3:61" ht="15" customHeight="1">
      <c r="C429" s="325"/>
      <c r="D429" s="326"/>
      <c r="E429" s="311"/>
      <c r="F429" s="311"/>
      <c r="G429" s="311"/>
      <c r="H429" s="311"/>
      <c r="I429" s="311"/>
      <c r="J429" s="317"/>
      <c r="K429" s="312"/>
      <c r="L429" s="312"/>
      <c r="M429" s="312"/>
      <c r="N429" s="312"/>
      <c r="O429" s="312"/>
      <c r="P429" s="318" t="str">
        <f t="shared" si="20"/>
        <v/>
      </c>
      <c r="Q429" s="205" t="str">
        <f t="shared" si="18"/>
        <v/>
      </c>
      <c r="R429" s="205"/>
      <c r="S429" s="319" t="str">
        <f t="shared" si="19"/>
        <v/>
      </c>
      <c r="U429" s="318"/>
      <c r="V429" s="794"/>
      <c r="W429" s="795"/>
      <c r="X429" s="482"/>
      <c r="Y429" s="482"/>
      <c r="Z429" s="482"/>
      <c r="AA429" s="319"/>
      <c r="AB429" s="220"/>
      <c r="AC429" s="318"/>
      <c r="AD429" s="319"/>
      <c r="AE429" s="220"/>
      <c r="AF429" s="320"/>
      <c r="AG429" s="205"/>
      <c r="AH429" s="205"/>
      <c r="AI429" s="205"/>
      <c r="AJ429" s="205"/>
      <c r="AK429" s="205"/>
      <c r="AL429" s="205"/>
      <c r="AM429" s="205"/>
      <c r="AN429" s="205"/>
      <c r="AO429" s="205"/>
      <c r="AP429" s="205"/>
      <c r="AQ429" s="205"/>
      <c r="AR429" s="205"/>
      <c r="AS429" s="205"/>
      <c r="AT429" s="205"/>
      <c r="AU429" s="205"/>
      <c r="AV429" s="205"/>
      <c r="AW429" s="205"/>
      <c r="AX429" s="205"/>
      <c r="AY429" s="205"/>
      <c r="AZ429" s="205"/>
      <c r="BA429" s="205"/>
      <c r="BB429" s="205"/>
      <c r="BC429" s="205"/>
      <c r="BD429" s="205"/>
      <c r="BE429" s="205"/>
      <c r="BF429" s="205"/>
      <c r="BG429" s="205"/>
      <c r="BH429" s="205"/>
      <c r="BI429" s="319"/>
    </row>
    <row r="430" spans="3:61" ht="15" customHeight="1">
      <c r="C430" s="325"/>
      <c r="D430" s="326"/>
      <c r="E430" s="311"/>
      <c r="F430" s="311"/>
      <c r="G430" s="311"/>
      <c r="H430" s="311"/>
      <c r="I430" s="311"/>
      <c r="J430" s="317"/>
      <c r="K430" s="312"/>
      <c r="L430" s="312"/>
      <c r="M430" s="312"/>
      <c r="N430" s="312"/>
      <c r="O430" s="312"/>
      <c r="P430" s="322" t="str">
        <f t="shared" si="20"/>
        <v/>
      </c>
      <c r="Q430" s="208" t="str">
        <f t="shared" si="18"/>
        <v/>
      </c>
      <c r="R430" s="208"/>
      <c r="S430" s="323" t="str">
        <f t="shared" si="19"/>
        <v/>
      </c>
      <c r="U430" s="322"/>
      <c r="V430" s="791"/>
      <c r="W430" s="792"/>
      <c r="X430" s="480"/>
      <c r="Y430" s="480"/>
      <c r="Z430" s="480"/>
      <c r="AA430" s="323"/>
      <c r="AB430" s="220"/>
      <c r="AC430" s="322"/>
      <c r="AD430" s="323"/>
      <c r="AE430" s="220"/>
      <c r="AF430" s="324"/>
      <c r="AG430" s="208"/>
      <c r="AH430" s="208"/>
      <c r="AI430" s="208"/>
      <c r="AJ430" s="208"/>
      <c r="AK430" s="208"/>
      <c r="AL430" s="208"/>
      <c r="AM430" s="208"/>
      <c r="AN430" s="208"/>
      <c r="AO430" s="208"/>
      <c r="AP430" s="208"/>
      <c r="AQ430" s="208"/>
      <c r="AR430" s="208"/>
      <c r="AS430" s="208"/>
      <c r="AT430" s="208"/>
      <c r="AU430" s="208"/>
      <c r="AV430" s="208"/>
      <c r="AW430" s="208"/>
      <c r="AX430" s="208"/>
      <c r="AY430" s="208"/>
      <c r="AZ430" s="208"/>
      <c r="BA430" s="208"/>
      <c r="BB430" s="208"/>
      <c r="BC430" s="208"/>
      <c r="BD430" s="208"/>
      <c r="BE430" s="208"/>
      <c r="BF430" s="208"/>
      <c r="BG430" s="208"/>
      <c r="BH430" s="208"/>
      <c r="BI430" s="323"/>
    </row>
    <row r="431" spans="3:61" ht="15" customHeight="1">
      <c r="C431" s="325"/>
      <c r="D431" s="326"/>
      <c r="E431" s="311"/>
      <c r="F431" s="311"/>
      <c r="G431" s="311"/>
      <c r="H431" s="311"/>
      <c r="I431" s="311"/>
      <c r="J431" s="317"/>
      <c r="K431" s="312"/>
      <c r="L431" s="312"/>
      <c r="M431" s="312"/>
      <c r="N431" s="312"/>
      <c r="O431" s="312"/>
      <c r="P431" s="318" t="str">
        <f t="shared" si="20"/>
        <v/>
      </c>
      <c r="Q431" s="205" t="str">
        <f t="shared" si="18"/>
        <v/>
      </c>
      <c r="R431" s="205"/>
      <c r="S431" s="319" t="str">
        <f t="shared" si="19"/>
        <v/>
      </c>
      <c r="U431" s="318"/>
      <c r="V431" s="794"/>
      <c r="W431" s="795"/>
      <c r="X431" s="482"/>
      <c r="Y431" s="482"/>
      <c r="Z431" s="482"/>
      <c r="AA431" s="319"/>
      <c r="AB431" s="220"/>
      <c r="AC431" s="318"/>
      <c r="AD431" s="319"/>
      <c r="AE431" s="220"/>
      <c r="AF431" s="320"/>
      <c r="AG431" s="205"/>
      <c r="AH431" s="205"/>
      <c r="AI431" s="205"/>
      <c r="AJ431" s="205"/>
      <c r="AK431" s="205"/>
      <c r="AL431" s="205"/>
      <c r="AM431" s="205"/>
      <c r="AN431" s="205"/>
      <c r="AO431" s="205"/>
      <c r="AP431" s="205"/>
      <c r="AQ431" s="205"/>
      <c r="AR431" s="205"/>
      <c r="AS431" s="205"/>
      <c r="AT431" s="205"/>
      <c r="AU431" s="205"/>
      <c r="AV431" s="205"/>
      <c r="AW431" s="205"/>
      <c r="AX431" s="205"/>
      <c r="AY431" s="205"/>
      <c r="AZ431" s="205"/>
      <c r="BA431" s="205"/>
      <c r="BB431" s="205"/>
      <c r="BC431" s="205"/>
      <c r="BD431" s="205"/>
      <c r="BE431" s="205"/>
      <c r="BF431" s="205"/>
      <c r="BG431" s="205"/>
      <c r="BH431" s="205"/>
      <c r="BI431" s="319"/>
    </row>
    <row r="432" spans="3:61" ht="15" customHeight="1">
      <c r="C432" s="325"/>
      <c r="D432" s="326"/>
      <c r="E432" s="311"/>
      <c r="F432" s="311"/>
      <c r="G432" s="311"/>
      <c r="H432" s="311"/>
      <c r="I432" s="311"/>
      <c r="J432" s="317"/>
      <c r="K432" s="312"/>
      <c r="L432" s="312"/>
      <c r="M432" s="312"/>
      <c r="N432" s="312"/>
      <c r="O432" s="312"/>
      <c r="P432" s="322" t="str">
        <f t="shared" si="20"/>
        <v/>
      </c>
      <c r="Q432" s="208" t="str">
        <f t="shared" si="18"/>
        <v/>
      </c>
      <c r="R432" s="208"/>
      <c r="S432" s="323" t="str">
        <f t="shared" si="19"/>
        <v/>
      </c>
      <c r="U432" s="322"/>
      <c r="V432" s="791"/>
      <c r="W432" s="792"/>
      <c r="X432" s="480"/>
      <c r="Y432" s="480"/>
      <c r="Z432" s="480"/>
      <c r="AA432" s="323"/>
      <c r="AB432" s="220"/>
      <c r="AC432" s="322"/>
      <c r="AD432" s="323"/>
      <c r="AE432" s="220"/>
      <c r="AF432" s="324"/>
      <c r="AG432" s="208"/>
      <c r="AH432" s="208"/>
      <c r="AI432" s="208"/>
      <c r="AJ432" s="208"/>
      <c r="AK432" s="208"/>
      <c r="AL432" s="208"/>
      <c r="AM432" s="208"/>
      <c r="AN432" s="208"/>
      <c r="AO432" s="208"/>
      <c r="AP432" s="208"/>
      <c r="AQ432" s="208"/>
      <c r="AR432" s="208"/>
      <c r="AS432" s="208"/>
      <c r="AT432" s="208"/>
      <c r="AU432" s="208"/>
      <c r="AV432" s="208"/>
      <c r="AW432" s="208"/>
      <c r="AX432" s="208"/>
      <c r="AY432" s="208"/>
      <c r="AZ432" s="208"/>
      <c r="BA432" s="208"/>
      <c r="BB432" s="208"/>
      <c r="BC432" s="208"/>
      <c r="BD432" s="208"/>
      <c r="BE432" s="208"/>
      <c r="BF432" s="208"/>
      <c r="BG432" s="208"/>
      <c r="BH432" s="208"/>
      <c r="BI432" s="323"/>
    </row>
    <row r="433" spans="3:61" ht="15" customHeight="1">
      <c r="C433" s="325"/>
      <c r="D433" s="326"/>
      <c r="E433" s="311"/>
      <c r="F433" s="311"/>
      <c r="G433" s="311"/>
      <c r="H433" s="311"/>
      <c r="I433" s="311"/>
      <c r="J433" s="317"/>
      <c r="K433" s="312"/>
      <c r="L433" s="312"/>
      <c r="M433" s="312"/>
      <c r="N433" s="312"/>
      <c r="O433" s="312"/>
      <c r="P433" s="318" t="str">
        <f t="shared" si="20"/>
        <v/>
      </c>
      <c r="Q433" s="205" t="str">
        <f t="shared" si="18"/>
        <v/>
      </c>
      <c r="R433" s="205"/>
      <c r="S433" s="319" t="str">
        <f t="shared" si="19"/>
        <v/>
      </c>
      <c r="U433" s="318"/>
      <c r="V433" s="794"/>
      <c r="W433" s="795"/>
      <c r="X433" s="482"/>
      <c r="Y433" s="482"/>
      <c r="Z433" s="482"/>
      <c r="AA433" s="319"/>
      <c r="AB433" s="220"/>
      <c r="AC433" s="318"/>
      <c r="AD433" s="319"/>
      <c r="AE433" s="220"/>
      <c r="AF433" s="320"/>
      <c r="AG433" s="205"/>
      <c r="AH433" s="205"/>
      <c r="AI433" s="205"/>
      <c r="AJ433" s="205"/>
      <c r="AK433" s="205"/>
      <c r="AL433" s="205"/>
      <c r="AM433" s="205"/>
      <c r="AN433" s="205"/>
      <c r="AO433" s="205"/>
      <c r="AP433" s="205"/>
      <c r="AQ433" s="205"/>
      <c r="AR433" s="205"/>
      <c r="AS433" s="205"/>
      <c r="AT433" s="205"/>
      <c r="AU433" s="205"/>
      <c r="AV433" s="205"/>
      <c r="AW433" s="205"/>
      <c r="AX433" s="205"/>
      <c r="AY433" s="205"/>
      <c r="AZ433" s="205"/>
      <c r="BA433" s="205"/>
      <c r="BB433" s="205"/>
      <c r="BC433" s="205"/>
      <c r="BD433" s="205"/>
      <c r="BE433" s="205"/>
      <c r="BF433" s="205"/>
      <c r="BG433" s="205"/>
      <c r="BH433" s="205"/>
      <c r="BI433" s="319"/>
    </row>
    <row r="434" spans="3:61" ht="15" customHeight="1">
      <c r="C434" s="325"/>
      <c r="D434" s="326"/>
      <c r="E434" s="311"/>
      <c r="F434" s="311"/>
      <c r="G434" s="311"/>
      <c r="H434" s="311"/>
      <c r="I434" s="311"/>
      <c r="J434" s="317"/>
      <c r="K434" s="312"/>
      <c r="L434" s="312"/>
      <c r="M434" s="312"/>
      <c r="N434" s="312"/>
      <c r="O434" s="312"/>
      <c r="P434" s="322" t="str">
        <f t="shared" si="20"/>
        <v/>
      </c>
      <c r="Q434" s="208" t="str">
        <f t="shared" si="18"/>
        <v/>
      </c>
      <c r="R434" s="208"/>
      <c r="S434" s="323" t="str">
        <f t="shared" si="19"/>
        <v/>
      </c>
      <c r="U434" s="322"/>
      <c r="V434" s="791"/>
      <c r="W434" s="792"/>
      <c r="X434" s="480"/>
      <c r="Y434" s="480"/>
      <c r="Z434" s="480"/>
      <c r="AA434" s="323"/>
      <c r="AB434" s="220"/>
      <c r="AC434" s="322"/>
      <c r="AD434" s="323"/>
      <c r="AE434" s="220"/>
      <c r="AF434" s="324"/>
      <c r="AG434" s="208"/>
      <c r="AH434" s="208"/>
      <c r="AI434" s="208"/>
      <c r="AJ434" s="208"/>
      <c r="AK434" s="208"/>
      <c r="AL434" s="208"/>
      <c r="AM434" s="208"/>
      <c r="AN434" s="208"/>
      <c r="AO434" s="208"/>
      <c r="AP434" s="208"/>
      <c r="AQ434" s="208"/>
      <c r="AR434" s="208"/>
      <c r="AS434" s="208"/>
      <c r="AT434" s="208"/>
      <c r="AU434" s="208"/>
      <c r="AV434" s="208"/>
      <c r="AW434" s="208"/>
      <c r="AX434" s="208"/>
      <c r="AY434" s="208"/>
      <c r="AZ434" s="208"/>
      <c r="BA434" s="208"/>
      <c r="BB434" s="208"/>
      <c r="BC434" s="208"/>
      <c r="BD434" s="208"/>
      <c r="BE434" s="208"/>
      <c r="BF434" s="208"/>
      <c r="BG434" s="208"/>
      <c r="BH434" s="208"/>
      <c r="BI434" s="323"/>
    </row>
    <row r="435" spans="3:61" ht="15" customHeight="1">
      <c r="C435" s="325"/>
      <c r="D435" s="326"/>
      <c r="E435" s="311"/>
      <c r="F435" s="311"/>
      <c r="G435" s="311"/>
      <c r="H435" s="311"/>
      <c r="I435" s="311"/>
      <c r="J435" s="317"/>
      <c r="K435" s="312"/>
      <c r="L435" s="312"/>
      <c r="M435" s="312"/>
      <c r="N435" s="312"/>
      <c r="O435" s="312"/>
      <c r="P435" s="318" t="str">
        <f t="shared" si="20"/>
        <v/>
      </c>
      <c r="Q435" s="205" t="str">
        <f t="shared" si="18"/>
        <v/>
      </c>
      <c r="R435" s="205"/>
      <c r="S435" s="319" t="str">
        <f t="shared" si="19"/>
        <v/>
      </c>
      <c r="U435" s="318"/>
      <c r="V435" s="794"/>
      <c r="W435" s="795"/>
      <c r="X435" s="482"/>
      <c r="Y435" s="482"/>
      <c r="Z435" s="482"/>
      <c r="AA435" s="319"/>
      <c r="AB435" s="220"/>
      <c r="AC435" s="318"/>
      <c r="AD435" s="319"/>
      <c r="AE435" s="220"/>
      <c r="AF435" s="320"/>
      <c r="AG435" s="205"/>
      <c r="AH435" s="205"/>
      <c r="AI435" s="205"/>
      <c r="AJ435" s="205"/>
      <c r="AK435" s="205"/>
      <c r="AL435" s="205"/>
      <c r="AM435" s="205"/>
      <c r="AN435" s="205"/>
      <c r="AO435" s="205"/>
      <c r="AP435" s="205"/>
      <c r="AQ435" s="205"/>
      <c r="AR435" s="205"/>
      <c r="AS435" s="205"/>
      <c r="AT435" s="205"/>
      <c r="AU435" s="205"/>
      <c r="AV435" s="205"/>
      <c r="AW435" s="205"/>
      <c r="AX435" s="205"/>
      <c r="AY435" s="205"/>
      <c r="AZ435" s="205"/>
      <c r="BA435" s="205"/>
      <c r="BB435" s="205"/>
      <c r="BC435" s="205"/>
      <c r="BD435" s="205"/>
      <c r="BE435" s="205"/>
      <c r="BF435" s="205"/>
      <c r="BG435" s="205"/>
      <c r="BH435" s="205"/>
      <c r="BI435" s="319"/>
    </row>
    <row r="436" spans="3:61" ht="15" customHeight="1">
      <c r="C436" s="325"/>
      <c r="D436" s="326"/>
      <c r="E436" s="311"/>
      <c r="F436" s="311"/>
      <c r="G436" s="311"/>
      <c r="H436" s="311"/>
      <c r="I436" s="311"/>
      <c r="J436" s="317"/>
      <c r="K436" s="312"/>
      <c r="L436" s="312"/>
      <c r="M436" s="312"/>
      <c r="N436" s="312"/>
      <c r="O436" s="312"/>
      <c r="P436" s="322" t="str">
        <f t="shared" si="20"/>
        <v/>
      </c>
      <c r="Q436" s="208" t="str">
        <f t="shared" si="18"/>
        <v/>
      </c>
      <c r="R436" s="208"/>
      <c r="S436" s="323" t="str">
        <f t="shared" si="19"/>
        <v/>
      </c>
      <c r="U436" s="322"/>
      <c r="V436" s="791"/>
      <c r="W436" s="792"/>
      <c r="X436" s="480"/>
      <c r="Y436" s="480"/>
      <c r="Z436" s="480"/>
      <c r="AA436" s="323"/>
      <c r="AB436" s="220"/>
      <c r="AC436" s="322"/>
      <c r="AD436" s="323"/>
      <c r="AE436" s="220"/>
      <c r="AF436" s="324"/>
      <c r="AG436" s="208"/>
      <c r="AH436" s="208"/>
      <c r="AI436" s="208"/>
      <c r="AJ436" s="208"/>
      <c r="AK436" s="208"/>
      <c r="AL436" s="208"/>
      <c r="AM436" s="208"/>
      <c r="AN436" s="208"/>
      <c r="AO436" s="208"/>
      <c r="AP436" s="208"/>
      <c r="AQ436" s="208"/>
      <c r="AR436" s="208"/>
      <c r="AS436" s="208"/>
      <c r="AT436" s="208"/>
      <c r="AU436" s="208"/>
      <c r="AV436" s="208"/>
      <c r="AW436" s="208"/>
      <c r="AX436" s="208"/>
      <c r="AY436" s="208"/>
      <c r="AZ436" s="208"/>
      <c r="BA436" s="208"/>
      <c r="BB436" s="208"/>
      <c r="BC436" s="208"/>
      <c r="BD436" s="208"/>
      <c r="BE436" s="208"/>
      <c r="BF436" s="208"/>
      <c r="BG436" s="208"/>
      <c r="BH436" s="208"/>
      <c r="BI436" s="323"/>
    </row>
    <row r="437" spans="3:61" ht="15" customHeight="1">
      <c r="C437" s="325"/>
      <c r="D437" s="326"/>
      <c r="E437" s="311"/>
      <c r="F437" s="311"/>
      <c r="G437" s="311"/>
      <c r="H437" s="311"/>
      <c r="I437" s="311"/>
      <c r="J437" s="317"/>
      <c r="K437" s="312"/>
      <c r="L437" s="312"/>
      <c r="M437" s="312"/>
      <c r="N437" s="312"/>
      <c r="O437" s="312"/>
      <c r="P437" s="318" t="str">
        <f t="shared" si="20"/>
        <v/>
      </c>
      <c r="Q437" s="205" t="str">
        <f t="shared" si="18"/>
        <v/>
      </c>
      <c r="R437" s="205"/>
      <c r="S437" s="319" t="str">
        <f t="shared" si="19"/>
        <v/>
      </c>
      <c r="U437" s="318"/>
      <c r="V437" s="794"/>
      <c r="W437" s="795"/>
      <c r="X437" s="482"/>
      <c r="Y437" s="482"/>
      <c r="Z437" s="482"/>
      <c r="AA437" s="319"/>
      <c r="AB437" s="220"/>
      <c r="AC437" s="318"/>
      <c r="AD437" s="319"/>
      <c r="AE437" s="220"/>
      <c r="AF437" s="320"/>
      <c r="AG437" s="205"/>
      <c r="AH437" s="205"/>
      <c r="AI437" s="205"/>
      <c r="AJ437" s="205"/>
      <c r="AK437" s="205"/>
      <c r="AL437" s="205"/>
      <c r="AM437" s="205"/>
      <c r="AN437" s="205"/>
      <c r="AO437" s="205"/>
      <c r="AP437" s="205"/>
      <c r="AQ437" s="205"/>
      <c r="AR437" s="205"/>
      <c r="AS437" s="205"/>
      <c r="AT437" s="205"/>
      <c r="AU437" s="205"/>
      <c r="AV437" s="205"/>
      <c r="AW437" s="205"/>
      <c r="AX437" s="205"/>
      <c r="AY437" s="205"/>
      <c r="AZ437" s="205"/>
      <c r="BA437" s="205"/>
      <c r="BB437" s="205"/>
      <c r="BC437" s="205"/>
      <c r="BD437" s="205"/>
      <c r="BE437" s="205"/>
      <c r="BF437" s="205"/>
      <c r="BG437" s="205"/>
      <c r="BH437" s="205"/>
      <c r="BI437" s="319"/>
    </row>
    <row r="438" spans="3:61" ht="15" customHeight="1">
      <c r="C438" s="325"/>
      <c r="D438" s="326"/>
      <c r="E438" s="311"/>
      <c r="F438" s="311"/>
      <c r="G438" s="311"/>
      <c r="H438" s="311"/>
      <c r="I438" s="311"/>
      <c r="J438" s="317"/>
      <c r="K438" s="312"/>
      <c r="L438" s="312"/>
      <c r="M438" s="312"/>
      <c r="N438" s="312"/>
      <c r="O438" s="312"/>
      <c r="P438" s="322" t="str">
        <f t="shared" si="20"/>
        <v/>
      </c>
      <c r="Q438" s="208" t="str">
        <f t="shared" si="18"/>
        <v/>
      </c>
      <c r="R438" s="208"/>
      <c r="S438" s="323" t="str">
        <f t="shared" si="19"/>
        <v/>
      </c>
      <c r="U438" s="322"/>
      <c r="V438" s="791"/>
      <c r="W438" s="792"/>
      <c r="X438" s="480"/>
      <c r="Y438" s="480"/>
      <c r="Z438" s="480"/>
      <c r="AA438" s="323"/>
      <c r="AB438" s="220"/>
      <c r="AC438" s="322"/>
      <c r="AD438" s="323"/>
      <c r="AE438" s="220"/>
      <c r="AF438" s="324"/>
      <c r="AG438" s="208"/>
      <c r="AH438" s="208"/>
      <c r="AI438" s="208"/>
      <c r="AJ438" s="208"/>
      <c r="AK438" s="208"/>
      <c r="AL438" s="208"/>
      <c r="AM438" s="208"/>
      <c r="AN438" s="208"/>
      <c r="AO438" s="208"/>
      <c r="AP438" s="208"/>
      <c r="AQ438" s="208"/>
      <c r="AR438" s="208"/>
      <c r="AS438" s="208"/>
      <c r="AT438" s="208"/>
      <c r="AU438" s="208"/>
      <c r="AV438" s="208"/>
      <c r="AW438" s="208"/>
      <c r="AX438" s="208"/>
      <c r="AY438" s="208"/>
      <c r="AZ438" s="208"/>
      <c r="BA438" s="208"/>
      <c r="BB438" s="208"/>
      <c r="BC438" s="208"/>
      <c r="BD438" s="208"/>
      <c r="BE438" s="208"/>
      <c r="BF438" s="208"/>
      <c r="BG438" s="208"/>
      <c r="BH438" s="208"/>
      <c r="BI438" s="323"/>
    </row>
    <row r="439" spans="3:61" ht="15" customHeight="1">
      <c r="C439" s="325"/>
      <c r="D439" s="326"/>
      <c r="E439" s="311"/>
      <c r="F439" s="311"/>
      <c r="G439" s="311"/>
      <c r="H439" s="311"/>
      <c r="I439" s="311"/>
      <c r="J439" s="317"/>
      <c r="K439" s="312"/>
      <c r="L439" s="312"/>
      <c r="M439" s="312"/>
      <c r="N439" s="312"/>
      <c r="O439" s="312"/>
      <c r="P439" s="318" t="str">
        <f t="shared" si="20"/>
        <v/>
      </c>
      <c r="Q439" s="205" t="str">
        <f t="shared" si="18"/>
        <v/>
      </c>
      <c r="R439" s="205"/>
      <c r="S439" s="319" t="str">
        <f t="shared" si="19"/>
        <v/>
      </c>
      <c r="U439" s="318"/>
      <c r="V439" s="794"/>
      <c r="W439" s="795"/>
      <c r="X439" s="482"/>
      <c r="Y439" s="482"/>
      <c r="Z439" s="482"/>
      <c r="AA439" s="319"/>
      <c r="AB439" s="220"/>
      <c r="AC439" s="318"/>
      <c r="AD439" s="319"/>
      <c r="AE439" s="220"/>
      <c r="AF439" s="320"/>
      <c r="AG439" s="205"/>
      <c r="AH439" s="205"/>
      <c r="AI439" s="205"/>
      <c r="AJ439" s="205"/>
      <c r="AK439" s="205"/>
      <c r="AL439" s="205"/>
      <c r="AM439" s="205"/>
      <c r="AN439" s="205"/>
      <c r="AO439" s="205"/>
      <c r="AP439" s="205"/>
      <c r="AQ439" s="205"/>
      <c r="AR439" s="205"/>
      <c r="AS439" s="205"/>
      <c r="AT439" s="205"/>
      <c r="AU439" s="205"/>
      <c r="AV439" s="205"/>
      <c r="AW439" s="205"/>
      <c r="AX439" s="205"/>
      <c r="AY439" s="205"/>
      <c r="AZ439" s="205"/>
      <c r="BA439" s="205"/>
      <c r="BB439" s="205"/>
      <c r="BC439" s="205"/>
      <c r="BD439" s="205"/>
      <c r="BE439" s="205"/>
      <c r="BF439" s="205"/>
      <c r="BG439" s="205"/>
      <c r="BH439" s="205"/>
      <c r="BI439" s="319"/>
    </row>
    <row r="440" spans="3:61" ht="15" customHeight="1">
      <c r="C440" s="325"/>
      <c r="D440" s="326"/>
      <c r="E440" s="311"/>
      <c r="F440" s="311"/>
      <c r="G440" s="311"/>
      <c r="H440" s="311"/>
      <c r="I440" s="311"/>
      <c r="J440" s="317"/>
      <c r="K440" s="312"/>
      <c r="L440" s="312"/>
      <c r="M440" s="312"/>
      <c r="N440" s="312"/>
      <c r="O440" s="312"/>
      <c r="P440" s="322" t="str">
        <f t="shared" si="20"/>
        <v/>
      </c>
      <c r="Q440" s="208" t="str">
        <f t="shared" si="18"/>
        <v/>
      </c>
      <c r="R440" s="208"/>
      <c r="S440" s="323" t="str">
        <f t="shared" si="19"/>
        <v/>
      </c>
      <c r="U440" s="322"/>
      <c r="V440" s="791"/>
      <c r="W440" s="792"/>
      <c r="X440" s="480"/>
      <c r="Y440" s="480"/>
      <c r="Z440" s="480"/>
      <c r="AA440" s="323"/>
      <c r="AB440" s="220"/>
      <c r="AC440" s="322"/>
      <c r="AD440" s="323"/>
      <c r="AE440" s="220"/>
      <c r="AF440" s="324"/>
      <c r="AG440" s="208"/>
      <c r="AH440" s="208"/>
      <c r="AI440" s="208"/>
      <c r="AJ440" s="208"/>
      <c r="AK440" s="208"/>
      <c r="AL440" s="208"/>
      <c r="AM440" s="208"/>
      <c r="AN440" s="208"/>
      <c r="AO440" s="208"/>
      <c r="AP440" s="208"/>
      <c r="AQ440" s="208"/>
      <c r="AR440" s="208"/>
      <c r="AS440" s="208"/>
      <c r="AT440" s="208"/>
      <c r="AU440" s="208"/>
      <c r="AV440" s="208"/>
      <c r="AW440" s="208"/>
      <c r="AX440" s="208"/>
      <c r="AY440" s="208"/>
      <c r="AZ440" s="208"/>
      <c r="BA440" s="208"/>
      <c r="BB440" s="208"/>
      <c r="BC440" s="208"/>
      <c r="BD440" s="208"/>
      <c r="BE440" s="208"/>
      <c r="BF440" s="208"/>
      <c r="BG440" s="208"/>
      <c r="BH440" s="208"/>
      <c r="BI440" s="323"/>
    </row>
    <row r="441" spans="3:61" ht="15" customHeight="1">
      <c r="C441" s="325"/>
      <c r="D441" s="326"/>
      <c r="E441" s="311"/>
      <c r="F441" s="311"/>
      <c r="G441" s="311"/>
      <c r="H441" s="311"/>
      <c r="I441" s="311"/>
      <c r="J441" s="317"/>
      <c r="K441" s="312"/>
      <c r="L441" s="312"/>
      <c r="M441" s="312"/>
      <c r="N441" s="312"/>
      <c r="O441" s="312"/>
      <c r="P441" s="318" t="str">
        <f t="shared" si="20"/>
        <v/>
      </c>
      <c r="Q441" s="205" t="str">
        <f t="shared" si="18"/>
        <v/>
      </c>
      <c r="R441" s="205"/>
      <c r="S441" s="319" t="str">
        <f t="shared" si="19"/>
        <v/>
      </c>
      <c r="U441" s="318"/>
      <c r="V441" s="794"/>
      <c r="W441" s="795"/>
      <c r="X441" s="482"/>
      <c r="Y441" s="482"/>
      <c r="Z441" s="482"/>
      <c r="AA441" s="319"/>
      <c r="AB441" s="220"/>
      <c r="AC441" s="318"/>
      <c r="AD441" s="319"/>
      <c r="AE441" s="220"/>
      <c r="AF441" s="320"/>
      <c r="AG441" s="205"/>
      <c r="AH441" s="205"/>
      <c r="AI441" s="205"/>
      <c r="AJ441" s="205"/>
      <c r="AK441" s="205"/>
      <c r="AL441" s="205"/>
      <c r="AM441" s="205"/>
      <c r="AN441" s="205"/>
      <c r="AO441" s="205"/>
      <c r="AP441" s="205"/>
      <c r="AQ441" s="205"/>
      <c r="AR441" s="205"/>
      <c r="AS441" s="205"/>
      <c r="AT441" s="205"/>
      <c r="AU441" s="205"/>
      <c r="AV441" s="205"/>
      <c r="AW441" s="205"/>
      <c r="AX441" s="205"/>
      <c r="AY441" s="205"/>
      <c r="AZ441" s="205"/>
      <c r="BA441" s="205"/>
      <c r="BB441" s="205"/>
      <c r="BC441" s="205"/>
      <c r="BD441" s="205"/>
      <c r="BE441" s="205"/>
      <c r="BF441" s="205"/>
      <c r="BG441" s="205"/>
      <c r="BH441" s="205"/>
      <c r="BI441" s="319"/>
    </row>
    <row r="442" spans="3:61" ht="15" customHeight="1">
      <c r="C442" s="325"/>
      <c r="D442" s="326"/>
      <c r="E442" s="311"/>
      <c r="F442" s="311"/>
      <c r="G442" s="311"/>
      <c r="H442" s="311"/>
      <c r="I442" s="311"/>
      <c r="J442" s="317"/>
      <c r="K442" s="312"/>
      <c r="L442" s="312"/>
      <c r="M442" s="312"/>
      <c r="N442" s="312"/>
      <c r="O442" s="312"/>
      <c r="P442" s="322" t="str">
        <f t="shared" si="20"/>
        <v/>
      </c>
      <c r="Q442" s="208" t="str">
        <f t="shared" si="18"/>
        <v/>
      </c>
      <c r="R442" s="208"/>
      <c r="S442" s="323" t="str">
        <f t="shared" si="19"/>
        <v/>
      </c>
      <c r="U442" s="322"/>
      <c r="V442" s="791"/>
      <c r="W442" s="792"/>
      <c r="X442" s="480"/>
      <c r="Y442" s="480"/>
      <c r="Z442" s="480"/>
      <c r="AA442" s="323"/>
      <c r="AB442" s="220"/>
      <c r="AC442" s="322"/>
      <c r="AD442" s="323"/>
      <c r="AE442" s="220"/>
      <c r="AF442" s="324"/>
      <c r="AG442" s="208"/>
      <c r="AH442" s="208"/>
      <c r="AI442" s="208"/>
      <c r="AJ442" s="208"/>
      <c r="AK442" s="208"/>
      <c r="AL442" s="208"/>
      <c r="AM442" s="208"/>
      <c r="AN442" s="208"/>
      <c r="AO442" s="208"/>
      <c r="AP442" s="208"/>
      <c r="AQ442" s="208"/>
      <c r="AR442" s="208"/>
      <c r="AS442" s="208"/>
      <c r="AT442" s="208"/>
      <c r="AU442" s="208"/>
      <c r="AV442" s="208"/>
      <c r="AW442" s="208"/>
      <c r="AX442" s="208"/>
      <c r="AY442" s="208"/>
      <c r="AZ442" s="208"/>
      <c r="BA442" s="208"/>
      <c r="BB442" s="208"/>
      <c r="BC442" s="208"/>
      <c r="BD442" s="208"/>
      <c r="BE442" s="208"/>
      <c r="BF442" s="208"/>
      <c r="BG442" s="208"/>
      <c r="BH442" s="208"/>
      <c r="BI442" s="323"/>
    </row>
    <row r="443" spans="3:61" ht="15" customHeight="1">
      <c r="C443" s="325"/>
      <c r="D443" s="326"/>
      <c r="E443" s="311"/>
      <c r="F443" s="311"/>
      <c r="G443" s="311"/>
      <c r="H443" s="311"/>
      <c r="I443" s="311"/>
      <c r="J443" s="317"/>
      <c r="K443" s="312"/>
      <c r="L443" s="312"/>
      <c r="M443" s="312"/>
      <c r="N443" s="312"/>
      <c r="O443" s="312"/>
      <c r="P443" s="318" t="str">
        <f t="shared" si="20"/>
        <v/>
      </c>
      <c r="Q443" s="205" t="str">
        <f t="shared" si="18"/>
        <v/>
      </c>
      <c r="R443" s="205"/>
      <c r="S443" s="319" t="str">
        <f t="shared" si="19"/>
        <v/>
      </c>
      <c r="U443" s="318"/>
      <c r="V443" s="794"/>
      <c r="W443" s="795"/>
      <c r="X443" s="482"/>
      <c r="Y443" s="482"/>
      <c r="Z443" s="482"/>
      <c r="AA443" s="319"/>
      <c r="AB443" s="220"/>
      <c r="AC443" s="318"/>
      <c r="AD443" s="319"/>
      <c r="AE443" s="220"/>
      <c r="AF443" s="320"/>
      <c r="AG443" s="205"/>
      <c r="AH443" s="205"/>
      <c r="AI443" s="205"/>
      <c r="AJ443" s="205"/>
      <c r="AK443" s="205"/>
      <c r="AL443" s="205"/>
      <c r="AM443" s="205"/>
      <c r="AN443" s="205"/>
      <c r="AO443" s="205"/>
      <c r="AP443" s="205"/>
      <c r="AQ443" s="205"/>
      <c r="AR443" s="205"/>
      <c r="AS443" s="205"/>
      <c r="AT443" s="205"/>
      <c r="AU443" s="205"/>
      <c r="AV443" s="205"/>
      <c r="AW443" s="205"/>
      <c r="AX443" s="205"/>
      <c r="AY443" s="205"/>
      <c r="AZ443" s="205"/>
      <c r="BA443" s="205"/>
      <c r="BB443" s="205"/>
      <c r="BC443" s="205"/>
      <c r="BD443" s="205"/>
      <c r="BE443" s="205"/>
      <c r="BF443" s="205"/>
      <c r="BG443" s="205"/>
      <c r="BH443" s="205"/>
      <c r="BI443" s="319"/>
    </row>
    <row r="444" spans="3:61" ht="15" customHeight="1">
      <c r="C444" s="325"/>
      <c r="D444" s="326"/>
      <c r="E444" s="311"/>
      <c r="F444" s="311"/>
      <c r="G444" s="311"/>
      <c r="H444" s="311"/>
      <c r="I444" s="311"/>
      <c r="J444" s="317"/>
      <c r="K444" s="312"/>
      <c r="L444" s="312"/>
      <c r="M444" s="312"/>
      <c r="N444" s="312"/>
      <c r="O444" s="312"/>
      <c r="P444" s="322" t="str">
        <f t="shared" si="20"/>
        <v/>
      </c>
      <c r="Q444" s="208" t="str">
        <f t="shared" si="18"/>
        <v/>
      </c>
      <c r="R444" s="208"/>
      <c r="S444" s="323" t="str">
        <f t="shared" si="19"/>
        <v/>
      </c>
      <c r="U444" s="322"/>
      <c r="V444" s="791"/>
      <c r="W444" s="792"/>
      <c r="X444" s="480"/>
      <c r="Y444" s="480"/>
      <c r="Z444" s="480"/>
      <c r="AA444" s="323"/>
      <c r="AB444" s="220"/>
      <c r="AC444" s="322"/>
      <c r="AD444" s="323"/>
      <c r="AE444" s="220"/>
      <c r="AF444" s="324"/>
      <c r="AG444" s="208"/>
      <c r="AH444" s="208"/>
      <c r="AI444" s="208"/>
      <c r="AJ444" s="208"/>
      <c r="AK444" s="208"/>
      <c r="AL444" s="208"/>
      <c r="AM444" s="208"/>
      <c r="AN444" s="208"/>
      <c r="AO444" s="208"/>
      <c r="AP444" s="208"/>
      <c r="AQ444" s="208"/>
      <c r="AR444" s="208"/>
      <c r="AS444" s="208"/>
      <c r="AT444" s="208"/>
      <c r="AU444" s="208"/>
      <c r="AV444" s="208"/>
      <c r="AW444" s="208"/>
      <c r="AX444" s="208"/>
      <c r="AY444" s="208"/>
      <c r="AZ444" s="208"/>
      <c r="BA444" s="208"/>
      <c r="BB444" s="208"/>
      <c r="BC444" s="208"/>
      <c r="BD444" s="208"/>
      <c r="BE444" s="208"/>
      <c r="BF444" s="208"/>
      <c r="BG444" s="208"/>
      <c r="BH444" s="208"/>
      <c r="BI444" s="323"/>
    </row>
    <row r="445" spans="3:61" ht="15" customHeight="1">
      <c r="C445" s="325"/>
      <c r="D445" s="326"/>
      <c r="E445" s="311"/>
      <c r="F445" s="311"/>
      <c r="G445" s="311"/>
      <c r="H445" s="311"/>
      <c r="I445" s="311"/>
      <c r="J445" s="317"/>
      <c r="K445" s="312"/>
      <c r="L445" s="312"/>
      <c r="M445" s="312"/>
      <c r="N445" s="312"/>
      <c r="O445" s="312"/>
      <c r="P445" s="318" t="str">
        <f t="shared" si="20"/>
        <v/>
      </c>
      <c r="Q445" s="205" t="str">
        <f t="shared" si="18"/>
        <v/>
      </c>
      <c r="R445" s="205"/>
      <c r="S445" s="319" t="str">
        <f t="shared" si="19"/>
        <v/>
      </c>
      <c r="U445" s="318"/>
      <c r="V445" s="794"/>
      <c r="W445" s="795"/>
      <c r="X445" s="482"/>
      <c r="Y445" s="482"/>
      <c r="Z445" s="482"/>
      <c r="AA445" s="319"/>
      <c r="AB445" s="220"/>
      <c r="AC445" s="318"/>
      <c r="AD445" s="319"/>
      <c r="AE445" s="220"/>
      <c r="AF445" s="320"/>
      <c r="AG445" s="205"/>
      <c r="AH445" s="205"/>
      <c r="AI445" s="205"/>
      <c r="AJ445" s="205"/>
      <c r="AK445" s="205"/>
      <c r="AL445" s="205"/>
      <c r="AM445" s="205"/>
      <c r="AN445" s="205"/>
      <c r="AO445" s="205"/>
      <c r="AP445" s="205"/>
      <c r="AQ445" s="205"/>
      <c r="AR445" s="205"/>
      <c r="AS445" s="205"/>
      <c r="AT445" s="205"/>
      <c r="AU445" s="205"/>
      <c r="AV445" s="205"/>
      <c r="AW445" s="205"/>
      <c r="AX445" s="205"/>
      <c r="AY445" s="205"/>
      <c r="AZ445" s="205"/>
      <c r="BA445" s="205"/>
      <c r="BB445" s="205"/>
      <c r="BC445" s="205"/>
      <c r="BD445" s="205"/>
      <c r="BE445" s="205"/>
      <c r="BF445" s="205"/>
      <c r="BG445" s="205"/>
      <c r="BH445" s="205"/>
      <c r="BI445" s="319"/>
    </row>
    <row r="446" spans="3:61" ht="15" customHeight="1">
      <c r="C446" s="325"/>
      <c r="D446" s="326"/>
      <c r="E446" s="311"/>
      <c r="F446" s="311"/>
      <c r="G446" s="311"/>
      <c r="H446" s="311"/>
      <c r="I446" s="311"/>
      <c r="J446" s="317"/>
      <c r="K446" s="312"/>
      <c r="L446" s="312"/>
      <c r="M446" s="312"/>
      <c r="N446" s="312"/>
      <c r="O446" s="312"/>
      <c r="P446" s="322" t="str">
        <f t="shared" si="20"/>
        <v/>
      </c>
      <c r="Q446" s="208" t="str">
        <f t="shared" si="18"/>
        <v/>
      </c>
      <c r="R446" s="208"/>
      <c r="S446" s="323" t="str">
        <f t="shared" si="19"/>
        <v/>
      </c>
      <c r="U446" s="322"/>
      <c r="V446" s="791"/>
      <c r="W446" s="792"/>
      <c r="X446" s="480"/>
      <c r="Y446" s="480"/>
      <c r="Z446" s="480"/>
      <c r="AA446" s="323"/>
      <c r="AB446" s="220"/>
      <c r="AC446" s="322"/>
      <c r="AD446" s="323"/>
      <c r="AE446" s="220"/>
      <c r="AF446" s="324"/>
      <c r="AG446" s="208"/>
      <c r="AH446" s="208"/>
      <c r="AI446" s="208"/>
      <c r="AJ446" s="208"/>
      <c r="AK446" s="208"/>
      <c r="AL446" s="208"/>
      <c r="AM446" s="208"/>
      <c r="AN446" s="208"/>
      <c r="AO446" s="208"/>
      <c r="AP446" s="208"/>
      <c r="AQ446" s="208"/>
      <c r="AR446" s="208"/>
      <c r="AS446" s="208"/>
      <c r="AT446" s="208"/>
      <c r="AU446" s="208"/>
      <c r="AV446" s="208"/>
      <c r="AW446" s="208"/>
      <c r="AX446" s="208"/>
      <c r="AY446" s="208"/>
      <c r="AZ446" s="208"/>
      <c r="BA446" s="208"/>
      <c r="BB446" s="208"/>
      <c r="BC446" s="208"/>
      <c r="BD446" s="208"/>
      <c r="BE446" s="208"/>
      <c r="BF446" s="208"/>
      <c r="BG446" s="208"/>
      <c r="BH446" s="208"/>
      <c r="BI446" s="323"/>
    </row>
    <row r="447" spans="3:61" ht="15" customHeight="1">
      <c r="C447" s="325"/>
      <c r="D447" s="326"/>
      <c r="E447" s="311"/>
      <c r="F447" s="311"/>
      <c r="G447" s="311"/>
      <c r="H447" s="311"/>
      <c r="I447" s="311"/>
      <c r="J447" s="317"/>
      <c r="K447" s="312"/>
      <c r="L447" s="312"/>
      <c r="M447" s="312"/>
      <c r="N447" s="312"/>
      <c r="O447" s="312"/>
      <c r="P447" s="318" t="str">
        <f t="shared" si="20"/>
        <v/>
      </c>
      <c r="Q447" s="205" t="str">
        <f t="shared" si="18"/>
        <v/>
      </c>
      <c r="R447" s="205"/>
      <c r="S447" s="319" t="str">
        <f t="shared" si="19"/>
        <v/>
      </c>
      <c r="U447" s="318"/>
      <c r="V447" s="794"/>
      <c r="W447" s="795"/>
      <c r="X447" s="482"/>
      <c r="Y447" s="482"/>
      <c r="Z447" s="482"/>
      <c r="AA447" s="319"/>
      <c r="AB447" s="220"/>
      <c r="AC447" s="318"/>
      <c r="AD447" s="319"/>
      <c r="AE447" s="220"/>
      <c r="AF447" s="320"/>
      <c r="AG447" s="205"/>
      <c r="AH447" s="205"/>
      <c r="AI447" s="205"/>
      <c r="AJ447" s="205"/>
      <c r="AK447" s="205"/>
      <c r="AL447" s="205"/>
      <c r="AM447" s="205"/>
      <c r="AN447" s="205"/>
      <c r="AO447" s="205"/>
      <c r="AP447" s="205"/>
      <c r="AQ447" s="205"/>
      <c r="AR447" s="205"/>
      <c r="AS447" s="205"/>
      <c r="AT447" s="205"/>
      <c r="AU447" s="205"/>
      <c r="AV447" s="205"/>
      <c r="AW447" s="205"/>
      <c r="AX447" s="205"/>
      <c r="AY447" s="205"/>
      <c r="AZ447" s="205"/>
      <c r="BA447" s="205"/>
      <c r="BB447" s="205"/>
      <c r="BC447" s="205"/>
      <c r="BD447" s="205"/>
      <c r="BE447" s="205"/>
      <c r="BF447" s="205"/>
      <c r="BG447" s="205"/>
      <c r="BH447" s="205"/>
      <c r="BI447" s="319"/>
    </row>
    <row r="448" spans="3:61" ht="15" customHeight="1">
      <c r="C448" s="325"/>
      <c r="D448" s="326"/>
      <c r="E448" s="311"/>
      <c r="F448" s="311"/>
      <c r="G448" s="311"/>
      <c r="H448" s="311"/>
      <c r="I448" s="311"/>
      <c r="J448" s="317"/>
      <c r="K448" s="312"/>
      <c r="L448" s="312"/>
      <c r="M448" s="312"/>
      <c r="N448" s="312"/>
      <c r="O448" s="312"/>
      <c r="P448" s="322" t="str">
        <f t="shared" si="20"/>
        <v/>
      </c>
      <c r="Q448" s="208" t="str">
        <f t="shared" si="18"/>
        <v/>
      </c>
      <c r="R448" s="208"/>
      <c r="S448" s="323" t="str">
        <f t="shared" si="19"/>
        <v/>
      </c>
      <c r="U448" s="322"/>
      <c r="V448" s="791"/>
      <c r="W448" s="792"/>
      <c r="X448" s="480"/>
      <c r="Y448" s="480"/>
      <c r="Z448" s="480"/>
      <c r="AA448" s="323"/>
      <c r="AB448" s="220"/>
      <c r="AC448" s="322"/>
      <c r="AD448" s="323"/>
      <c r="AE448" s="220"/>
      <c r="AF448" s="324"/>
      <c r="AG448" s="208"/>
      <c r="AH448" s="208"/>
      <c r="AI448" s="208"/>
      <c r="AJ448" s="208"/>
      <c r="AK448" s="208"/>
      <c r="AL448" s="208"/>
      <c r="AM448" s="208"/>
      <c r="AN448" s="208"/>
      <c r="AO448" s="208"/>
      <c r="AP448" s="208"/>
      <c r="AQ448" s="208"/>
      <c r="AR448" s="208"/>
      <c r="AS448" s="208"/>
      <c r="AT448" s="208"/>
      <c r="AU448" s="208"/>
      <c r="AV448" s="208"/>
      <c r="AW448" s="208"/>
      <c r="AX448" s="208"/>
      <c r="AY448" s="208"/>
      <c r="AZ448" s="208"/>
      <c r="BA448" s="208"/>
      <c r="BB448" s="208"/>
      <c r="BC448" s="208"/>
      <c r="BD448" s="208"/>
      <c r="BE448" s="208"/>
      <c r="BF448" s="208"/>
      <c r="BG448" s="208"/>
      <c r="BH448" s="208"/>
      <c r="BI448" s="323"/>
    </row>
    <row r="449" spans="3:61" ht="15" customHeight="1">
      <c r="C449" s="325"/>
      <c r="D449" s="326"/>
      <c r="E449" s="311"/>
      <c r="F449" s="311"/>
      <c r="G449" s="311"/>
      <c r="H449" s="311"/>
      <c r="I449" s="311"/>
      <c r="J449" s="317"/>
      <c r="K449" s="312"/>
      <c r="L449" s="312"/>
      <c r="M449" s="312"/>
      <c r="N449" s="312"/>
      <c r="O449" s="312"/>
      <c r="P449" s="318" t="str">
        <f t="shared" si="20"/>
        <v/>
      </c>
      <c r="Q449" s="205" t="str">
        <f t="shared" si="18"/>
        <v/>
      </c>
      <c r="R449" s="205"/>
      <c r="S449" s="319" t="str">
        <f t="shared" si="19"/>
        <v/>
      </c>
      <c r="U449" s="318"/>
      <c r="V449" s="794"/>
      <c r="W449" s="795"/>
      <c r="X449" s="482"/>
      <c r="Y449" s="482"/>
      <c r="Z449" s="482"/>
      <c r="AA449" s="319"/>
      <c r="AB449" s="220"/>
      <c r="AC449" s="318"/>
      <c r="AD449" s="319"/>
      <c r="AE449" s="220"/>
      <c r="AF449" s="320"/>
      <c r="AG449" s="205"/>
      <c r="AH449" s="205"/>
      <c r="AI449" s="205"/>
      <c r="AJ449" s="205"/>
      <c r="AK449" s="205"/>
      <c r="AL449" s="205"/>
      <c r="AM449" s="205"/>
      <c r="AN449" s="205"/>
      <c r="AO449" s="205"/>
      <c r="AP449" s="205"/>
      <c r="AQ449" s="205"/>
      <c r="AR449" s="205"/>
      <c r="AS449" s="205"/>
      <c r="AT449" s="205"/>
      <c r="AU449" s="205"/>
      <c r="AV449" s="205"/>
      <c r="AW449" s="205"/>
      <c r="AX449" s="205"/>
      <c r="AY449" s="205"/>
      <c r="AZ449" s="205"/>
      <c r="BA449" s="205"/>
      <c r="BB449" s="205"/>
      <c r="BC449" s="205"/>
      <c r="BD449" s="205"/>
      <c r="BE449" s="205"/>
      <c r="BF449" s="205"/>
      <c r="BG449" s="205"/>
      <c r="BH449" s="205"/>
      <c r="BI449" s="319"/>
    </row>
    <row r="450" spans="3:61" ht="15" customHeight="1">
      <c r="C450" s="325"/>
      <c r="D450" s="326"/>
      <c r="E450" s="311"/>
      <c r="F450" s="311"/>
      <c r="G450" s="311"/>
      <c r="H450" s="311"/>
      <c r="I450" s="311"/>
      <c r="J450" s="317"/>
      <c r="K450" s="312"/>
      <c r="L450" s="312"/>
      <c r="M450" s="312"/>
      <c r="N450" s="312"/>
      <c r="O450" s="312"/>
      <c r="P450" s="322" t="str">
        <f t="shared" si="20"/>
        <v/>
      </c>
      <c r="Q450" s="208" t="str">
        <f t="shared" si="18"/>
        <v/>
      </c>
      <c r="R450" s="208"/>
      <c r="S450" s="323" t="str">
        <f t="shared" si="19"/>
        <v/>
      </c>
      <c r="U450" s="322"/>
      <c r="V450" s="791"/>
      <c r="W450" s="792"/>
      <c r="X450" s="480"/>
      <c r="Y450" s="480"/>
      <c r="Z450" s="480"/>
      <c r="AA450" s="323"/>
      <c r="AB450" s="220"/>
      <c r="AC450" s="322"/>
      <c r="AD450" s="323"/>
      <c r="AE450" s="220"/>
      <c r="AF450" s="324"/>
      <c r="AG450" s="208"/>
      <c r="AH450" s="208"/>
      <c r="AI450" s="208"/>
      <c r="AJ450" s="208"/>
      <c r="AK450" s="208"/>
      <c r="AL450" s="208"/>
      <c r="AM450" s="208"/>
      <c r="AN450" s="208"/>
      <c r="AO450" s="208"/>
      <c r="AP450" s="208"/>
      <c r="AQ450" s="208"/>
      <c r="AR450" s="208"/>
      <c r="AS450" s="208"/>
      <c r="AT450" s="208"/>
      <c r="AU450" s="208"/>
      <c r="AV450" s="208"/>
      <c r="AW450" s="208"/>
      <c r="AX450" s="208"/>
      <c r="AY450" s="208"/>
      <c r="AZ450" s="208"/>
      <c r="BA450" s="208"/>
      <c r="BB450" s="208"/>
      <c r="BC450" s="208"/>
      <c r="BD450" s="208"/>
      <c r="BE450" s="208"/>
      <c r="BF450" s="208"/>
      <c r="BG450" s="208"/>
      <c r="BH450" s="208"/>
      <c r="BI450" s="323"/>
    </row>
    <row r="451" spans="3:61" ht="15" customHeight="1">
      <c r="C451" s="325"/>
      <c r="D451" s="326"/>
      <c r="E451" s="311"/>
      <c r="F451" s="311"/>
      <c r="G451" s="311"/>
      <c r="H451" s="311"/>
      <c r="I451" s="311"/>
      <c r="J451" s="317"/>
      <c r="K451" s="312"/>
      <c r="L451" s="312"/>
      <c r="M451" s="312"/>
      <c r="N451" s="312"/>
      <c r="O451" s="312"/>
      <c r="P451" s="318" t="str">
        <f t="shared" si="20"/>
        <v/>
      </c>
      <c r="Q451" s="205" t="str">
        <f t="shared" si="18"/>
        <v/>
      </c>
      <c r="R451" s="205"/>
      <c r="S451" s="319" t="str">
        <f t="shared" si="19"/>
        <v/>
      </c>
      <c r="U451" s="318"/>
      <c r="V451" s="794"/>
      <c r="W451" s="795"/>
      <c r="X451" s="482"/>
      <c r="Y451" s="482"/>
      <c r="Z451" s="482"/>
      <c r="AA451" s="319"/>
      <c r="AB451" s="220"/>
      <c r="AC451" s="318"/>
      <c r="AD451" s="319"/>
      <c r="AE451" s="220"/>
      <c r="AF451" s="320"/>
      <c r="AG451" s="205"/>
      <c r="AH451" s="205"/>
      <c r="AI451" s="205"/>
      <c r="AJ451" s="205"/>
      <c r="AK451" s="205"/>
      <c r="AL451" s="205"/>
      <c r="AM451" s="205"/>
      <c r="AN451" s="205"/>
      <c r="AO451" s="205"/>
      <c r="AP451" s="205"/>
      <c r="AQ451" s="205"/>
      <c r="AR451" s="205"/>
      <c r="AS451" s="205"/>
      <c r="AT451" s="205"/>
      <c r="AU451" s="205"/>
      <c r="AV451" s="205"/>
      <c r="AW451" s="205"/>
      <c r="AX451" s="205"/>
      <c r="AY451" s="205"/>
      <c r="AZ451" s="205"/>
      <c r="BA451" s="205"/>
      <c r="BB451" s="205"/>
      <c r="BC451" s="205"/>
      <c r="BD451" s="205"/>
      <c r="BE451" s="205"/>
      <c r="BF451" s="205"/>
      <c r="BG451" s="205"/>
      <c r="BH451" s="205"/>
      <c r="BI451" s="319"/>
    </row>
    <row r="452" spans="3:61" ht="15" customHeight="1">
      <c r="C452" s="325"/>
      <c r="D452" s="326"/>
      <c r="E452" s="311"/>
      <c r="F452" s="311"/>
      <c r="G452" s="311"/>
      <c r="H452" s="311"/>
      <c r="I452" s="311"/>
      <c r="J452" s="317"/>
      <c r="K452" s="312"/>
      <c r="L452" s="312"/>
      <c r="M452" s="312"/>
      <c r="N452" s="312"/>
      <c r="O452" s="312"/>
      <c r="P452" s="322" t="str">
        <f t="shared" si="20"/>
        <v/>
      </c>
      <c r="Q452" s="208" t="str">
        <f t="shared" si="18"/>
        <v/>
      </c>
      <c r="R452" s="208"/>
      <c r="S452" s="323" t="str">
        <f t="shared" si="19"/>
        <v/>
      </c>
      <c r="U452" s="322"/>
      <c r="V452" s="791"/>
      <c r="W452" s="792"/>
      <c r="X452" s="480"/>
      <c r="Y452" s="480"/>
      <c r="Z452" s="480"/>
      <c r="AA452" s="323"/>
      <c r="AB452" s="220"/>
      <c r="AC452" s="322"/>
      <c r="AD452" s="323"/>
      <c r="AE452" s="220"/>
      <c r="AF452" s="324"/>
      <c r="AG452" s="208"/>
      <c r="AH452" s="208"/>
      <c r="AI452" s="208"/>
      <c r="AJ452" s="208"/>
      <c r="AK452" s="208"/>
      <c r="AL452" s="208"/>
      <c r="AM452" s="208"/>
      <c r="AN452" s="208"/>
      <c r="AO452" s="208"/>
      <c r="AP452" s="208"/>
      <c r="AQ452" s="208"/>
      <c r="AR452" s="208"/>
      <c r="AS452" s="208"/>
      <c r="AT452" s="208"/>
      <c r="AU452" s="208"/>
      <c r="AV452" s="208"/>
      <c r="AW452" s="208"/>
      <c r="AX452" s="208"/>
      <c r="AY452" s="208"/>
      <c r="AZ452" s="208"/>
      <c r="BA452" s="208"/>
      <c r="BB452" s="208"/>
      <c r="BC452" s="208"/>
      <c r="BD452" s="208"/>
      <c r="BE452" s="208"/>
      <c r="BF452" s="208"/>
      <c r="BG452" s="208"/>
      <c r="BH452" s="208"/>
      <c r="BI452" s="323"/>
    </row>
    <row r="453" spans="3:61" ht="15" customHeight="1">
      <c r="C453" s="325"/>
      <c r="D453" s="326"/>
      <c r="E453" s="311"/>
      <c r="F453" s="311"/>
      <c r="G453" s="311"/>
      <c r="H453" s="311"/>
      <c r="I453" s="311"/>
      <c r="J453" s="317"/>
      <c r="K453" s="312"/>
      <c r="L453" s="312"/>
      <c r="M453" s="312"/>
      <c r="N453" s="312"/>
      <c r="O453" s="312"/>
      <c r="P453" s="318" t="str">
        <f t="shared" si="20"/>
        <v/>
      </c>
      <c r="Q453" s="205" t="str">
        <f t="shared" si="18"/>
        <v/>
      </c>
      <c r="R453" s="205"/>
      <c r="S453" s="319" t="str">
        <f t="shared" si="19"/>
        <v/>
      </c>
      <c r="U453" s="318"/>
      <c r="V453" s="794"/>
      <c r="W453" s="795"/>
      <c r="X453" s="482"/>
      <c r="Y453" s="482"/>
      <c r="Z453" s="482"/>
      <c r="AA453" s="319"/>
      <c r="AB453" s="220"/>
      <c r="AC453" s="318"/>
      <c r="AD453" s="319"/>
      <c r="AE453" s="220"/>
      <c r="AF453" s="320"/>
      <c r="AG453" s="205"/>
      <c r="AH453" s="205"/>
      <c r="AI453" s="205"/>
      <c r="AJ453" s="205"/>
      <c r="AK453" s="205"/>
      <c r="AL453" s="205"/>
      <c r="AM453" s="205"/>
      <c r="AN453" s="205"/>
      <c r="AO453" s="205"/>
      <c r="AP453" s="205"/>
      <c r="AQ453" s="205"/>
      <c r="AR453" s="205"/>
      <c r="AS453" s="205"/>
      <c r="AT453" s="205"/>
      <c r="AU453" s="205"/>
      <c r="AV453" s="205"/>
      <c r="AW453" s="205"/>
      <c r="AX453" s="205"/>
      <c r="AY453" s="205"/>
      <c r="AZ453" s="205"/>
      <c r="BA453" s="205"/>
      <c r="BB453" s="205"/>
      <c r="BC453" s="205"/>
      <c r="BD453" s="205"/>
      <c r="BE453" s="205"/>
      <c r="BF453" s="205"/>
      <c r="BG453" s="205"/>
      <c r="BH453" s="205"/>
      <c r="BI453" s="319"/>
    </row>
    <row r="454" spans="3:61" ht="15" customHeight="1">
      <c r="C454" s="325"/>
      <c r="D454" s="326"/>
      <c r="E454" s="311"/>
      <c r="F454" s="311"/>
      <c r="G454" s="311"/>
      <c r="H454" s="311"/>
      <c r="I454" s="311"/>
      <c r="J454" s="317"/>
      <c r="K454" s="312"/>
      <c r="L454" s="312"/>
      <c r="M454" s="312"/>
      <c r="N454" s="312"/>
      <c r="O454" s="312"/>
      <c r="P454" s="322" t="str">
        <f t="shared" si="20"/>
        <v/>
      </c>
      <c r="Q454" s="208" t="str">
        <f t="shared" si="18"/>
        <v/>
      </c>
      <c r="R454" s="208"/>
      <c r="S454" s="323" t="str">
        <f t="shared" si="19"/>
        <v/>
      </c>
      <c r="U454" s="322"/>
      <c r="V454" s="791"/>
      <c r="W454" s="792"/>
      <c r="X454" s="480"/>
      <c r="Y454" s="480"/>
      <c r="Z454" s="480"/>
      <c r="AA454" s="323"/>
      <c r="AB454" s="220"/>
      <c r="AC454" s="322"/>
      <c r="AD454" s="323"/>
      <c r="AE454" s="220"/>
      <c r="AF454" s="324"/>
      <c r="AG454" s="208"/>
      <c r="AH454" s="208"/>
      <c r="AI454" s="208"/>
      <c r="AJ454" s="208"/>
      <c r="AK454" s="208"/>
      <c r="AL454" s="208"/>
      <c r="AM454" s="208"/>
      <c r="AN454" s="208"/>
      <c r="AO454" s="208"/>
      <c r="AP454" s="208"/>
      <c r="AQ454" s="208"/>
      <c r="AR454" s="208"/>
      <c r="AS454" s="208"/>
      <c r="AT454" s="208"/>
      <c r="AU454" s="208"/>
      <c r="AV454" s="208"/>
      <c r="AW454" s="208"/>
      <c r="AX454" s="208"/>
      <c r="AY454" s="208"/>
      <c r="AZ454" s="208"/>
      <c r="BA454" s="208"/>
      <c r="BB454" s="208"/>
      <c r="BC454" s="208"/>
      <c r="BD454" s="208"/>
      <c r="BE454" s="208"/>
      <c r="BF454" s="208"/>
      <c r="BG454" s="208"/>
      <c r="BH454" s="208"/>
      <c r="BI454" s="323"/>
    </row>
    <row r="455" spans="3:61" ht="15" customHeight="1">
      <c r="C455" s="325"/>
      <c r="D455" s="326"/>
      <c r="E455" s="311"/>
      <c r="F455" s="311"/>
      <c r="G455" s="311"/>
      <c r="H455" s="311"/>
      <c r="I455" s="311"/>
      <c r="J455" s="317"/>
      <c r="K455" s="312"/>
      <c r="L455" s="312"/>
      <c r="M455" s="312"/>
      <c r="N455" s="312"/>
      <c r="O455" s="312"/>
      <c r="P455" s="318" t="str">
        <f t="shared" si="20"/>
        <v/>
      </c>
      <c r="Q455" s="205" t="str">
        <f t="shared" si="18"/>
        <v/>
      </c>
      <c r="R455" s="205"/>
      <c r="S455" s="319" t="str">
        <f t="shared" si="19"/>
        <v/>
      </c>
      <c r="U455" s="318"/>
      <c r="V455" s="794"/>
      <c r="W455" s="795"/>
      <c r="X455" s="482"/>
      <c r="Y455" s="482"/>
      <c r="Z455" s="482"/>
      <c r="AA455" s="319"/>
      <c r="AB455" s="220"/>
      <c r="AC455" s="318"/>
      <c r="AD455" s="319"/>
      <c r="AE455" s="220"/>
      <c r="AF455" s="320"/>
      <c r="AG455" s="205"/>
      <c r="AH455" s="205"/>
      <c r="AI455" s="205"/>
      <c r="AJ455" s="205"/>
      <c r="AK455" s="205"/>
      <c r="AL455" s="205"/>
      <c r="AM455" s="205"/>
      <c r="AN455" s="205"/>
      <c r="AO455" s="205"/>
      <c r="AP455" s="205"/>
      <c r="AQ455" s="205"/>
      <c r="AR455" s="205"/>
      <c r="AS455" s="205"/>
      <c r="AT455" s="205"/>
      <c r="AU455" s="205"/>
      <c r="AV455" s="205"/>
      <c r="AW455" s="205"/>
      <c r="AX455" s="205"/>
      <c r="AY455" s="205"/>
      <c r="AZ455" s="205"/>
      <c r="BA455" s="205"/>
      <c r="BB455" s="205"/>
      <c r="BC455" s="205"/>
      <c r="BD455" s="205"/>
      <c r="BE455" s="205"/>
      <c r="BF455" s="205"/>
      <c r="BG455" s="205"/>
      <c r="BH455" s="205"/>
      <c r="BI455" s="319"/>
    </row>
    <row r="456" spans="3:61" ht="15" customHeight="1">
      <c r="C456" s="325"/>
      <c r="D456" s="326"/>
      <c r="E456" s="311"/>
      <c r="F456" s="311"/>
      <c r="G456" s="311"/>
      <c r="H456" s="311"/>
      <c r="I456" s="311"/>
      <c r="J456" s="317"/>
      <c r="K456" s="312"/>
      <c r="L456" s="312"/>
      <c r="M456" s="312"/>
      <c r="N456" s="312"/>
      <c r="O456" s="312"/>
      <c r="P456" s="322" t="str">
        <f t="shared" si="20"/>
        <v/>
      </c>
      <c r="Q456" s="208" t="str">
        <f t="shared" si="18"/>
        <v/>
      </c>
      <c r="R456" s="208"/>
      <c r="S456" s="323" t="str">
        <f t="shared" si="19"/>
        <v/>
      </c>
      <c r="U456" s="322"/>
      <c r="V456" s="791"/>
      <c r="W456" s="792"/>
      <c r="X456" s="480"/>
      <c r="Y456" s="480"/>
      <c r="Z456" s="480"/>
      <c r="AA456" s="323"/>
      <c r="AB456" s="220"/>
      <c r="AC456" s="322"/>
      <c r="AD456" s="323"/>
      <c r="AE456" s="220"/>
      <c r="AF456" s="324"/>
      <c r="AG456" s="208"/>
      <c r="AH456" s="208"/>
      <c r="AI456" s="208"/>
      <c r="AJ456" s="208"/>
      <c r="AK456" s="208"/>
      <c r="AL456" s="208"/>
      <c r="AM456" s="208"/>
      <c r="AN456" s="208"/>
      <c r="AO456" s="208"/>
      <c r="AP456" s="208"/>
      <c r="AQ456" s="208"/>
      <c r="AR456" s="208"/>
      <c r="AS456" s="208"/>
      <c r="AT456" s="208"/>
      <c r="AU456" s="208"/>
      <c r="AV456" s="208"/>
      <c r="AW456" s="208"/>
      <c r="AX456" s="208"/>
      <c r="AY456" s="208"/>
      <c r="AZ456" s="208"/>
      <c r="BA456" s="208"/>
      <c r="BB456" s="208"/>
      <c r="BC456" s="208"/>
      <c r="BD456" s="208"/>
      <c r="BE456" s="208"/>
      <c r="BF456" s="208"/>
      <c r="BG456" s="208"/>
      <c r="BH456" s="208"/>
      <c r="BI456" s="323"/>
    </row>
    <row r="457" spans="3:61" ht="15" customHeight="1">
      <c r="C457" s="325"/>
      <c r="D457" s="326"/>
      <c r="E457" s="311"/>
      <c r="F457" s="311"/>
      <c r="G457" s="311"/>
      <c r="H457" s="311"/>
      <c r="I457" s="311"/>
      <c r="J457" s="317"/>
      <c r="K457" s="312"/>
      <c r="L457" s="312"/>
      <c r="M457" s="312"/>
      <c r="N457" s="312"/>
      <c r="O457" s="312"/>
      <c r="P457" s="318" t="str">
        <f t="shared" si="20"/>
        <v/>
      </c>
      <c r="Q457" s="205" t="str">
        <f t="shared" si="18"/>
        <v/>
      </c>
      <c r="R457" s="205"/>
      <c r="S457" s="319" t="str">
        <f t="shared" si="19"/>
        <v/>
      </c>
      <c r="U457" s="318"/>
      <c r="V457" s="794"/>
      <c r="W457" s="795"/>
      <c r="X457" s="482"/>
      <c r="Y457" s="482"/>
      <c r="Z457" s="482"/>
      <c r="AA457" s="319"/>
      <c r="AB457" s="220"/>
      <c r="AC457" s="318"/>
      <c r="AD457" s="319"/>
      <c r="AE457" s="220"/>
      <c r="AF457" s="320"/>
      <c r="AG457" s="205"/>
      <c r="AH457" s="205"/>
      <c r="AI457" s="205"/>
      <c r="AJ457" s="205"/>
      <c r="AK457" s="205"/>
      <c r="AL457" s="205"/>
      <c r="AM457" s="205"/>
      <c r="AN457" s="205"/>
      <c r="AO457" s="205"/>
      <c r="AP457" s="205"/>
      <c r="AQ457" s="205"/>
      <c r="AR457" s="205"/>
      <c r="AS457" s="205"/>
      <c r="AT457" s="205"/>
      <c r="AU457" s="205"/>
      <c r="AV457" s="205"/>
      <c r="AW457" s="205"/>
      <c r="AX457" s="205"/>
      <c r="AY457" s="205"/>
      <c r="AZ457" s="205"/>
      <c r="BA457" s="205"/>
      <c r="BB457" s="205"/>
      <c r="BC457" s="205"/>
      <c r="BD457" s="205"/>
      <c r="BE457" s="205"/>
      <c r="BF457" s="205"/>
      <c r="BG457" s="205"/>
      <c r="BH457" s="205"/>
      <c r="BI457" s="319"/>
    </row>
    <row r="458" spans="3:61" ht="15" customHeight="1">
      <c r="C458" s="325"/>
      <c r="D458" s="326"/>
      <c r="E458" s="311"/>
      <c r="F458" s="311"/>
      <c r="G458" s="311"/>
      <c r="H458" s="311"/>
      <c r="I458" s="311"/>
      <c r="J458" s="317"/>
      <c r="K458" s="312"/>
      <c r="L458" s="312"/>
      <c r="M458" s="312"/>
      <c r="N458" s="312"/>
      <c r="O458" s="312"/>
      <c r="P458" s="322" t="str">
        <f t="shared" si="20"/>
        <v/>
      </c>
      <c r="Q458" s="208" t="str">
        <f t="shared" si="18"/>
        <v/>
      </c>
      <c r="R458" s="208"/>
      <c r="S458" s="323" t="str">
        <f t="shared" si="19"/>
        <v/>
      </c>
      <c r="U458" s="322"/>
      <c r="V458" s="791"/>
      <c r="W458" s="792"/>
      <c r="X458" s="480"/>
      <c r="Y458" s="480"/>
      <c r="Z458" s="480"/>
      <c r="AA458" s="323"/>
      <c r="AB458" s="220"/>
      <c r="AC458" s="322"/>
      <c r="AD458" s="323"/>
      <c r="AE458" s="220"/>
      <c r="AF458" s="324"/>
      <c r="AG458" s="208"/>
      <c r="AH458" s="208"/>
      <c r="AI458" s="208"/>
      <c r="AJ458" s="208"/>
      <c r="AK458" s="208"/>
      <c r="AL458" s="208"/>
      <c r="AM458" s="208"/>
      <c r="AN458" s="208"/>
      <c r="AO458" s="208"/>
      <c r="AP458" s="208"/>
      <c r="AQ458" s="208"/>
      <c r="AR458" s="208"/>
      <c r="AS458" s="208"/>
      <c r="AT458" s="208"/>
      <c r="AU458" s="208"/>
      <c r="AV458" s="208"/>
      <c r="AW458" s="208"/>
      <c r="AX458" s="208"/>
      <c r="AY458" s="208"/>
      <c r="AZ458" s="208"/>
      <c r="BA458" s="208"/>
      <c r="BB458" s="208"/>
      <c r="BC458" s="208"/>
      <c r="BD458" s="208"/>
      <c r="BE458" s="208"/>
      <c r="BF458" s="208"/>
      <c r="BG458" s="208"/>
      <c r="BH458" s="208"/>
      <c r="BI458" s="323"/>
    </row>
    <row r="459" spans="3:61" ht="15" customHeight="1">
      <c r="C459" s="325"/>
      <c r="D459" s="326"/>
      <c r="E459" s="311"/>
      <c r="F459" s="311"/>
      <c r="G459" s="311"/>
      <c r="H459" s="311"/>
      <c r="I459" s="311"/>
      <c r="J459" s="317"/>
      <c r="K459" s="312"/>
      <c r="L459" s="312"/>
      <c r="M459" s="312"/>
      <c r="N459" s="312"/>
      <c r="O459" s="312"/>
      <c r="P459" s="318" t="str">
        <f t="shared" si="20"/>
        <v/>
      </c>
      <c r="Q459" s="205" t="str">
        <f t="shared" ref="Q459:Q522" si="21">IF($AA459 = "", "", $AA459/$AA$10*100)</f>
        <v/>
      </c>
      <c r="R459" s="205"/>
      <c r="S459" s="319" t="str">
        <f t="shared" ref="S459:S522" si="22">IF($AD459 = "", "", $AD459/$AD$10*100)</f>
        <v/>
      </c>
      <c r="U459" s="318"/>
      <c r="V459" s="794"/>
      <c r="W459" s="795"/>
      <c r="X459" s="482"/>
      <c r="Y459" s="482"/>
      <c r="Z459" s="482"/>
      <c r="AA459" s="319"/>
      <c r="AB459" s="220"/>
      <c r="AC459" s="318"/>
      <c r="AD459" s="319"/>
      <c r="AE459" s="220"/>
      <c r="AF459" s="320"/>
      <c r="AG459" s="205"/>
      <c r="AH459" s="205"/>
      <c r="AI459" s="205"/>
      <c r="AJ459" s="205"/>
      <c r="AK459" s="205"/>
      <c r="AL459" s="205"/>
      <c r="AM459" s="205"/>
      <c r="AN459" s="205"/>
      <c r="AO459" s="205"/>
      <c r="AP459" s="205"/>
      <c r="AQ459" s="205"/>
      <c r="AR459" s="205"/>
      <c r="AS459" s="205"/>
      <c r="AT459" s="205"/>
      <c r="AU459" s="205"/>
      <c r="AV459" s="205"/>
      <c r="AW459" s="205"/>
      <c r="AX459" s="205"/>
      <c r="AY459" s="205"/>
      <c r="AZ459" s="205"/>
      <c r="BA459" s="205"/>
      <c r="BB459" s="205"/>
      <c r="BC459" s="205"/>
      <c r="BD459" s="205"/>
      <c r="BE459" s="205"/>
      <c r="BF459" s="205"/>
      <c r="BG459" s="205"/>
      <c r="BH459" s="205"/>
      <c r="BI459" s="319"/>
    </row>
    <row r="460" spans="3:61" ht="15" customHeight="1">
      <c r="C460" s="325"/>
      <c r="D460" s="326"/>
      <c r="E460" s="311"/>
      <c r="F460" s="311"/>
      <c r="G460" s="311"/>
      <c r="H460" s="311"/>
      <c r="I460" s="311"/>
      <c r="J460" s="317"/>
      <c r="K460" s="312"/>
      <c r="L460" s="312"/>
      <c r="M460" s="312"/>
      <c r="N460" s="312"/>
      <c r="O460" s="312"/>
      <c r="P460" s="322" t="str">
        <f t="shared" ref="P460:P523" si="23">IF(U460="", "", U460)</f>
        <v/>
      </c>
      <c r="Q460" s="208" t="str">
        <f t="shared" si="21"/>
        <v/>
      </c>
      <c r="R460" s="208"/>
      <c r="S460" s="323" t="str">
        <f t="shared" si="22"/>
        <v/>
      </c>
      <c r="U460" s="322"/>
      <c r="V460" s="791"/>
      <c r="W460" s="792"/>
      <c r="X460" s="480"/>
      <c r="Y460" s="480"/>
      <c r="Z460" s="480"/>
      <c r="AA460" s="323"/>
      <c r="AB460" s="220"/>
      <c r="AC460" s="322"/>
      <c r="AD460" s="323"/>
      <c r="AE460" s="220"/>
      <c r="AF460" s="324"/>
      <c r="AG460" s="208"/>
      <c r="AH460" s="208"/>
      <c r="AI460" s="208"/>
      <c r="AJ460" s="208"/>
      <c r="AK460" s="208"/>
      <c r="AL460" s="208"/>
      <c r="AM460" s="208"/>
      <c r="AN460" s="208"/>
      <c r="AO460" s="208"/>
      <c r="AP460" s="208"/>
      <c r="AQ460" s="208"/>
      <c r="AR460" s="208"/>
      <c r="AS460" s="208"/>
      <c r="AT460" s="208"/>
      <c r="AU460" s="208"/>
      <c r="AV460" s="208"/>
      <c r="AW460" s="208"/>
      <c r="AX460" s="208"/>
      <c r="AY460" s="208"/>
      <c r="AZ460" s="208"/>
      <c r="BA460" s="208"/>
      <c r="BB460" s="208"/>
      <c r="BC460" s="208"/>
      <c r="BD460" s="208"/>
      <c r="BE460" s="208"/>
      <c r="BF460" s="208"/>
      <c r="BG460" s="208"/>
      <c r="BH460" s="208"/>
      <c r="BI460" s="323"/>
    </row>
    <row r="461" spans="3:61" ht="15" customHeight="1">
      <c r="C461" s="325"/>
      <c r="D461" s="326"/>
      <c r="E461" s="311"/>
      <c r="F461" s="311"/>
      <c r="G461" s="311"/>
      <c r="H461" s="311"/>
      <c r="I461" s="311"/>
      <c r="J461" s="317"/>
      <c r="K461" s="312"/>
      <c r="L461" s="312"/>
      <c r="M461" s="312"/>
      <c r="N461" s="312"/>
      <c r="O461" s="312"/>
      <c r="P461" s="318" t="str">
        <f t="shared" si="23"/>
        <v/>
      </c>
      <c r="Q461" s="205" t="str">
        <f t="shared" si="21"/>
        <v/>
      </c>
      <c r="R461" s="205"/>
      <c r="S461" s="319" t="str">
        <f t="shared" si="22"/>
        <v/>
      </c>
      <c r="U461" s="318"/>
      <c r="V461" s="794"/>
      <c r="W461" s="795"/>
      <c r="X461" s="482"/>
      <c r="Y461" s="482"/>
      <c r="Z461" s="482"/>
      <c r="AA461" s="319"/>
      <c r="AB461" s="220"/>
      <c r="AC461" s="318"/>
      <c r="AD461" s="319"/>
      <c r="AE461" s="220"/>
      <c r="AF461" s="320"/>
      <c r="AG461" s="205"/>
      <c r="AH461" s="205"/>
      <c r="AI461" s="205"/>
      <c r="AJ461" s="205"/>
      <c r="AK461" s="205"/>
      <c r="AL461" s="205"/>
      <c r="AM461" s="205"/>
      <c r="AN461" s="205"/>
      <c r="AO461" s="205"/>
      <c r="AP461" s="205"/>
      <c r="AQ461" s="205"/>
      <c r="AR461" s="205"/>
      <c r="AS461" s="205"/>
      <c r="AT461" s="205"/>
      <c r="AU461" s="205"/>
      <c r="AV461" s="205"/>
      <c r="AW461" s="205"/>
      <c r="AX461" s="205"/>
      <c r="AY461" s="205"/>
      <c r="AZ461" s="205"/>
      <c r="BA461" s="205"/>
      <c r="BB461" s="205"/>
      <c r="BC461" s="205"/>
      <c r="BD461" s="205"/>
      <c r="BE461" s="205"/>
      <c r="BF461" s="205"/>
      <c r="BG461" s="205"/>
      <c r="BH461" s="205"/>
      <c r="BI461" s="319"/>
    </row>
    <row r="462" spans="3:61" ht="15" customHeight="1">
      <c r="C462" s="325"/>
      <c r="D462" s="326"/>
      <c r="E462" s="311"/>
      <c r="F462" s="311"/>
      <c r="G462" s="311"/>
      <c r="H462" s="311"/>
      <c r="I462" s="311"/>
      <c r="J462" s="317"/>
      <c r="K462" s="312"/>
      <c r="L462" s="312"/>
      <c r="M462" s="312"/>
      <c r="N462" s="312"/>
      <c r="O462" s="312"/>
      <c r="P462" s="322" t="str">
        <f t="shared" si="23"/>
        <v/>
      </c>
      <c r="Q462" s="208" t="str">
        <f t="shared" si="21"/>
        <v/>
      </c>
      <c r="R462" s="208"/>
      <c r="S462" s="323" t="str">
        <f t="shared" si="22"/>
        <v/>
      </c>
      <c r="U462" s="322"/>
      <c r="V462" s="791"/>
      <c r="W462" s="792"/>
      <c r="X462" s="480"/>
      <c r="Y462" s="480"/>
      <c r="Z462" s="480"/>
      <c r="AA462" s="323"/>
      <c r="AB462" s="220"/>
      <c r="AC462" s="322"/>
      <c r="AD462" s="323"/>
      <c r="AE462" s="220"/>
      <c r="AF462" s="324"/>
      <c r="AG462" s="208"/>
      <c r="AH462" s="208"/>
      <c r="AI462" s="208"/>
      <c r="AJ462" s="208"/>
      <c r="AK462" s="208"/>
      <c r="AL462" s="208"/>
      <c r="AM462" s="208"/>
      <c r="AN462" s="208"/>
      <c r="AO462" s="208"/>
      <c r="AP462" s="208"/>
      <c r="AQ462" s="208"/>
      <c r="AR462" s="208"/>
      <c r="AS462" s="208"/>
      <c r="AT462" s="208"/>
      <c r="AU462" s="208"/>
      <c r="AV462" s="208"/>
      <c r="AW462" s="208"/>
      <c r="AX462" s="208"/>
      <c r="AY462" s="208"/>
      <c r="AZ462" s="208"/>
      <c r="BA462" s="208"/>
      <c r="BB462" s="208"/>
      <c r="BC462" s="208"/>
      <c r="BD462" s="208"/>
      <c r="BE462" s="208"/>
      <c r="BF462" s="208"/>
      <c r="BG462" s="208"/>
      <c r="BH462" s="208"/>
      <c r="BI462" s="323"/>
    </row>
    <row r="463" spans="3:61" ht="15" customHeight="1">
      <c r="C463" s="325"/>
      <c r="D463" s="326"/>
      <c r="E463" s="311"/>
      <c r="F463" s="311"/>
      <c r="G463" s="311"/>
      <c r="H463" s="311"/>
      <c r="I463" s="311"/>
      <c r="J463" s="317"/>
      <c r="K463" s="312"/>
      <c r="L463" s="312"/>
      <c r="M463" s="312"/>
      <c r="N463" s="312"/>
      <c r="O463" s="312"/>
      <c r="P463" s="318" t="str">
        <f t="shared" si="23"/>
        <v/>
      </c>
      <c r="Q463" s="205" t="str">
        <f t="shared" si="21"/>
        <v/>
      </c>
      <c r="R463" s="205"/>
      <c r="S463" s="319" t="str">
        <f t="shared" si="22"/>
        <v/>
      </c>
      <c r="U463" s="318"/>
      <c r="V463" s="794"/>
      <c r="W463" s="795"/>
      <c r="X463" s="482"/>
      <c r="Y463" s="482"/>
      <c r="Z463" s="482"/>
      <c r="AA463" s="319"/>
      <c r="AB463" s="220"/>
      <c r="AC463" s="318"/>
      <c r="AD463" s="319"/>
      <c r="AE463" s="220"/>
      <c r="AF463" s="320"/>
      <c r="AG463" s="205"/>
      <c r="AH463" s="205"/>
      <c r="AI463" s="205"/>
      <c r="AJ463" s="205"/>
      <c r="AK463" s="205"/>
      <c r="AL463" s="205"/>
      <c r="AM463" s="205"/>
      <c r="AN463" s="205"/>
      <c r="AO463" s="205"/>
      <c r="AP463" s="205"/>
      <c r="AQ463" s="205"/>
      <c r="AR463" s="205"/>
      <c r="AS463" s="205"/>
      <c r="AT463" s="205"/>
      <c r="AU463" s="205"/>
      <c r="AV463" s="205"/>
      <c r="AW463" s="205"/>
      <c r="AX463" s="205"/>
      <c r="AY463" s="205"/>
      <c r="AZ463" s="205"/>
      <c r="BA463" s="205"/>
      <c r="BB463" s="205"/>
      <c r="BC463" s="205"/>
      <c r="BD463" s="205"/>
      <c r="BE463" s="205"/>
      <c r="BF463" s="205"/>
      <c r="BG463" s="205"/>
      <c r="BH463" s="205"/>
      <c r="BI463" s="319"/>
    </row>
    <row r="464" spans="3:61" ht="15" customHeight="1">
      <c r="C464" s="325"/>
      <c r="D464" s="326"/>
      <c r="E464" s="311"/>
      <c r="F464" s="311"/>
      <c r="G464" s="311"/>
      <c r="H464" s="311"/>
      <c r="I464" s="311"/>
      <c r="J464" s="317"/>
      <c r="K464" s="312"/>
      <c r="L464" s="312"/>
      <c r="M464" s="312"/>
      <c r="N464" s="312"/>
      <c r="O464" s="312"/>
      <c r="P464" s="322" t="str">
        <f t="shared" si="23"/>
        <v/>
      </c>
      <c r="Q464" s="208" t="str">
        <f t="shared" si="21"/>
        <v/>
      </c>
      <c r="R464" s="208"/>
      <c r="S464" s="323" t="str">
        <f t="shared" si="22"/>
        <v/>
      </c>
      <c r="U464" s="322"/>
      <c r="V464" s="791"/>
      <c r="W464" s="792"/>
      <c r="X464" s="480"/>
      <c r="Y464" s="480"/>
      <c r="Z464" s="480"/>
      <c r="AA464" s="323"/>
      <c r="AB464" s="220"/>
      <c r="AC464" s="322"/>
      <c r="AD464" s="323"/>
      <c r="AE464" s="220"/>
      <c r="AF464" s="324"/>
      <c r="AG464" s="208"/>
      <c r="AH464" s="208"/>
      <c r="AI464" s="208"/>
      <c r="AJ464" s="208"/>
      <c r="AK464" s="208"/>
      <c r="AL464" s="208"/>
      <c r="AM464" s="208"/>
      <c r="AN464" s="208"/>
      <c r="AO464" s="208"/>
      <c r="AP464" s="208"/>
      <c r="AQ464" s="208"/>
      <c r="AR464" s="208"/>
      <c r="AS464" s="208"/>
      <c r="AT464" s="208"/>
      <c r="AU464" s="208"/>
      <c r="AV464" s="208"/>
      <c r="AW464" s="208"/>
      <c r="AX464" s="208"/>
      <c r="AY464" s="208"/>
      <c r="AZ464" s="208"/>
      <c r="BA464" s="208"/>
      <c r="BB464" s="208"/>
      <c r="BC464" s="208"/>
      <c r="BD464" s="208"/>
      <c r="BE464" s="208"/>
      <c r="BF464" s="208"/>
      <c r="BG464" s="208"/>
      <c r="BH464" s="208"/>
      <c r="BI464" s="323"/>
    </row>
    <row r="465" spans="3:61" ht="15" customHeight="1">
      <c r="C465" s="325"/>
      <c r="D465" s="326"/>
      <c r="E465" s="311"/>
      <c r="F465" s="311"/>
      <c r="G465" s="311"/>
      <c r="H465" s="311"/>
      <c r="I465" s="311"/>
      <c r="J465" s="317"/>
      <c r="K465" s="312"/>
      <c r="L465" s="312"/>
      <c r="M465" s="312"/>
      <c r="N465" s="312"/>
      <c r="O465" s="312"/>
      <c r="P465" s="318" t="str">
        <f t="shared" si="23"/>
        <v/>
      </c>
      <c r="Q465" s="205" t="str">
        <f t="shared" si="21"/>
        <v/>
      </c>
      <c r="R465" s="205"/>
      <c r="S465" s="319" t="str">
        <f t="shared" si="22"/>
        <v/>
      </c>
      <c r="U465" s="318"/>
      <c r="V465" s="794"/>
      <c r="W465" s="795"/>
      <c r="X465" s="482"/>
      <c r="Y465" s="482"/>
      <c r="Z465" s="482"/>
      <c r="AA465" s="319"/>
      <c r="AB465" s="220"/>
      <c r="AC465" s="318"/>
      <c r="AD465" s="319"/>
      <c r="AE465" s="220"/>
      <c r="AF465" s="320"/>
      <c r="AG465" s="205"/>
      <c r="AH465" s="205"/>
      <c r="AI465" s="205"/>
      <c r="AJ465" s="205"/>
      <c r="AK465" s="205"/>
      <c r="AL465" s="205"/>
      <c r="AM465" s="205"/>
      <c r="AN465" s="205"/>
      <c r="AO465" s="205"/>
      <c r="AP465" s="205"/>
      <c r="AQ465" s="205"/>
      <c r="AR465" s="205"/>
      <c r="AS465" s="205"/>
      <c r="AT465" s="205"/>
      <c r="AU465" s="205"/>
      <c r="AV465" s="205"/>
      <c r="AW465" s="205"/>
      <c r="AX465" s="205"/>
      <c r="AY465" s="205"/>
      <c r="AZ465" s="205"/>
      <c r="BA465" s="205"/>
      <c r="BB465" s="205"/>
      <c r="BC465" s="205"/>
      <c r="BD465" s="205"/>
      <c r="BE465" s="205"/>
      <c r="BF465" s="205"/>
      <c r="BG465" s="205"/>
      <c r="BH465" s="205"/>
      <c r="BI465" s="319"/>
    </row>
    <row r="466" spans="3:61" ht="15" customHeight="1">
      <c r="C466" s="325"/>
      <c r="D466" s="326"/>
      <c r="E466" s="311"/>
      <c r="F466" s="311"/>
      <c r="G466" s="311"/>
      <c r="H466" s="311"/>
      <c r="I466" s="311"/>
      <c r="J466" s="317"/>
      <c r="K466" s="312"/>
      <c r="L466" s="312"/>
      <c r="M466" s="312"/>
      <c r="N466" s="312"/>
      <c r="O466" s="312"/>
      <c r="P466" s="322" t="str">
        <f t="shared" si="23"/>
        <v/>
      </c>
      <c r="Q466" s="208" t="str">
        <f t="shared" si="21"/>
        <v/>
      </c>
      <c r="R466" s="208"/>
      <c r="S466" s="323" t="str">
        <f t="shared" si="22"/>
        <v/>
      </c>
      <c r="U466" s="322"/>
      <c r="V466" s="791"/>
      <c r="W466" s="792"/>
      <c r="X466" s="480"/>
      <c r="Y466" s="480"/>
      <c r="Z466" s="480"/>
      <c r="AA466" s="323"/>
      <c r="AB466" s="220"/>
      <c r="AC466" s="322"/>
      <c r="AD466" s="323"/>
      <c r="AE466" s="220"/>
      <c r="AF466" s="324"/>
      <c r="AG466" s="208"/>
      <c r="AH466" s="208"/>
      <c r="AI466" s="208"/>
      <c r="AJ466" s="208"/>
      <c r="AK466" s="208"/>
      <c r="AL466" s="208"/>
      <c r="AM466" s="208"/>
      <c r="AN466" s="208"/>
      <c r="AO466" s="208"/>
      <c r="AP466" s="208"/>
      <c r="AQ466" s="208"/>
      <c r="AR466" s="208"/>
      <c r="AS466" s="208"/>
      <c r="AT466" s="208"/>
      <c r="AU466" s="208"/>
      <c r="AV466" s="208"/>
      <c r="AW466" s="208"/>
      <c r="AX466" s="208"/>
      <c r="AY466" s="208"/>
      <c r="AZ466" s="208"/>
      <c r="BA466" s="208"/>
      <c r="BB466" s="208"/>
      <c r="BC466" s="208"/>
      <c r="BD466" s="208"/>
      <c r="BE466" s="208"/>
      <c r="BF466" s="208"/>
      <c r="BG466" s="208"/>
      <c r="BH466" s="208"/>
      <c r="BI466" s="323"/>
    </row>
    <row r="467" spans="3:61" ht="15" customHeight="1">
      <c r="C467" s="325"/>
      <c r="D467" s="326"/>
      <c r="E467" s="311"/>
      <c r="F467" s="311"/>
      <c r="G467" s="311"/>
      <c r="H467" s="311"/>
      <c r="I467" s="311"/>
      <c r="J467" s="317"/>
      <c r="K467" s="312"/>
      <c r="L467" s="312"/>
      <c r="M467" s="312"/>
      <c r="N467" s="312"/>
      <c r="O467" s="312"/>
      <c r="P467" s="318" t="str">
        <f t="shared" si="23"/>
        <v/>
      </c>
      <c r="Q467" s="205" t="str">
        <f t="shared" si="21"/>
        <v/>
      </c>
      <c r="R467" s="205"/>
      <c r="S467" s="319" t="str">
        <f t="shared" si="22"/>
        <v/>
      </c>
      <c r="U467" s="318"/>
      <c r="V467" s="794"/>
      <c r="W467" s="795"/>
      <c r="X467" s="482"/>
      <c r="Y467" s="482"/>
      <c r="Z467" s="482"/>
      <c r="AA467" s="319"/>
      <c r="AB467" s="220"/>
      <c r="AC467" s="318"/>
      <c r="AD467" s="319"/>
      <c r="AE467" s="220"/>
      <c r="AF467" s="320"/>
      <c r="AG467" s="205"/>
      <c r="AH467" s="205"/>
      <c r="AI467" s="205"/>
      <c r="AJ467" s="205"/>
      <c r="AK467" s="205"/>
      <c r="AL467" s="205"/>
      <c r="AM467" s="205"/>
      <c r="AN467" s="205"/>
      <c r="AO467" s="205"/>
      <c r="AP467" s="205"/>
      <c r="AQ467" s="205"/>
      <c r="AR467" s="205"/>
      <c r="AS467" s="205"/>
      <c r="AT467" s="205"/>
      <c r="AU467" s="205"/>
      <c r="AV467" s="205"/>
      <c r="AW467" s="205"/>
      <c r="AX467" s="205"/>
      <c r="AY467" s="205"/>
      <c r="AZ467" s="205"/>
      <c r="BA467" s="205"/>
      <c r="BB467" s="205"/>
      <c r="BC467" s="205"/>
      <c r="BD467" s="205"/>
      <c r="BE467" s="205"/>
      <c r="BF467" s="205"/>
      <c r="BG467" s="205"/>
      <c r="BH467" s="205"/>
      <c r="BI467" s="319"/>
    </row>
    <row r="468" spans="3:61" ht="15" customHeight="1">
      <c r="C468" s="325"/>
      <c r="D468" s="326"/>
      <c r="E468" s="311"/>
      <c r="F468" s="311"/>
      <c r="G468" s="311"/>
      <c r="H468" s="311"/>
      <c r="I468" s="311"/>
      <c r="J468" s="317"/>
      <c r="K468" s="312"/>
      <c r="L468" s="312"/>
      <c r="M468" s="312"/>
      <c r="N468" s="312"/>
      <c r="O468" s="312"/>
      <c r="P468" s="322" t="str">
        <f t="shared" si="23"/>
        <v/>
      </c>
      <c r="Q468" s="208" t="str">
        <f t="shared" si="21"/>
        <v/>
      </c>
      <c r="R468" s="208"/>
      <c r="S468" s="323" t="str">
        <f t="shared" si="22"/>
        <v/>
      </c>
      <c r="U468" s="322"/>
      <c r="V468" s="791"/>
      <c r="W468" s="792"/>
      <c r="X468" s="480"/>
      <c r="Y468" s="480"/>
      <c r="Z468" s="480"/>
      <c r="AA468" s="323"/>
      <c r="AB468" s="220"/>
      <c r="AC468" s="322"/>
      <c r="AD468" s="323"/>
      <c r="AE468" s="220"/>
      <c r="AF468" s="324"/>
      <c r="AG468" s="208"/>
      <c r="AH468" s="208"/>
      <c r="AI468" s="208"/>
      <c r="AJ468" s="208"/>
      <c r="AK468" s="208"/>
      <c r="AL468" s="208"/>
      <c r="AM468" s="208"/>
      <c r="AN468" s="208"/>
      <c r="AO468" s="208"/>
      <c r="AP468" s="208"/>
      <c r="AQ468" s="208"/>
      <c r="AR468" s="208"/>
      <c r="AS468" s="208"/>
      <c r="AT468" s="208"/>
      <c r="AU468" s="208"/>
      <c r="AV468" s="208"/>
      <c r="AW468" s="208"/>
      <c r="AX468" s="208"/>
      <c r="AY468" s="208"/>
      <c r="AZ468" s="208"/>
      <c r="BA468" s="208"/>
      <c r="BB468" s="208"/>
      <c r="BC468" s="208"/>
      <c r="BD468" s="208"/>
      <c r="BE468" s="208"/>
      <c r="BF468" s="208"/>
      <c r="BG468" s="208"/>
      <c r="BH468" s="208"/>
      <c r="BI468" s="323"/>
    </row>
    <row r="469" spans="3:61" ht="15" customHeight="1">
      <c r="C469" s="325"/>
      <c r="D469" s="326"/>
      <c r="E469" s="311"/>
      <c r="F469" s="311"/>
      <c r="G469" s="311"/>
      <c r="H469" s="311"/>
      <c r="I469" s="311"/>
      <c r="J469" s="317"/>
      <c r="K469" s="312"/>
      <c r="L469" s="312"/>
      <c r="M469" s="312"/>
      <c r="N469" s="312"/>
      <c r="O469" s="312"/>
      <c r="P469" s="318" t="str">
        <f t="shared" si="23"/>
        <v/>
      </c>
      <c r="Q469" s="205" t="str">
        <f t="shared" si="21"/>
        <v/>
      </c>
      <c r="R469" s="205"/>
      <c r="S469" s="319" t="str">
        <f t="shared" si="22"/>
        <v/>
      </c>
      <c r="U469" s="318"/>
      <c r="V469" s="794"/>
      <c r="W469" s="795"/>
      <c r="X469" s="482"/>
      <c r="Y469" s="482"/>
      <c r="Z469" s="482"/>
      <c r="AA469" s="319"/>
      <c r="AB469" s="220"/>
      <c r="AC469" s="318"/>
      <c r="AD469" s="319"/>
      <c r="AE469" s="220"/>
      <c r="AF469" s="320"/>
      <c r="AG469" s="205"/>
      <c r="AH469" s="205"/>
      <c r="AI469" s="205"/>
      <c r="AJ469" s="205"/>
      <c r="AK469" s="205"/>
      <c r="AL469" s="205"/>
      <c r="AM469" s="205"/>
      <c r="AN469" s="205"/>
      <c r="AO469" s="205"/>
      <c r="AP469" s="205"/>
      <c r="AQ469" s="205"/>
      <c r="AR469" s="205"/>
      <c r="AS469" s="205"/>
      <c r="AT469" s="205"/>
      <c r="AU469" s="205"/>
      <c r="AV469" s="205"/>
      <c r="AW469" s="205"/>
      <c r="AX469" s="205"/>
      <c r="AY469" s="205"/>
      <c r="AZ469" s="205"/>
      <c r="BA469" s="205"/>
      <c r="BB469" s="205"/>
      <c r="BC469" s="205"/>
      <c r="BD469" s="205"/>
      <c r="BE469" s="205"/>
      <c r="BF469" s="205"/>
      <c r="BG469" s="205"/>
      <c r="BH469" s="205"/>
      <c r="BI469" s="319"/>
    </row>
    <row r="470" spans="3:61" ht="15" customHeight="1">
      <c r="C470" s="325"/>
      <c r="D470" s="326"/>
      <c r="E470" s="311"/>
      <c r="F470" s="311"/>
      <c r="G470" s="311"/>
      <c r="H470" s="311"/>
      <c r="I470" s="311"/>
      <c r="J470" s="317"/>
      <c r="K470" s="312"/>
      <c r="L470" s="312"/>
      <c r="M470" s="312"/>
      <c r="N470" s="312"/>
      <c r="O470" s="312"/>
      <c r="P470" s="322" t="str">
        <f t="shared" si="23"/>
        <v/>
      </c>
      <c r="Q470" s="208" t="str">
        <f t="shared" si="21"/>
        <v/>
      </c>
      <c r="R470" s="208"/>
      <c r="S470" s="323" t="str">
        <f t="shared" si="22"/>
        <v/>
      </c>
      <c r="U470" s="322"/>
      <c r="V470" s="791"/>
      <c r="W470" s="792"/>
      <c r="X470" s="480"/>
      <c r="Y470" s="480"/>
      <c r="Z470" s="480"/>
      <c r="AA470" s="323"/>
      <c r="AB470" s="220"/>
      <c r="AC470" s="322"/>
      <c r="AD470" s="323"/>
      <c r="AE470" s="220"/>
      <c r="AF470" s="324"/>
      <c r="AG470" s="208"/>
      <c r="AH470" s="208"/>
      <c r="AI470" s="208"/>
      <c r="AJ470" s="208"/>
      <c r="AK470" s="208"/>
      <c r="AL470" s="208"/>
      <c r="AM470" s="208"/>
      <c r="AN470" s="208"/>
      <c r="AO470" s="208"/>
      <c r="AP470" s="208"/>
      <c r="AQ470" s="208"/>
      <c r="AR470" s="208"/>
      <c r="AS470" s="208"/>
      <c r="AT470" s="208"/>
      <c r="AU470" s="208"/>
      <c r="AV470" s="208"/>
      <c r="AW470" s="208"/>
      <c r="AX470" s="208"/>
      <c r="AY470" s="208"/>
      <c r="AZ470" s="208"/>
      <c r="BA470" s="208"/>
      <c r="BB470" s="208"/>
      <c r="BC470" s="208"/>
      <c r="BD470" s="208"/>
      <c r="BE470" s="208"/>
      <c r="BF470" s="208"/>
      <c r="BG470" s="208"/>
      <c r="BH470" s="208"/>
      <c r="BI470" s="323"/>
    </row>
    <row r="471" spans="3:61" ht="15" customHeight="1">
      <c r="C471" s="325"/>
      <c r="D471" s="326"/>
      <c r="E471" s="311"/>
      <c r="F471" s="311"/>
      <c r="G471" s="311"/>
      <c r="H471" s="311"/>
      <c r="I471" s="311"/>
      <c r="J471" s="317"/>
      <c r="K471" s="312"/>
      <c r="L471" s="312"/>
      <c r="M471" s="312"/>
      <c r="N471" s="312"/>
      <c r="O471" s="312"/>
      <c r="P471" s="318" t="str">
        <f t="shared" si="23"/>
        <v/>
      </c>
      <c r="Q471" s="205" t="str">
        <f t="shared" si="21"/>
        <v/>
      </c>
      <c r="R471" s="205"/>
      <c r="S471" s="319" t="str">
        <f t="shared" si="22"/>
        <v/>
      </c>
      <c r="U471" s="318"/>
      <c r="V471" s="794"/>
      <c r="W471" s="795"/>
      <c r="X471" s="482"/>
      <c r="Y471" s="482"/>
      <c r="Z471" s="482"/>
      <c r="AA471" s="319"/>
      <c r="AB471" s="220"/>
      <c r="AC471" s="318"/>
      <c r="AD471" s="319"/>
      <c r="AE471" s="220"/>
      <c r="AF471" s="320"/>
      <c r="AG471" s="205"/>
      <c r="AH471" s="205"/>
      <c r="AI471" s="205"/>
      <c r="AJ471" s="205"/>
      <c r="AK471" s="205"/>
      <c r="AL471" s="205"/>
      <c r="AM471" s="205"/>
      <c r="AN471" s="205"/>
      <c r="AO471" s="205"/>
      <c r="AP471" s="205"/>
      <c r="AQ471" s="205"/>
      <c r="AR471" s="205"/>
      <c r="AS471" s="205"/>
      <c r="AT471" s="205"/>
      <c r="AU471" s="205"/>
      <c r="AV471" s="205"/>
      <c r="AW471" s="205"/>
      <c r="AX471" s="205"/>
      <c r="AY471" s="205"/>
      <c r="AZ471" s="205"/>
      <c r="BA471" s="205"/>
      <c r="BB471" s="205"/>
      <c r="BC471" s="205"/>
      <c r="BD471" s="205"/>
      <c r="BE471" s="205"/>
      <c r="BF471" s="205"/>
      <c r="BG471" s="205"/>
      <c r="BH471" s="205"/>
      <c r="BI471" s="319"/>
    </row>
    <row r="472" spans="3:61" ht="15" customHeight="1">
      <c r="C472" s="325"/>
      <c r="D472" s="326"/>
      <c r="E472" s="311"/>
      <c r="F472" s="311"/>
      <c r="G472" s="311"/>
      <c r="H472" s="311"/>
      <c r="I472" s="311"/>
      <c r="J472" s="317"/>
      <c r="K472" s="312"/>
      <c r="L472" s="312"/>
      <c r="M472" s="312"/>
      <c r="N472" s="312"/>
      <c r="O472" s="312"/>
      <c r="P472" s="322" t="str">
        <f t="shared" si="23"/>
        <v/>
      </c>
      <c r="Q472" s="208" t="str">
        <f t="shared" si="21"/>
        <v/>
      </c>
      <c r="R472" s="208"/>
      <c r="S472" s="323" t="str">
        <f t="shared" si="22"/>
        <v/>
      </c>
      <c r="U472" s="322"/>
      <c r="V472" s="791"/>
      <c r="W472" s="792"/>
      <c r="X472" s="480"/>
      <c r="Y472" s="480"/>
      <c r="Z472" s="480"/>
      <c r="AA472" s="323"/>
      <c r="AB472" s="220"/>
      <c r="AC472" s="322"/>
      <c r="AD472" s="323"/>
      <c r="AE472" s="220"/>
      <c r="AF472" s="324"/>
      <c r="AG472" s="208"/>
      <c r="AH472" s="208"/>
      <c r="AI472" s="208"/>
      <c r="AJ472" s="208"/>
      <c r="AK472" s="208"/>
      <c r="AL472" s="208"/>
      <c r="AM472" s="208"/>
      <c r="AN472" s="208"/>
      <c r="AO472" s="208"/>
      <c r="AP472" s="208"/>
      <c r="AQ472" s="208"/>
      <c r="AR472" s="208"/>
      <c r="AS472" s="208"/>
      <c r="AT472" s="208"/>
      <c r="AU472" s="208"/>
      <c r="AV472" s="208"/>
      <c r="AW472" s="208"/>
      <c r="AX472" s="208"/>
      <c r="AY472" s="208"/>
      <c r="AZ472" s="208"/>
      <c r="BA472" s="208"/>
      <c r="BB472" s="208"/>
      <c r="BC472" s="208"/>
      <c r="BD472" s="208"/>
      <c r="BE472" s="208"/>
      <c r="BF472" s="208"/>
      <c r="BG472" s="208"/>
      <c r="BH472" s="208"/>
      <c r="BI472" s="323"/>
    </row>
    <row r="473" spans="3:61" ht="15" customHeight="1">
      <c r="C473" s="325"/>
      <c r="D473" s="326"/>
      <c r="E473" s="311"/>
      <c r="F473" s="311"/>
      <c r="G473" s="311"/>
      <c r="H473" s="311"/>
      <c r="I473" s="311"/>
      <c r="J473" s="317"/>
      <c r="K473" s="312"/>
      <c r="L473" s="312"/>
      <c r="M473" s="312"/>
      <c r="N473" s="312"/>
      <c r="O473" s="312"/>
      <c r="P473" s="318" t="str">
        <f t="shared" si="23"/>
        <v/>
      </c>
      <c r="Q473" s="205" t="str">
        <f t="shared" si="21"/>
        <v/>
      </c>
      <c r="R473" s="205"/>
      <c r="S473" s="319" t="str">
        <f t="shared" si="22"/>
        <v/>
      </c>
      <c r="U473" s="318"/>
      <c r="V473" s="794"/>
      <c r="W473" s="795"/>
      <c r="X473" s="482"/>
      <c r="Y473" s="482"/>
      <c r="Z473" s="482"/>
      <c r="AA473" s="319"/>
      <c r="AB473" s="220"/>
      <c r="AC473" s="318"/>
      <c r="AD473" s="319"/>
      <c r="AE473" s="220"/>
      <c r="AF473" s="320"/>
      <c r="AG473" s="205"/>
      <c r="AH473" s="205"/>
      <c r="AI473" s="205"/>
      <c r="AJ473" s="205"/>
      <c r="AK473" s="205"/>
      <c r="AL473" s="205"/>
      <c r="AM473" s="205"/>
      <c r="AN473" s="205"/>
      <c r="AO473" s="205"/>
      <c r="AP473" s="205"/>
      <c r="AQ473" s="205"/>
      <c r="AR473" s="205"/>
      <c r="AS473" s="205"/>
      <c r="AT473" s="205"/>
      <c r="AU473" s="205"/>
      <c r="AV473" s="205"/>
      <c r="AW473" s="205"/>
      <c r="AX473" s="205"/>
      <c r="AY473" s="205"/>
      <c r="AZ473" s="205"/>
      <c r="BA473" s="205"/>
      <c r="BB473" s="205"/>
      <c r="BC473" s="205"/>
      <c r="BD473" s="205"/>
      <c r="BE473" s="205"/>
      <c r="BF473" s="205"/>
      <c r="BG473" s="205"/>
      <c r="BH473" s="205"/>
      <c r="BI473" s="319"/>
    </row>
    <row r="474" spans="3:61" ht="15" customHeight="1">
      <c r="C474" s="325"/>
      <c r="D474" s="326"/>
      <c r="E474" s="311"/>
      <c r="F474" s="311"/>
      <c r="G474" s="311"/>
      <c r="H474" s="311"/>
      <c r="I474" s="311"/>
      <c r="J474" s="317"/>
      <c r="K474" s="312"/>
      <c r="L474" s="312"/>
      <c r="M474" s="312"/>
      <c r="N474" s="312"/>
      <c r="O474" s="312"/>
      <c r="P474" s="322" t="str">
        <f t="shared" si="23"/>
        <v/>
      </c>
      <c r="Q474" s="208" t="str">
        <f t="shared" si="21"/>
        <v/>
      </c>
      <c r="R474" s="208"/>
      <c r="S474" s="323" t="str">
        <f t="shared" si="22"/>
        <v/>
      </c>
      <c r="U474" s="322"/>
      <c r="V474" s="791"/>
      <c r="W474" s="792"/>
      <c r="X474" s="480"/>
      <c r="Y474" s="480"/>
      <c r="Z474" s="480"/>
      <c r="AA474" s="323"/>
      <c r="AB474" s="220"/>
      <c r="AC474" s="322"/>
      <c r="AD474" s="323"/>
      <c r="AE474" s="220"/>
      <c r="AF474" s="324"/>
      <c r="AG474" s="208"/>
      <c r="AH474" s="208"/>
      <c r="AI474" s="208"/>
      <c r="AJ474" s="208"/>
      <c r="AK474" s="208"/>
      <c r="AL474" s="208"/>
      <c r="AM474" s="208"/>
      <c r="AN474" s="208"/>
      <c r="AO474" s="208"/>
      <c r="AP474" s="208"/>
      <c r="AQ474" s="208"/>
      <c r="AR474" s="208"/>
      <c r="AS474" s="208"/>
      <c r="AT474" s="208"/>
      <c r="AU474" s="208"/>
      <c r="AV474" s="208"/>
      <c r="AW474" s="208"/>
      <c r="AX474" s="208"/>
      <c r="AY474" s="208"/>
      <c r="AZ474" s="208"/>
      <c r="BA474" s="208"/>
      <c r="BB474" s="208"/>
      <c r="BC474" s="208"/>
      <c r="BD474" s="208"/>
      <c r="BE474" s="208"/>
      <c r="BF474" s="208"/>
      <c r="BG474" s="208"/>
      <c r="BH474" s="208"/>
      <c r="BI474" s="323"/>
    </row>
    <row r="475" spans="3:61" ht="15" customHeight="1">
      <c r="C475" s="325"/>
      <c r="D475" s="326"/>
      <c r="E475" s="311"/>
      <c r="F475" s="311"/>
      <c r="G475" s="311"/>
      <c r="H475" s="311"/>
      <c r="I475" s="311"/>
      <c r="J475" s="317"/>
      <c r="K475" s="312"/>
      <c r="L475" s="312"/>
      <c r="M475" s="312"/>
      <c r="N475" s="312"/>
      <c r="O475" s="312"/>
      <c r="P475" s="318" t="str">
        <f t="shared" si="23"/>
        <v/>
      </c>
      <c r="Q475" s="205" t="str">
        <f t="shared" si="21"/>
        <v/>
      </c>
      <c r="R475" s="205"/>
      <c r="S475" s="319" t="str">
        <f t="shared" si="22"/>
        <v/>
      </c>
      <c r="U475" s="318"/>
      <c r="V475" s="794"/>
      <c r="W475" s="795"/>
      <c r="X475" s="482"/>
      <c r="Y475" s="482"/>
      <c r="Z475" s="482"/>
      <c r="AA475" s="319"/>
      <c r="AB475" s="220"/>
      <c r="AC475" s="318"/>
      <c r="AD475" s="319"/>
      <c r="AE475" s="220"/>
      <c r="AF475" s="320"/>
      <c r="AG475" s="205"/>
      <c r="AH475" s="205"/>
      <c r="AI475" s="205"/>
      <c r="AJ475" s="205"/>
      <c r="AK475" s="205"/>
      <c r="AL475" s="205"/>
      <c r="AM475" s="205"/>
      <c r="AN475" s="205"/>
      <c r="AO475" s="205"/>
      <c r="AP475" s="205"/>
      <c r="AQ475" s="205"/>
      <c r="AR475" s="205"/>
      <c r="AS475" s="205"/>
      <c r="AT475" s="205"/>
      <c r="AU475" s="205"/>
      <c r="AV475" s="205"/>
      <c r="AW475" s="205"/>
      <c r="AX475" s="205"/>
      <c r="AY475" s="205"/>
      <c r="AZ475" s="205"/>
      <c r="BA475" s="205"/>
      <c r="BB475" s="205"/>
      <c r="BC475" s="205"/>
      <c r="BD475" s="205"/>
      <c r="BE475" s="205"/>
      <c r="BF475" s="205"/>
      <c r="BG475" s="205"/>
      <c r="BH475" s="205"/>
      <c r="BI475" s="319"/>
    </row>
    <row r="476" spans="3:61" ht="15" customHeight="1">
      <c r="C476" s="325"/>
      <c r="D476" s="326"/>
      <c r="E476" s="311"/>
      <c r="F476" s="311"/>
      <c r="G476" s="311"/>
      <c r="H476" s="311"/>
      <c r="I476" s="311"/>
      <c r="J476" s="317"/>
      <c r="K476" s="312"/>
      <c r="L476" s="312"/>
      <c r="M476" s="312"/>
      <c r="N476" s="312"/>
      <c r="O476" s="312"/>
      <c r="P476" s="322" t="str">
        <f t="shared" si="23"/>
        <v/>
      </c>
      <c r="Q476" s="208" t="str">
        <f t="shared" si="21"/>
        <v/>
      </c>
      <c r="R476" s="208"/>
      <c r="S476" s="323" t="str">
        <f t="shared" si="22"/>
        <v/>
      </c>
      <c r="U476" s="322"/>
      <c r="V476" s="791"/>
      <c r="W476" s="792"/>
      <c r="X476" s="480"/>
      <c r="Y476" s="480"/>
      <c r="Z476" s="480"/>
      <c r="AA476" s="323"/>
      <c r="AB476" s="220"/>
      <c r="AC476" s="322"/>
      <c r="AD476" s="323"/>
      <c r="AE476" s="220"/>
      <c r="AF476" s="324"/>
      <c r="AG476" s="208"/>
      <c r="AH476" s="208"/>
      <c r="AI476" s="208"/>
      <c r="AJ476" s="208"/>
      <c r="AK476" s="208"/>
      <c r="AL476" s="208"/>
      <c r="AM476" s="208"/>
      <c r="AN476" s="208"/>
      <c r="AO476" s="208"/>
      <c r="AP476" s="208"/>
      <c r="AQ476" s="208"/>
      <c r="AR476" s="208"/>
      <c r="AS476" s="208"/>
      <c r="AT476" s="208"/>
      <c r="AU476" s="208"/>
      <c r="AV476" s="208"/>
      <c r="AW476" s="208"/>
      <c r="AX476" s="208"/>
      <c r="AY476" s="208"/>
      <c r="AZ476" s="208"/>
      <c r="BA476" s="208"/>
      <c r="BB476" s="208"/>
      <c r="BC476" s="208"/>
      <c r="BD476" s="208"/>
      <c r="BE476" s="208"/>
      <c r="BF476" s="208"/>
      <c r="BG476" s="208"/>
      <c r="BH476" s="208"/>
      <c r="BI476" s="323"/>
    </row>
    <row r="477" spans="3:61" ht="15" customHeight="1">
      <c r="C477" s="325"/>
      <c r="D477" s="326"/>
      <c r="E477" s="311"/>
      <c r="F477" s="311"/>
      <c r="G477" s="311"/>
      <c r="H477" s="311"/>
      <c r="I477" s="311"/>
      <c r="J477" s="317"/>
      <c r="K477" s="312"/>
      <c r="L477" s="312"/>
      <c r="M477" s="312"/>
      <c r="N477" s="312"/>
      <c r="O477" s="312"/>
      <c r="P477" s="318" t="str">
        <f t="shared" si="23"/>
        <v/>
      </c>
      <c r="Q477" s="205" t="str">
        <f t="shared" si="21"/>
        <v/>
      </c>
      <c r="R477" s="205"/>
      <c r="S477" s="319" t="str">
        <f t="shared" si="22"/>
        <v/>
      </c>
      <c r="U477" s="318"/>
      <c r="V477" s="794"/>
      <c r="W477" s="795"/>
      <c r="X477" s="482"/>
      <c r="Y477" s="482"/>
      <c r="Z477" s="482"/>
      <c r="AA477" s="319"/>
      <c r="AB477" s="220"/>
      <c r="AC477" s="318"/>
      <c r="AD477" s="319"/>
      <c r="AE477" s="220"/>
      <c r="AF477" s="320"/>
      <c r="AG477" s="205"/>
      <c r="AH477" s="205"/>
      <c r="AI477" s="205"/>
      <c r="AJ477" s="205"/>
      <c r="AK477" s="205"/>
      <c r="AL477" s="205"/>
      <c r="AM477" s="205"/>
      <c r="AN477" s="205"/>
      <c r="AO477" s="205"/>
      <c r="AP477" s="205"/>
      <c r="AQ477" s="205"/>
      <c r="AR477" s="205"/>
      <c r="AS477" s="205"/>
      <c r="AT477" s="205"/>
      <c r="AU477" s="205"/>
      <c r="AV477" s="205"/>
      <c r="AW477" s="205"/>
      <c r="AX477" s="205"/>
      <c r="AY477" s="205"/>
      <c r="AZ477" s="205"/>
      <c r="BA477" s="205"/>
      <c r="BB477" s="205"/>
      <c r="BC477" s="205"/>
      <c r="BD477" s="205"/>
      <c r="BE477" s="205"/>
      <c r="BF477" s="205"/>
      <c r="BG477" s="205"/>
      <c r="BH477" s="205"/>
      <c r="BI477" s="319"/>
    </row>
    <row r="478" spans="3:61" ht="15" customHeight="1">
      <c r="C478" s="325"/>
      <c r="D478" s="326"/>
      <c r="E478" s="311"/>
      <c r="F478" s="311"/>
      <c r="G478" s="311"/>
      <c r="H478" s="311"/>
      <c r="I478" s="311"/>
      <c r="J478" s="317"/>
      <c r="K478" s="312"/>
      <c r="L478" s="312"/>
      <c r="M478" s="312"/>
      <c r="N478" s="312"/>
      <c r="O478" s="312"/>
      <c r="P478" s="322" t="str">
        <f t="shared" si="23"/>
        <v/>
      </c>
      <c r="Q478" s="208" t="str">
        <f t="shared" si="21"/>
        <v/>
      </c>
      <c r="R478" s="208"/>
      <c r="S478" s="323" t="str">
        <f t="shared" si="22"/>
        <v/>
      </c>
      <c r="U478" s="322"/>
      <c r="V478" s="791"/>
      <c r="W478" s="792"/>
      <c r="X478" s="480"/>
      <c r="Y478" s="480"/>
      <c r="Z478" s="480"/>
      <c r="AA478" s="323"/>
      <c r="AB478" s="220"/>
      <c r="AC478" s="322"/>
      <c r="AD478" s="323"/>
      <c r="AE478" s="220"/>
      <c r="AF478" s="324"/>
      <c r="AG478" s="208"/>
      <c r="AH478" s="208"/>
      <c r="AI478" s="208"/>
      <c r="AJ478" s="208"/>
      <c r="AK478" s="208"/>
      <c r="AL478" s="208"/>
      <c r="AM478" s="208"/>
      <c r="AN478" s="208"/>
      <c r="AO478" s="208"/>
      <c r="AP478" s="208"/>
      <c r="AQ478" s="208"/>
      <c r="AR478" s="208"/>
      <c r="AS478" s="208"/>
      <c r="AT478" s="208"/>
      <c r="AU478" s="208"/>
      <c r="AV478" s="208"/>
      <c r="AW478" s="208"/>
      <c r="AX478" s="208"/>
      <c r="AY478" s="208"/>
      <c r="AZ478" s="208"/>
      <c r="BA478" s="208"/>
      <c r="BB478" s="208"/>
      <c r="BC478" s="208"/>
      <c r="BD478" s="208"/>
      <c r="BE478" s="208"/>
      <c r="BF478" s="208"/>
      <c r="BG478" s="208"/>
      <c r="BH478" s="208"/>
      <c r="BI478" s="323"/>
    </row>
    <row r="479" spans="3:61" ht="15" customHeight="1">
      <c r="C479" s="325"/>
      <c r="D479" s="326"/>
      <c r="E479" s="311"/>
      <c r="F479" s="311"/>
      <c r="G479" s="311"/>
      <c r="H479" s="311"/>
      <c r="I479" s="311"/>
      <c r="J479" s="317"/>
      <c r="K479" s="312"/>
      <c r="L479" s="312"/>
      <c r="M479" s="312"/>
      <c r="N479" s="312"/>
      <c r="O479" s="312"/>
      <c r="P479" s="318" t="str">
        <f t="shared" si="23"/>
        <v/>
      </c>
      <c r="Q479" s="205" t="str">
        <f t="shared" si="21"/>
        <v/>
      </c>
      <c r="R479" s="205"/>
      <c r="S479" s="319" t="str">
        <f t="shared" si="22"/>
        <v/>
      </c>
      <c r="U479" s="318"/>
      <c r="V479" s="794"/>
      <c r="W479" s="795"/>
      <c r="X479" s="482"/>
      <c r="Y479" s="482"/>
      <c r="Z479" s="482"/>
      <c r="AA479" s="319"/>
      <c r="AB479" s="220"/>
      <c r="AC479" s="318"/>
      <c r="AD479" s="319"/>
      <c r="AE479" s="220"/>
      <c r="AF479" s="320"/>
      <c r="AG479" s="205"/>
      <c r="AH479" s="205"/>
      <c r="AI479" s="205"/>
      <c r="AJ479" s="205"/>
      <c r="AK479" s="205"/>
      <c r="AL479" s="205"/>
      <c r="AM479" s="205"/>
      <c r="AN479" s="205"/>
      <c r="AO479" s="205"/>
      <c r="AP479" s="205"/>
      <c r="AQ479" s="205"/>
      <c r="AR479" s="205"/>
      <c r="AS479" s="205"/>
      <c r="AT479" s="205"/>
      <c r="AU479" s="205"/>
      <c r="AV479" s="205"/>
      <c r="AW479" s="205"/>
      <c r="AX479" s="205"/>
      <c r="AY479" s="205"/>
      <c r="AZ479" s="205"/>
      <c r="BA479" s="205"/>
      <c r="BB479" s="205"/>
      <c r="BC479" s="205"/>
      <c r="BD479" s="205"/>
      <c r="BE479" s="205"/>
      <c r="BF479" s="205"/>
      <c r="BG479" s="205"/>
      <c r="BH479" s="205"/>
      <c r="BI479" s="319"/>
    </row>
    <row r="480" spans="3:61" ht="15" customHeight="1">
      <c r="C480" s="325"/>
      <c r="D480" s="326"/>
      <c r="E480" s="311"/>
      <c r="F480" s="311"/>
      <c r="G480" s="311"/>
      <c r="H480" s="311"/>
      <c r="I480" s="311"/>
      <c r="J480" s="317"/>
      <c r="K480" s="312"/>
      <c r="L480" s="312"/>
      <c r="M480" s="312"/>
      <c r="N480" s="312"/>
      <c r="O480" s="312"/>
      <c r="P480" s="322" t="str">
        <f t="shared" si="23"/>
        <v/>
      </c>
      <c r="Q480" s="208" t="str">
        <f t="shared" si="21"/>
        <v/>
      </c>
      <c r="R480" s="208"/>
      <c r="S480" s="323" t="str">
        <f t="shared" si="22"/>
        <v/>
      </c>
      <c r="U480" s="322"/>
      <c r="V480" s="791"/>
      <c r="W480" s="792"/>
      <c r="X480" s="480"/>
      <c r="Y480" s="480"/>
      <c r="Z480" s="480"/>
      <c r="AA480" s="323"/>
      <c r="AB480" s="220"/>
      <c r="AC480" s="322"/>
      <c r="AD480" s="323"/>
      <c r="AE480" s="220"/>
      <c r="AF480" s="324"/>
      <c r="AG480" s="208"/>
      <c r="AH480" s="208"/>
      <c r="AI480" s="208"/>
      <c r="AJ480" s="208"/>
      <c r="AK480" s="208"/>
      <c r="AL480" s="208"/>
      <c r="AM480" s="208"/>
      <c r="AN480" s="208"/>
      <c r="AO480" s="208"/>
      <c r="AP480" s="208"/>
      <c r="AQ480" s="208"/>
      <c r="AR480" s="208"/>
      <c r="AS480" s="208"/>
      <c r="AT480" s="208"/>
      <c r="AU480" s="208"/>
      <c r="AV480" s="208"/>
      <c r="AW480" s="208"/>
      <c r="AX480" s="208"/>
      <c r="AY480" s="208"/>
      <c r="AZ480" s="208"/>
      <c r="BA480" s="208"/>
      <c r="BB480" s="208"/>
      <c r="BC480" s="208"/>
      <c r="BD480" s="208"/>
      <c r="BE480" s="208"/>
      <c r="BF480" s="208"/>
      <c r="BG480" s="208"/>
      <c r="BH480" s="208"/>
      <c r="BI480" s="323"/>
    </row>
    <row r="481" spans="3:61" ht="15" customHeight="1">
      <c r="C481" s="325"/>
      <c r="D481" s="326"/>
      <c r="E481" s="311"/>
      <c r="F481" s="311"/>
      <c r="G481" s="311"/>
      <c r="H481" s="311"/>
      <c r="I481" s="311"/>
      <c r="J481" s="317"/>
      <c r="K481" s="312"/>
      <c r="L481" s="312"/>
      <c r="M481" s="312"/>
      <c r="N481" s="312"/>
      <c r="O481" s="312"/>
      <c r="P481" s="318" t="str">
        <f t="shared" si="23"/>
        <v/>
      </c>
      <c r="Q481" s="205" t="str">
        <f t="shared" si="21"/>
        <v/>
      </c>
      <c r="R481" s="205"/>
      <c r="S481" s="319" t="str">
        <f t="shared" si="22"/>
        <v/>
      </c>
      <c r="U481" s="318"/>
      <c r="V481" s="794"/>
      <c r="W481" s="795"/>
      <c r="X481" s="482"/>
      <c r="Y481" s="482"/>
      <c r="Z481" s="482"/>
      <c r="AA481" s="319"/>
      <c r="AB481" s="220"/>
      <c r="AC481" s="318"/>
      <c r="AD481" s="319"/>
      <c r="AE481" s="220"/>
      <c r="AF481" s="320"/>
      <c r="AG481" s="205"/>
      <c r="AH481" s="205"/>
      <c r="AI481" s="205"/>
      <c r="AJ481" s="205"/>
      <c r="AK481" s="205"/>
      <c r="AL481" s="205"/>
      <c r="AM481" s="205"/>
      <c r="AN481" s="205"/>
      <c r="AO481" s="205"/>
      <c r="AP481" s="205"/>
      <c r="AQ481" s="205"/>
      <c r="AR481" s="205"/>
      <c r="AS481" s="205"/>
      <c r="AT481" s="205"/>
      <c r="AU481" s="205"/>
      <c r="AV481" s="205"/>
      <c r="AW481" s="205"/>
      <c r="AX481" s="205"/>
      <c r="AY481" s="205"/>
      <c r="AZ481" s="205"/>
      <c r="BA481" s="205"/>
      <c r="BB481" s="205"/>
      <c r="BC481" s="205"/>
      <c r="BD481" s="205"/>
      <c r="BE481" s="205"/>
      <c r="BF481" s="205"/>
      <c r="BG481" s="205"/>
      <c r="BH481" s="205"/>
      <c r="BI481" s="319"/>
    </row>
    <row r="482" spans="3:61" ht="15" customHeight="1">
      <c r="C482" s="325"/>
      <c r="D482" s="326"/>
      <c r="E482" s="311"/>
      <c r="F482" s="311"/>
      <c r="G482" s="311"/>
      <c r="H482" s="311"/>
      <c r="I482" s="311"/>
      <c r="J482" s="317"/>
      <c r="K482" s="312"/>
      <c r="L482" s="312"/>
      <c r="M482" s="312"/>
      <c r="N482" s="312"/>
      <c r="O482" s="312"/>
      <c r="P482" s="322" t="str">
        <f t="shared" si="23"/>
        <v/>
      </c>
      <c r="Q482" s="208" t="str">
        <f t="shared" si="21"/>
        <v/>
      </c>
      <c r="R482" s="208"/>
      <c r="S482" s="323" t="str">
        <f t="shared" si="22"/>
        <v/>
      </c>
      <c r="U482" s="322"/>
      <c r="V482" s="791"/>
      <c r="W482" s="792"/>
      <c r="X482" s="480"/>
      <c r="Y482" s="480"/>
      <c r="Z482" s="480"/>
      <c r="AA482" s="323"/>
      <c r="AB482" s="220"/>
      <c r="AC482" s="322"/>
      <c r="AD482" s="323"/>
      <c r="AE482" s="220"/>
      <c r="AF482" s="324"/>
      <c r="AG482" s="208"/>
      <c r="AH482" s="208"/>
      <c r="AI482" s="208"/>
      <c r="AJ482" s="208"/>
      <c r="AK482" s="208"/>
      <c r="AL482" s="208"/>
      <c r="AM482" s="208"/>
      <c r="AN482" s="208"/>
      <c r="AO482" s="208"/>
      <c r="AP482" s="208"/>
      <c r="AQ482" s="208"/>
      <c r="AR482" s="208"/>
      <c r="AS482" s="208"/>
      <c r="AT482" s="208"/>
      <c r="AU482" s="208"/>
      <c r="AV482" s="208"/>
      <c r="AW482" s="208"/>
      <c r="AX482" s="208"/>
      <c r="AY482" s="208"/>
      <c r="AZ482" s="208"/>
      <c r="BA482" s="208"/>
      <c r="BB482" s="208"/>
      <c r="BC482" s="208"/>
      <c r="BD482" s="208"/>
      <c r="BE482" s="208"/>
      <c r="BF482" s="208"/>
      <c r="BG482" s="208"/>
      <c r="BH482" s="208"/>
      <c r="BI482" s="323"/>
    </row>
    <row r="483" spans="3:61" ht="15" customHeight="1">
      <c r="C483" s="325"/>
      <c r="D483" s="326"/>
      <c r="E483" s="311"/>
      <c r="F483" s="311"/>
      <c r="G483" s="311"/>
      <c r="H483" s="311"/>
      <c r="I483" s="311"/>
      <c r="J483" s="317"/>
      <c r="K483" s="312"/>
      <c r="L483" s="312"/>
      <c r="M483" s="312"/>
      <c r="N483" s="312"/>
      <c r="O483" s="312"/>
      <c r="P483" s="318" t="str">
        <f t="shared" si="23"/>
        <v/>
      </c>
      <c r="Q483" s="205" t="str">
        <f t="shared" si="21"/>
        <v/>
      </c>
      <c r="R483" s="205"/>
      <c r="S483" s="319" t="str">
        <f t="shared" si="22"/>
        <v/>
      </c>
      <c r="U483" s="318"/>
      <c r="V483" s="794"/>
      <c r="W483" s="795"/>
      <c r="X483" s="482"/>
      <c r="Y483" s="482"/>
      <c r="Z483" s="482"/>
      <c r="AA483" s="319"/>
      <c r="AB483" s="220"/>
      <c r="AC483" s="318"/>
      <c r="AD483" s="319"/>
      <c r="AE483" s="220"/>
      <c r="AF483" s="320"/>
      <c r="AG483" s="205"/>
      <c r="AH483" s="205"/>
      <c r="AI483" s="205"/>
      <c r="AJ483" s="205"/>
      <c r="AK483" s="205"/>
      <c r="AL483" s="205"/>
      <c r="AM483" s="205"/>
      <c r="AN483" s="205"/>
      <c r="AO483" s="205"/>
      <c r="AP483" s="205"/>
      <c r="AQ483" s="205"/>
      <c r="AR483" s="205"/>
      <c r="AS483" s="205"/>
      <c r="AT483" s="205"/>
      <c r="AU483" s="205"/>
      <c r="AV483" s="205"/>
      <c r="AW483" s="205"/>
      <c r="AX483" s="205"/>
      <c r="AY483" s="205"/>
      <c r="AZ483" s="205"/>
      <c r="BA483" s="205"/>
      <c r="BB483" s="205"/>
      <c r="BC483" s="205"/>
      <c r="BD483" s="205"/>
      <c r="BE483" s="205"/>
      <c r="BF483" s="205"/>
      <c r="BG483" s="205"/>
      <c r="BH483" s="205"/>
      <c r="BI483" s="319"/>
    </row>
    <row r="484" spans="3:61" ht="15" customHeight="1">
      <c r="C484" s="325"/>
      <c r="D484" s="326"/>
      <c r="E484" s="311"/>
      <c r="F484" s="311"/>
      <c r="G484" s="311"/>
      <c r="H484" s="311"/>
      <c r="I484" s="311"/>
      <c r="J484" s="317"/>
      <c r="K484" s="312"/>
      <c r="L484" s="312"/>
      <c r="M484" s="312"/>
      <c r="N484" s="312"/>
      <c r="O484" s="312"/>
      <c r="P484" s="322" t="str">
        <f t="shared" si="23"/>
        <v/>
      </c>
      <c r="Q484" s="208" t="str">
        <f t="shared" si="21"/>
        <v/>
      </c>
      <c r="R484" s="208"/>
      <c r="S484" s="323" t="str">
        <f t="shared" si="22"/>
        <v/>
      </c>
      <c r="U484" s="322"/>
      <c r="V484" s="791"/>
      <c r="W484" s="792"/>
      <c r="X484" s="480"/>
      <c r="Y484" s="480"/>
      <c r="Z484" s="480"/>
      <c r="AA484" s="323"/>
      <c r="AB484" s="220"/>
      <c r="AC484" s="322"/>
      <c r="AD484" s="323"/>
      <c r="AE484" s="220"/>
      <c r="AF484" s="324"/>
      <c r="AG484" s="208"/>
      <c r="AH484" s="208"/>
      <c r="AI484" s="208"/>
      <c r="AJ484" s="208"/>
      <c r="AK484" s="208"/>
      <c r="AL484" s="208"/>
      <c r="AM484" s="208"/>
      <c r="AN484" s="208"/>
      <c r="AO484" s="208"/>
      <c r="AP484" s="208"/>
      <c r="AQ484" s="208"/>
      <c r="AR484" s="208"/>
      <c r="AS484" s="208"/>
      <c r="AT484" s="208"/>
      <c r="AU484" s="208"/>
      <c r="AV484" s="208"/>
      <c r="AW484" s="208"/>
      <c r="AX484" s="208"/>
      <c r="AY484" s="208"/>
      <c r="AZ484" s="208"/>
      <c r="BA484" s="208"/>
      <c r="BB484" s="208"/>
      <c r="BC484" s="208"/>
      <c r="BD484" s="208"/>
      <c r="BE484" s="208"/>
      <c r="BF484" s="208"/>
      <c r="BG484" s="208"/>
      <c r="BH484" s="208"/>
      <c r="BI484" s="323"/>
    </row>
    <row r="485" spans="3:61" ht="15" customHeight="1">
      <c r="C485" s="325"/>
      <c r="D485" s="326"/>
      <c r="E485" s="311"/>
      <c r="F485" s="311"/>
      <c r="G485" s="311"/>
      <c r="H485" s="311"/>
      <c r="I485" s="311"/>
      <c r="J485" s="317"/>
      <c r="K485" s="312"/>
      <c r="L485" s="312"/>
      <c r="M485" s="312"/>
      <c r="N485" s="312"/>
      <c r="O485" s="312"/>
      <c r="P485" s="318" t="str">
        <f t="shared" si="23"/>
        <v/>
      </c>
      <c r="Q485" s="205" t="str">
        <f t="shared" si="21"/>
        <v/>
      </c>
      <c r="R485" s="205"/>
      <c r="S485" s="319" t="str">
        <f t="shared" si="22"/>
        <v/>
      </c>
      <c r="U485" s="318"/>
      <c r="V485" s="794"/>
      <c r="W485" s="795"/>
      <c r="X485" s="482"/>
      <c r="Y485" s="482"/>
      <c r="Z485" s="482"/>
      <c r="AA485" s="319"/>
      <c r="AB485" s="220"/>
      <c r="AC485" s="318"/>
      <c r="AD485" s="319"/>
      <c r="AE485" s="220"/>
      <c r="AF485" s="320"/>
      <c r="AG485" s="205"/>
      <c r="AH485" s="205"/>
      <c r="AI485" s="205"/>
      <c r="AJ485" s="205"/>
      <c r="AK485" s="205"/>
      <c r="AL485" s="205"/>
      <c r="AM485" s="205"/>
      <c r="AN485" s="205"/>
      <c r="AO485" s="205"/>
      <c r="AP485" s="205"/>
      <c r="AQ485" s="205"/>
      <c r="AR485" s="205"/>
      <c r="AS485" s="205"/>
      <c r="AT485" s="205"/>
      <c r="AU485" s="205"/>
      <c r="AV485" s="205"/>
      <c r="AW485" s="205"/>
      <c r="AX485" s="205"/>
      <c r="AY485" s="205"/>
      <c r="AZ485" s="205"/>
      <c r="BA485" s="205"/>
      <c r="BB485" s="205"/>
      <c r="BC485" s="205"/>
      <c r="BD485" s="205"/>
      <c r="BE485" s="205"/>
      <c r="BF485" s="205"/>
      <c r="BG485" s="205"/>
      <c r="BH485" s="205"/>
      <c r="BI485" s="319"/>
    </row>
    <row r="486" spans="3:61" ht="15" customHeight="1">
      <c r="C486" s="325"/>
      <c r="D486" s="326"/>
      <c r="E486" s="311"/>
      <c r="F486" s="311"/>
      <c r="G486" s="311"/>
      <c r="H486" s="311"/>
      <c r="I486" s="311"/>
      <c r="J486" s="317"/>
      <c r="K486" s="312"/>
      <c r="L486" s="312"/>
      <c r="M486" s="312"/>
      <c r="N486" s="312"/>
      <c r="O486" s="312"/>
      <c r="P486" s="322" t="str">
        <f t="shared" si="23"/>
        <v/>
      </c>
      <c r="Q486" s="208" t="str">
        <f t="shared" si="21"/>
        <v/>
      </c>
      <c r="R486" s="208"/>
      <c r="S486" s="323" t="str">
        <f t="shared" si="22"/>
        <v/>
      </c>
      <c r="U486" s="322"/>
      <c r="V486" s="791"/>
      <c r="W486" s="792"/>
      <c r="X486" s="480"/>
      <c r="Y486" s="480"/>
      <c r="Z486" s="480"/>
      <c r="AA486" s="323"/>
      <c r="AB486" s="220"/>
      <c r="AC486" s="322"/>
      <c r="AD486" s="323"/>
      <c r="AE486" s="220"/>
      <c r="AF486" s="324"/>
      <c r="AG486" s="208"/>
      <c r="AH486" s="208"/>
      <c r="AI486" s="208"/>
      <c r="AJ486" s="208"/>
      <c r="AK486" s="208"/>
      <c r="AL486" s="208"/>
      <c r="AM486" s="208"/>
      <c r="AN486" s="208"/>
      <c r="AO486" s="208"/>
      <c r="AP486" s="208"/>
      <c r="AQ486" s="208"/>
      <c r="AR486" s="208"/>
      <c r="AS486" s="208"/>
      <c r="AT486" s="208"/>
      <c r="AU486" s="208"/>
      <c r="AV486" s="208"/>
      <c r="AW486" s="208"/>
      <c r="AX486" s="208"/>
      <c r="AY486" s="208"/>
      <c r="AZ486" s="208"/>
      <c r="BA486" s="208"/>
      <c r="BB486" s="208"/>
      <c r="BC486" s="208"/>
      <c r="BD486" s="208"/>
      <c r="BE486" s="208"/>
      <c r="BF486" s="208"/>
      <c r="BG486" s="208"/>
      <c r="BH486" s="208"/>
      <c r="BI486" s="323"/>
    </row>
    <row r="487" spans="3:61" ht="15" customHeight="1">
      <c r="C487" s="325"/>
      <c r="D487" s="326"/>
      <c r="E487" s="311"/>
      <c r="F487" s="311"/>
      <c r="G487" s="311"/>
      <c r="H487" s="311"/>
      <c r="I487" s="311"/>
      <c r="J487" s="317"/>
      <c r="K487" s="312"/>
      <c r="L487" s="312"/>
      <c r="M487" s="312"/>
      <c r="N487" s="312"/>
      <c r="O487" s="312"/>
      <c r="P487" s="318" t="str">
        <f t="shared" si="23"/>
        <v/>
      </c>
      <c r="Q487" s="205" t="str">
        <f t="shared" si="21"/>
        <v/>
      </c>
      <c r="R487" s="205"/>
      <c r="S487" s="319" t="str">
        <f t="shared" si="22"/>
        <v/>
      </c>
      <c r="U487" s="318"/>
      <c r="V487" s="794"/>
      <c r="W487" s="795"/>
      <c r="X487" s="482"/>
      <c r="Y487" s="482"/>
      <c r="Z487" s="482"/>
      <c r="AA487" s="319"/>
      <c r="AB487" s="220"/>
      <c r="AC487" s="318"/>
      <c r="AD487" s="319"/>
      <c r="AE487" s="220"/>
      <c r="AF487" s="320"/>
      <c r="AG487" s="205"/>
      <c r="AH487" s="205"/>
      <c r="AI487" s="205"/>
      <c r="AJ487" s="205"/>
      <c r="AK487" s="205"/>
      <c r="AL487" s="205"/>
      <c r="AM487" s="205"/>
      <c r="AN487" s="205"/>
      <c r="AO487" s="205"/>
      <c r="AP487" s="205"/>
      <c r="AQ487" s="205"/>
      <c r="AR487" s="205"/>
      <c r="AS487" s="205"/>
      <c r="AT487" s="205"/>
      <c r="AU487" s="205"/>
      <c r="AV487" s="205"/>
      <c r="AW487" s="205"/>
      <c r="AX487" s="205"/>
      <c r="AY487" s="205"/>
      <c r="AZ487" s="205"/>
      <c r="BA487" s="205"/>
      <c r="BB487" s="205"/>
      <c r="BC487" s="205"/>
      <c r="BD487" s="205"/>
      <c r="BE487" s="205"/>
      <c r="BF487" s="205"/>
      <c r="BG487" s="205"/>
      <c r="BH487" s="205"/>
      <c r="BI487" s="319"/>
    </row>
    <row r="488" spans="3:61" ht="15" customHeight="1">
      <c r="C488" s="325"/>
      <c r="D488" s="326"/>
      <c r="E488" s="311"/>
      <c r="F488" s="311"/>
      <c r="G488" s="311"/>
      <c r="H488" s="311"/>
      <c r="I488" s="311"/>
      <c r="J488" s="317"/>
      <c r="K488" s="312"/>
      <c r="L488" s="312"/>
      <c r="M488" s="312"/>
      <c r="N488" s="312"/>
      <c r="O488" s="312"/>
      <c r="P488" s="322" t="str">
        <f t="shared" si="23"/>
        <v/>
      </c>
      <c r="Q488" s="208" t="str">
        <f t="shared" si="21"/>
        <v/>
      </c>
      <c r="R488" s="208"/>
      <c r="S488" s="323" t="str">
        <f t="shared" si="22"/>
        <v/>
      </c>
      <c r="U488" s="322"/>
      <c r="V488" s="791"/>
      <c r="W488" s="792"/>
      <c r="X488" s="480"/>
      <c r="Y488" s="480"/>
      <c r="Z488" s="480"/>
      <c r="AA488" s="323"/>
      <c r="AB488" s="220"/>
      <c r="AC488" s="322"/>
      <c r="AD488" s="323"/>
      <c r="AE488" s="220"/>
      <c r="AF488" s="324"/>
      <c r="AG488" s="208"/>
      <c r="AH488" s="208"/>
      <c r="AI488" s="208"/>
      <c r="AJ488" s="208"/>
      <c r="AK488" s="208"/>
      <c r="AL488" s="208"/>
      <c r="AM488" s="208"/>
      <c r="AN488" s="208"/>
      <c r="AO488" s="208"/>
      <c r="AP488" s="208"/>
      <c r="AQ488" s="208"/>
      <c r="AR488" s="208"/>
      <c r="AS488" s="208"/>
      <c r="AT488" s="208"/>
      <c r="AU488" s="208"/>
      <c r="AV488" s="208"/>
      <c r="AW488" s="208"/>
      <c r="AX488" s="208"/>
      <c r="AY488" s="208"/>
      <c r="AZ488" s="208"/>
      <c r="BA488" s="208"/>
      <c r="BB488" s="208"/>
      <c r="BC488" s="208"/>
      <c r="BD488" s="208"/>
      <c r="BE488" s="208"/>
      <c r="BF488" s="208"/>
      <c r="BG488" s="208"/>
      <c r="BH488" s="208"/>
      <c r="BI488" s="323"/>
    </row>
    <row r="489" spans="3:61" ht="15" customHeight="1">
      <c r="C489" s="325"/>
      <c r="D489" s="326"/>
      <c r="E489" s="311"/>
      <c r="F489" s="311"/>
      <c r="G489" s="311"/>
      <c r="H489" s="311"/>
      <c r="I489" s="311"/>
      <c r="J489" s="317"/>
      <c r="K489" s="312"/>
      <c r="L489" s="312"/>
      <c r="M489" s="312"/>
      <c r="N489" s="312"/>
      <c r="O489" s="312"/>
      <c r="P489" s="318" t="str">
        <f t="shared" si="23"/>
        <v/>
      </c>
      <c r="Q489" s="205" t="str">
        <f t="shared" si="21"/>
        <v/>
      </c>
      <c r="R489" s="205"/>
      <c r="S489" s="319" t="str">
        <f t="shared" si="22"/>
        <v/>
      </c>
      <c r="U489" s="318"/>
      <c r="V489" s="794"/>
      <c r="W489" s="795"/>
      <c r="X489" s="482"/>
      <c r="Y489" s="482"/>
      <c r="Z489" s="482"/>
      <c r="AA489" s="319"/>
      <c r="AB489" s="220"/>
      <c r="AC489" s="318"/>
      <c r="AD489" s="319"/>
      <c r="AE489" s="220"/>
      <c r="AF489" s="320"/>
      <c r="AG489" s="205"/>
      <c r="AH489" s="205"/>
      <c r="AI489" s="205"/>
      <c r="AJ489" s="205"/>
      <c r="AK489" s="205"/>
      <c r="AL489" s="205"/>
      <c r="AM489" s="205"/>
      <c r="AN489" s="205"/>
      <c r="AO489" s="205"/>
      <c r="AP489" s="205"/>
      <c r="AQ489" s="205"/>
      <c r="AR489" s="205"/>
      <c r="AS489" s="205"/>
      <c r="AT489" s="205"/>
      <c r="AU489" s="205"/>
      <c r="AV489" s="205"/>
      <c r="AW489" s="205"/>
      <c r="AX489" s="205"/>
      <c r="AY489" s="205"/>
      <c r="AZ489" s="205"/>
      <c r="BA489" s="205"/>
      <c r="BB489" s="205"/>
      <c r="BC489" s="205"/>
      <c r="BD489" s="205"/>
      <c r="BE489" s="205"/>
      <c r="BF489" s="205"/>
      <c r="BG489" s="205"/>
      <c r="BH489" s="205"/>
      <c r="BI489" s="319"/>
    </row>
    <row r="490" spans="3:61" ht="15" customHeight="1">
      <c r="C490" s="325"/>
      <c r="D490" s="326"/>
      <c r="E490" s="311"/>
      <c r="F490" s="311"/>
      <c r="G490" s="311"/>
      <c r="H490" s="311"/>
      <c r="I490" s="311"/>
      <c r="J490" s="317"/>
      <c r="K490" s="312"/>
      <c r="L490" s="312"/>
      <c r="M490" s="312"/>
      <c r="N490" s="312"/>
      <c r="O490" s="312"/>
      <c r="P490" s="322" t="str">
        <f t="shared" si="23"/>
        <v/>
      </c>
      <c r="Q490" s="208" t="str">
        <f t="shared" si="21"/>
        <v/>
      </c>
      <c r="R490" s="208"/>
      <c r="S490" s="323" t="str">
        <f t="shared" si="22"/>
        <v/>
      </c>
      <c r="U490" s="322"/>
      <c r="V490" s="791"/>
      <c r="W490" s="792"/>
      <c r="X490" s="480"/>
      <c r="Y490" s="480"/>
      <c r="Z490" s="480"/>
      <c r="AA490" s="323"/>
      <c r="AB490" s="220"/>
      <c r="AC490" s="322"/>
      <c r="AD490" s="323"/>
      <c r="AE490" s="220"/>
      <c r="AF490" s="324"/>
      <c r="AG490" s="208"/>
      <c r="AH490" s="208"/>
      <c r="AI490" s="208"/>
      <c r="AJ490" s="208"/>
      <c r="AK490" s="208"/>
      <c r="AL490" s="208"/>
      <c r="AM490" s="208"/>
      <c r="AN490" s="208"/>
      <c r="AO490" s="208"/>
      <c r="AP490" s="208"/>
      <c r="AQ490" s="208"/>
      <c r="AR490" s="208"/>
      <c r="AS490" s="208"/>
      <c r="AT490" s="208"/>
      <c r="AU490" s="208"/>
      <c r="AV490" s="208"/>
      <c r="AW490" s="208"/>
      <c r="AX490" s="208"/>
      <c r="AY490" s="208"/>
      <c r="AZ490" s="208"/>
      <c r="BA490" s="208"/>
      <c r="BB490" s="208"/>
      <c r="BC490" s="208"/>
      <c r="BD490" s="208"/>
      <c r="BE490" s="208"/>
      <c r="BF490" s="208"/>
      <c r="BG490" s="208"/>
      <c r="BH490" s="208"/>
      <c r="BI490" s="323"/>
    </row>
    <row r="491" spans="3:61" ht="15" customHeight="1">
      <c r="C491" s="325"/>
      <c r="D491" s="326"/>
      <c r="E491" s="311"/>
      <c r="F491" s="311"/>
      <c r="G491" s="311"/>
      <c r="H491" s="311"/>
      <c r="I491" s="311"/>
      <c r="J491" s="317"/>
      <c r="K491" s="312"/>
      <c r="L491" s="312"/>
      <c r="M491" s="312"/>
      <c r="N491" s="312"/>
      <c r="O491" s="312"/>
      <c r="P491" s="318" t="str">
        <f t="shared" si="23"/>
        <v/>
      </c>
      <c r="Q491" s="205" t="str">
        <f t="shared" si="21"/>
        <v/>
      </c>
      <c r="R491" s="205"/>
      <c r="S491" s="319" t="str">
        <f t="shared" si="22"/>
        <v/>
      </c>
      <c r="U491" s="318"/>
      <c r="V491" s="794"/>
      <c r="W491" s="795"/>
      <c r="X491" s="482"/>
      <c r="Y491" s="482"/>
      <c r="Z491" s="482"/>
      <c r="AA491" s="319"/>
      <c r="AB491" s="220"/>
      <c r="AC491" s="318"/>
      <c r="AD491" s="319"/>
      <c r="AE491" s="220"/>
      <c r="AF491" s="320"/>
      <c r="AG491" s="205"/>
      <c r="AH491" s="205"/>
      <c r="AI491" s="205"/>
      <c r="AJ491" s="205"/>
      <c r="AK491" s="205"/>
      <c r="AL491" s="205"/>
      <c r="AM491" s="205"/>
      <c r="AN491" s="205"/>
      <c r="AO491" s="205"/>
      <c r="AP491" s="205"/>
      <c r="AQ491" s="205"/>
      <c r="AR491" s="205"/>
      <c r="AS491" s="205"/>
      <c r="AT491" s="205"/>
      <c r="AU491" s="205"/>
      <c r="AV491" s="205"/>
      <c r="AW491" s="205"/>
      <c r="AX491" s="205"/>
      <c r="AY491" s="205"/>
      <c r="AZ491" s="205"/>
      <c r="BA491" s="205"/>
      <c r="BB491" s="205"/>
      <c r="BC491" s="205"/>
      <c r="BD491" s="205"/>
      <c r="BE491" s="205"/>
      <c r="BF491" s="205"/>
      <c r="BG491" s="205"/>
      <c r="BH491" s="205"/>
      <c r="BI491" s="319"/>
    </row>
    <row r="492" spans="3:61" ht="15" customHeight="1">
      <c r="C492" s="325"/>
      <c r="D492" s="326"/>
      <c r="E492" s="311"/>
      <c r="F492" s="311"/>
      <c r="G492" s="311"/>
      <c r="H492" s="311"/>
      <c r="I492" s="311"/>
      <c r="J492" s="317"/>
      <c r="K492" s="312"/>
      <c r="L492" s="312"/>
      <c r="M492" s="312"/>
      <c r="N492" s="312"/>
      <c r="O492" s="312"/>
      <c r="P492" s="322" t="str">
        <f t="shared" si="23"/>
        <v/>
      </c>
      <c r="Q492" s="208" t="str">
        <f t="shared" si="21"/>
        <v/>
      </c>
      <c r="R492" s="208"/>
      <c r="S492" s="323" t="str">
        <f t="shared" si="22"/>
        <v/>
      </c>
      <c r="U492" s="322"/>
      <c r="V492" s="791"/>
      <c r="W492" s="792"/>
      <c r="X492" s="480"/>
      <c r="Y492" s="480"/>
      <c r="Z492" s="480"/>
      <c r="AA492" s="323"/>
      <c r="AB492" s="220"/>
      <c r="AC492" s="322"/>
      <c r="AD492" s="323"/>
      <c r="AE492" s="220"/>
      <c r="AF492" s="324"/>
      <c r="AG492" s="208"/>
      <c r="AH492" s="208"/>
      <c r="AI492" s="208"/>
      <c r="AJ492" s="208"/>
      <c r="AK492" s="208"/>
      <c r="AL492" s="208"/>
      <c r="AM492" s="208"/>
      <c r="AN492" s="208"/>
      <c r="AO492" s="208"/>
      <c r="AP492" s="208"/>
      <c r="AQ492" s="208"/>
      <c r="AR492" s="208"/>
      <c r="AS492" s="208"/>
      <c r="AT492" s="208"/>
      <c r="AU492" s="208"/>
      <c r="AV492" s="208"/>
      <c r="AW492" s="208"/>
      <c r="AX492" s="208"/>
      <c r="AY492" s="208"/>
      <c r="AZ492" s="208"/>
      <c r="BA492" s="208"/>
      <c r="BB492" s="208"/>
      <c r="BC492" s="208"/>
      <c r="BD492" s="208"/>
      <c r="BE492" s="208"/>
      <c r="BF492" s="208"/>
      <c r="BG492" s="208"/>
      <c r="BH492" s="208"/>
      <c r="BI492" s="323"/>
    </row>
    <row r="493" spans="3:61" ht="15" customHeight="1">
      <c r="C493" s="325"/>
      <c r="D493" s="326"/>
      <c r="E493" s="311"/>
      <c r="F493" s="311"/>
      <c r="G493" s="311"/>
      <c r="H493" s="311"/>
      <c r="I493" s="311"/>
      <c r="J493" s="317"/>
      <c r="K493" s="312"/>
      <c r="L493" s="312"/>
      <c r="M493" s="312"/>
      <c r="N493" s="312"/>
      <c r="O493" s="312"/>
      <c r="P493" s="318" t="str">
        <f t="shared" si="23"/>
        <v/>
      </c>
      <c r="Q493" s="205" t="str">
        <f t="shared" si="21"/>
        <v/>
      </c>
      <c r="R493" s="205"/>
      <c r="S493" s="319" t="str">
        <f t="shared" si="22"/>
        <v/>
      </c>
      <c r="U493" s="318"/>
      <c r="V493" s="794"/>
      <c r="W493" s="795"/>
      <c r="X493" s="482"/>
      <c r="Y493" s="482"/>
      <c r="Z493" s="482"/>
      <c r="AA493" s="319"/>
      <c r="AB493" s="220"/>
      <c r="AC493" s="318"/>
      <c r="AD493" s="319"/>
      <c r="AE493" s="220"/>
      <c r="AF493" s="320"/>
      <c r="AG493" s="205"/>
      <c r="AH493" s="205"/>
      <c r="AI493" s="205"/>
      <c r="AJ493" s="205"/>
      <c r="AK493" s="205"/>
      <c r="AL493" s="205"/>
      <c r="AM493" s="205"/>
      <c r="AN493" s="205"/>
      <c r="AO493" s="205"/>
      <c r="AP493" s="205"/>
      <c r="AQ493" s="205"/>
      <c r="AR493" s="205"/>
      <c r="AS493" s="205"/>
      <c r="AT493" s="205"/>
      <c r="AU493" s="205"/>
      <c r="AV493" s="205"/>
      <c r="AW493" s="205"/>
      <c r="AX493" s="205"/>
      <c r="AY493" s="205"/>
      <c r="AZ493" s="205"/>
      <c r="BA493" s="205"/>
      <c r="BB493" s="205"/>
      <c r="BC493" s="205"/>
      <c r="BD493" s="205"/>
      <c r="BE493" s="205"/>
      <c r="BF493" s="205"/>
      <c r="BG493" s="205"/>
      <c r="BH493" s="205"/>
      <c r="BI493" s="319"/>
    </row>
    <row r="494" spans="3:61" ht="15" customHeight="1">
      <c r="C494" s="325"/>
      <c r="D494" s="326"/>
      <c r="E494" s="311"/>
      <c r="F494" s="311"/>
      <c r="G494" s="311"/>
      <c r="H494" s="311"/>
      <c r="I494" s="311"/>
      <c r="J494" s="317"/>
      <c r="K494" s="312"/>
      <c r="L494" s="312"/>
      <c r="M494" s="312"/>
      <c r="N494" s="312"/>
      <c r="O494" s="312"/>
      <c r="P494" s="322" t="str">
        <f t="shared" si="23"/>
        <v/>
      </c>
      <c r="Q494" s="208" t="str">
        <f t="shared" si="21"/>
        <v/>
      </c>
      <c r="R494" s="208"/>
      <c r="S494" s="323" t="str">
        <f t="shared" si="22"/>
        <v/>
      </c>
      <c r="U494" s="322"/>
      <c r="V494" s="791"/>
      <c r="W494" s="792"/>
      <c r="X494" s="480"/>
      <c r="Y494" s="480"/>
      <c r="Z494" s="480"/>
      <c r="AA494" s="323"/>
      <c r="AB494" s="220"/>
      <c r="AC494" s="322"/>
      <c r="AD494" s="323"/>
      <c r="AE494" s="220"/>
      <c r="AF494" s="324"/>
      <c r="AG494" s="208"/>
      <c r="AH494" s="208"/>
      <c r="AI494" s="208"/>
      <c r="AJ494" s="208"/>
      <c r="AK494" s="208"/>
      <c r="AL494" s="208"/>
      <c r="AM494" s="208"/>
      <c r="AN494" s="208"/>
      <c r="AO494" s="208"/>
      <c r="AP494" s="208"/>
      <c r="AQ494" s="208"/>
      <c r="AR494" s="208"/>
      <c r="AS494" s="208"/>
      <c r="AT494" s="208"/>
      <c r="AU494" s="208"/>
      <c r="AV494" s="208"/>
      <c r="AW494" s="208"/>
      <c r="AX494" s="208"/>
      <c r="AY494" s="208"/>
      <c r="AZ494" s="208"/>
      <c r="BA494" s="208"/>
      <c r="BB494" s="208"/>
      <c r="BC494" s="208"/>
      <c r="BD494" s="208"/>
      <c r="BE494" s="208"/>
      <c r="BF494" s="208"/>
      <c r="BG494" s="208"/>
      <c r="BH494" s="208"/>
      <c r="BI494" s="323"/>
    </row>
    <row r="495" spans="3:61" ht="15" customHeight="1">
      <c r="C495" s="325"/>
      <c r="D495" s="326"/>
      <c r="E495" s="311"/>
      <c r="F495" s="311"/>
      <c r="G495" s="311"/>
      <c r="H495" s="311"/>
      <c r="I495" s="311"/>
      <c r="J495" s="317"/>
      <c r="K495" s="312"/>
      <c r="L495" s="312"/>
      <c r="M495" s="312"/>
      <c r="N495" s="312"/>
      <c r="O495" s="312"/>
      <c r="P495" s="318" t="str">
        <f t="shared" si="23"/>
        <v/>
      </c>
      <c r="Q495" s="205" t="str">
        <f t="shared" si="21"/>
        <v/>
      </c>
      <c r="R495" s="205"/>
      <c r="S495" s="319" t="str">
        <f t="shared" si="22"/>
        <v/>
      </c>
      <c r="U495" s="318"/>
      <c r="V495" s="794"/>
      <c r="W495" s="795"/>
      <c r="X495" s="482"/>
      <c r="Y495" s="482"/>
      <c r="Z495" s="482"/>
      <c r="AA495" s="319"/>
      <c r="AB495" s="220"/>
      <c r="AC495" s="318"/>
      <c r="AD495" s="319"/>
      <c r="AE495" s="220"/>
      <c r="AF495" s="320"/>
      <c r="AG495" s="205"/>
      <c r="AH495" s="205"/>
      <c r="AI495" s="205"/>
      <c r="AJ495" s="205"/>
      <c r="AK495" s="205"/>
      <c r="AL495" s="205"/>
      <c r="AM495" s="205"/>
      <c r="AN495" s="205"/>
      <c r="AO495" s="205"/>
      <c r="AP495" s="205"/>
      <c r="AQ495" s="205"/>
      <c r="AR495" s="205"/>
      <c r="AS495" s="205"/>
      <c r="AT495" s="205"/>
      <c r="AU495" s="205"/>
      <c r="AV495" s="205"/>
      <c r="AW495" s="205"/>
      <c r="AX495" s="205"/>
      <c r="AY495" s="205"/>
      <c r="AZ495" s="205"/>
      <c r="BA495" s="205"/>
      <c r="BB495" s="205"/>
      <c r="BC495" s="205"/>
      <c r="BD495" s="205"/>
      <c r="BE495" s="205"/>
      <c r="BF495" s="205"/>
      <c r="BG495" s="205"/>
      <c r="BH495" s="205"/>
      <c r="BI495" s="319"/>
    </row>
    <row r="496" spans="3:61" ht="15" customHeight="1">
      <c r="C496" s="325"/>
      <c r="D496" s="326"/>
      <c r="E496" s="311"/>
      <c r="F496" s="311"/>
      <c r="G496" s="311"/>
      <c r="H496" s="311"/>
      <c r="I496" s="311"/>
      <c r="J496" s="317"/>
      <c r="K496" s="312"/>
      <c r="L496" s="312"/>
      <c r="M496" s="312"/>
      <c r="N496" s="312"/>
      <c r="O496" s="312"/>
      <c r="P496" s="322" t="str">
        <f t="shared" si="23"/>
        <v/>
      </c>
      <c r="Q496" s="208" t="str">
        <f t="shared" si="21"/>
        <v/>
      </c>
      <c r="R496" s="208"/>
      <c r="S496" s="323" t="str">
        <f t="shared" si="22"/>
        <v/>
      </c>
      <c r="U496" s="322"/>
      <c r="V496" s="791"/>
      <c r="W496" s="792"/>
      <c r="X496" s="480"/>
      <c r="Y496" s="480"/>
      <c r="Z496" s="480"/>
      <c r="AA496" s="323"/>
      <c r="AB496" s="220"/>
      <c r="AC496" s="322"/>
      <c r="AD496" s="323"/>
      <c r="AE496" s="220"/>
      <c r="AF496" s="324"/>
      <c r="AG496" s="208"/>
      <c r="AH496" s="208"/>
      <c r="AI496" s="208"/>
      <c r="AJ496" s="208"/>
      <c r="AK496" s="208"/>
      <c r="AL496" s="208"/>
      <c r="AM496" s="208"/>
      <c r="AN496" s="208"/>
      <c r="AO496" s="208"/>
      <c r="AP496" s="208"/>
      <c r="AQ496" s="208"/>
      <c r="AR496" s="208"/>
      <c r="AS496" s="208"/>
      <c r="AT496" s="208"/>
      <c r="AU496" s="208"/>
      <c r="AV496" s="208"/>
      <c r="AW496" s="208"/>
      <c r="AX496" s="208"/>
      <c r="AY496" s="208"/>
      <c r="AZ496" s="208"/>
      <c r="BA496" s="208"/>
      <c r="BB496" s="208"/>
      <c r="BC496" s="208"/>
      <c r="BD496" s="208"/>
      <c r="BE496" s="208"/>
      <c r="BF496" s="208"/>
      <c r="BG496" s="208"/>
      <c r="BH496" s="208"/>
      <c r="BI496" s="323"/>
    </row>
    <row r="497" spans="3:61" ht="15" customHeight="1">
      <c r="C497" s="325"/>
      <c r="D497" s="326"/>
      <c r="E497" s="311"/>
      <c r="F497" s="311"/>
      <c r="G497" s="311"/>
      <c r="H497" s="311"/>
      <c r="I497" s="311"/>
      <c r="J497" s="317"/>
      <c r="K497" s="312"/>
      <c r="L497" s="312"/>
      <c r="M497" s="312"/>
      <c r="N497" s="312"/>
      <c r="O497" s="312"/>
      <c r="P497" s="318" t="str">
        <f t="shared" si="23"/>
        <v/>
      </c>
      <c r="Q497" s="205" t="str">
        <f t="shared" si="21"/>
        <v/>
      </c>
      <c r="R497" s="205"/>
      <c r="S497" s="319" t="str">
        <f t="shared" si="22"/>
        <v/>
      </c>
      <c r="U497" s="318"/>
      <c r="V497" s="794"/>
      <c r="W497" s="795"/>
      <c r="X497" s="482"/>
      <c r="Y497" s="482"/>
      <c r="Z497" s="482"/>
      <c r="AA497" s="319"/>
      <c r="AB497" s="220"/>
      <c r="AC497" s="318"/>
      <c r="AD497" s="319"/>
      <c r="AE497" s="220"/>
      <c r="AF497" s="320"/>
      <c r="AG497" s="205"/>
      <c r="AH497" s="205"/>
      <c r="AI497" s="205"/>
      <c r="AJ497" s="205"/>
      <c r="AK497" s="205"/>
      <c r="AL497" s="205"/>
      <c r="AM497" s="205"/>
      <c r="AN497" s="205"/>
      <c r="AO497" s="205"/>
      <c r="AP497" s="205"/>
      <c r="AQ497" s="205"/>
      <c r="AR497" s="205"/>
      <c r="AS497" s="205"/>
      <c r="AT497" s="205"/>
      <c r="AU497" s="205"/>
      <c r="AV497" s="205"/>
      <c r="AW497" s="205"/>
      <c r="AX497" s="205"/>
      <c r="AY497" s="205"/>
      <c r="AZ497" s="205"/>
      <c r="BA497" s="205"/>
      <c r="BB497" s="205"/>
      <c r="BC497" s="205"/>
      <c r="BD497" s="205"/>
      <c r="BE497" s="205"/>
      <c r="BF497" s="205"/>
      <c r="BG497" s="205"/>
      <c r="BH497" s="205"/>
      <c r="BI497" s="319"/>
    </row>
    <row r="498" spans="3:61" ht="15" customHeight="1">
      <c r="C498" s="325"/>
      <c r="D498" s="326"/>
      <c r="E498" s="311"/>
      <c r="F498" s="311"/>
      <c r="G498" s="311"/>
      <c r="H498" s="311"/>
      <c r="I498" s="311"/>
      <c r="J498" s="317"/>
      <c r="K498" s="312"/>
      <c r="L498" s="312"/>
      <c r="M498" s="312"/>
      <c r="N498" s="312"/>
      <c r="O498" s="312"/>
      <c r="P498" s="322" t="str">
        <f t="shared" si="23"/>
        <v/>
      </c>
      <c r="Q498" s="208" t="str">
        <f t="shared" si="21"/>
        <v/>
      </c>
      <c r="R498" s="208"/>
      <c r="S498" s="323" t="str">
        <f t="shared" si="22"/>
        <v/>
      </c>
      <c r="U498" s="322"/>
      <c r="V498" s="791"/>
      <c r="W498" s="792"/>
      <c r="X498" s="480"/>
      <c r="Y498" s="480"/>
      <c r="Z498" s="480"/>
      <c r="AA498" s="323"/>
      <c r="AB498" s="220"/>
      <c r="AC498" s="322"/>
      <c r="AD498" s="323"/>
      <c r="AE498" s="220"/>
      <c r="AF498" s="324"/>
      <c r="AG498" s="208"/>
      <c r="AH498" s="208"/>
      <c r="AI498" s="208"/>
      <c r="AJ498" s="208"/>
      <c r="AK498" s="208"/>
      <c r="AL498" s="208"/>
      <c r="AM498" s="208"/>
      <c r="AN498" s="208"/>
      <c r="AO498" s="208"/>
      <c r="AP498" s="208"/>
      <c r="AQ498" s="208"/>
      <c r="AR498" s="208"/>
      <c r="AS498" s="208"/>
      <c r="AT498" s="208"/>
      <c r="AU498" s="208"/>
      <c r="AV498" s="208"/>
      <c r="AW498" s="208"/>
      <c r="AX498" s="208"/>
      <c r="AY498" s="208"/>
      <c r="AZ498" s="208"/>
      <c r="BA498" s="208"/>
      <c r="BB498" s="208"/>
      <c r="BC498" s="208"/>
      <c r="BD498" s="208"/>
      <c r="BE498" s="208"/>
      <c r="BF498" s="208"/>
      <c r="BG498" s="208"/>
      <c r="BH498" s="208"/>
      <c r="BI498" s="323"/>
    </row>
    <row r="499" spans="3:61" ht="15" customHeight="1">
      <c r="C499" s="325"/>
      <c r="D499" s="326"/>
      <c r="E499" s="311"/>
      <c r="F499" s="311"/>
      <c r="G499" s="311"/>
      <c r="H499" s="311"/>
      <c r="I499" s="311"/>
      <c r="J499" s="317"/>
      <c r="K499" s="312"/>
      <c r="L499" s="312"/>
      <c r="M499" s="312"/>
      <c r="N499" s="312"/>
      <c r="O499" s="312"/>
      <c r="P499" s="318" t="str">
        <f t="shared" si="23"/>
        <v/>
      </c>
      <c r="Q499" s="205" t="str">
        <f t="shared" si="21"/>
        <v/>
      </c>
      <c r="R499" s="205"/>
      <c r="S499" s="319" t="str">
        <f t="shared" si="22"/>
        <v/>
      </c>
      <c r="U499" s="318"/>
      <c r="V499" s="794"/>
      <c r="W499" s="795"/>
      <c r="X499" s="482"/>
      <c r="Y499" s="482"/>
      <c r="Z499" s="482"/>
      <c r="AA499" s="319"/>
      <c r="AB499" s="220"/>
      <c r="AC499" s="318"/>
      <c r="AD499" s="319"/>
      <c r="AE499" s="220"/>
      <c r="AF499" s="320"/>
      <c r="AG499" s="205"/>
      <c r="AH499" s="205"/>
      <c r="AI499" s="205"/>
      <c r="AJ499" s="205"/>
      <c r="AK499" s="205"/>
      <c r="AL499" s="205"/>
      <c r="AM499" s="205"/>
      <c r="AN499" s="205"/>
      <c r="AO499" s="205"/>
      <c r="AP499" s="205"/>
      <c r="AQ499" s="205"/>
      <c r="AR499" s="205"/>
      <c r="AS499" s="205"/>
      <c r="AT499" s="205"/>
      <c r="AU499" s="205"/>
      <c r="AV499" s="205"/>
      <c r="AW499" s="205"/>
      <c r="AX499" s="205"/>
      <c r="AY499" s="205"/>
      <c r="AZ499" s="205"/>
      <c r="BA499" s="205"/>
      <c r="BB499" s="205"/>
      <c r="BC499" s="205"/>
      <c r="BD499" s="205"/>
      <c r="BE499" s="205"/>
      <c r="BF499" s="205"/>
      <c r="BG499" s="205"/>
      <c r="BH499" s="205"/>
      <c r="BI499" s="319"/>
    </row>
    <row r="500" spans="3:61" ht="15" customHeight="1">
      <c r="C500" s="325"/>
      <c r="D500" s="326"/>
      <c r="E500" s="311"/>
      <c r="F500" s="311"/>
      <c r="G500" s="311"/>
      <c r="H500" s="311"/>
      <c r="I500" s="311"/>
      <c r="J500" s="317"/>
      <c r="K500" s="312"/>
      <c r="L500" s="312"/>
      <c r="M500" s="312"/>
      <c r="N500" s="312"/>
      <c r="O500" s="312"/>
      <c r="P500" s="322" t="str">
        <f t="shared" si="23"/>
        <v/>
      </c>
      <c r="Q500" s="208" t="str">
        <f t="shared" si="21"/>
        <v/>
      </c>
      <c r="R500" s="208"/>
      <c r="S500" s="323" t="str">
        <f t="shared" si="22"/>
        <v/>
      </c>
      <c r="U500" s="322"/>
      <c r="V500" s="791"/>
      <c r="W500" s="792"/>
      <c r="X500" s="480"/>
      <c r="Y500" s="480"/>
      <c r="Z500" s="480"/>
      <c r="AA500" s="323"/>
      <c r="AB500" s="220"/>
      <c r="AC500" s="322"/>
      <c r="AD500" s="323"/>
      <c r="AE500" s="220"/>
      <c r="AF500" s="324"/>
      <c r="AG500" s="208"/>
      <c r="AH500" s="208"/>
      <c r="AI500" s="208"/>
      <c r="AJ500" s="208"/>
      <c r="AK500" s="208"/>
      <c r="AL500" s="208"/>
      <c r="AM500" s="208"/>
      <c r="AN500" s="208"/>
      <c r="AO500" s="208"/>
      <c r="AP500" s="208"/>
      <c r="AQ500" s="208"/>
      <c r="AR500" s="208"/>
      <c r="AS500" s="208"/>
      <c r="AT500" s="208"/>
      <c r="AU500" s="208"/>
      <c r="AV500" s="208"/>
      <c r="AW500" s="208"/>
      <c r="AX500" s="208"/>
      <c r="AY500" s="208"/>
      <c r="AZ500" s="208"/>
      <c r="BA500" s="208"/>
      <c r="BB500" s="208"/>
      <c r="BC500" s="208"/>
      <c r="BD500" s="208"/>
      <c r="BE500" s="208"/>
      <c r="BF500" s="208"/>
      <c r="BG500" s="208"/>
      <c r="BH500" s="208"/>
      <c r="BI500" s="323"/>
    </row>
    <row r="501" spans="3:61" ht="15" customHeight="1">
      <c r="C501" s="325"/>
      <c r="D501" s="326"/>
      <c r="E501" s="311"/>
      <c r="F501" s="311"/>
      <c r="G501" s="311"/>
      <c r="H501" s="311"/>
      <c r="I501" s="311"/>
      <c r="J501" s="317"/>
      <c r="K501" s="312"/>
      <c r="L501" s="312"/>
      <c r="M501" s="312"/>
      <c r="N501" s="312"/>
      <c r="O501" s="312"/>
      <c r="P501" s="318" t="str">
        <f t="shared" si="23"/>
        <v/>
      </c>
      <c r="Q501" s="205" t="str">
        <f t="shared" si="21"/>
        <v/>
      </c>
      <c r="R501" s="205"/>
      <c r="S501" s="319" t="str">
        <f t="shared" si="22"/>
        <v/>
      </c>
      <c r="U501" s="318"/>
      <c r="V501" s="794"/>
      <c r="W501" s="795"/>
      <c r="X501" s="482"/>
      <c r="Y501" s="482"/>
      <c r="Z501" s="482"/>
      <c r="AA501" s="319"/>
      <c r="AB501" s="220"/>
      <c r="AC501" s="318"/>
      <c r="AD501" s="319"/>
      <c r="AE501" s="220"/>
      <c r="AF501" s="320"/>
      <c r="AG501" s="205"/>
      <c r="AH501" s="205"/>
      <c r="AI501" s="205"/>
      <c r="AJ501" s="205"/>
      <c r="AK501" s="205"/>
      <c r="AL501" s="205"/>
      <c r="AM501" s="205"/>
      <c r="AN501" s="205"/>
      <c r="AO501" s="205"/>
      <c r="AP501" s="205"/>
      <c r="AQ501" s="205"/>
      <c r="AR501" s="205"/>
      <c r="AS501" s="205"/>
      <c r="AT501" s="205"/>
      <c r="AU501" s="205"/>
      <c r="AV501" s="205"/>
      <c r="AW501" s="205"/>
      <c r="AX501" s="205"/>
      <c r="AY501" s="205"/>
      <c r="AZ501" s="205"/>
      <c r="BA501" s="205"/>
      <c r="BB501" s="205"/>
      <c r="BC501" s="205"/>
      <c r="BD501" s="205"/>
      <c r="BE501" s="205"/>
      <c r="BF501" s="205"/>
      <c r="BG501" s="205"/>
      <c r="BH501" s="205"/>
      <c r="BI501" s="319"/>
    </row>
    <row r="502" spans="3:61" ht="15" customHeight="1">
      <c r="C502" s="325"/>
      <c r="D502" s="326"/>
      <c r="E502" s="311"/>
      <c r="F502" s="311"/>
      <c r="G502" s="311"/>
      <c r="H502" s="311"/>
      <c r="I502" s="311"/>
      <c r="J502" s="317"/>
      <c r="K502" s="312"/>
      <c r="L502" s="312"/>
      <c r="M502" s="312"/>
      <c r="N502" s="312"/>
      <c r="O502" s="312"/>
      <c r="P502" s="322" t="str">
        <f t="shared" si="23"/>
        <v/>
      </c>
      <c r="Q502" s="208" t="str">
        <f t="shared" si="21"/>
        <v/>
      </c>
      <c r="R502" s="208"/>
      <c r="S502" s="323" t="str">
        <f t="shared" si="22"/>
        <v/>
      </c>
      <c r="U502" s="322"/>
      <c r="V502" s="791"/>
      <c r="W502" s="792"/>
      <c r="X502" s="480"/>
      <c r="Y502" s="480"/>
      <c r="Z502" s="480"/>
      <c r="AA502" s="323"/>
      <c r="AB502" s="220"/>
      <c r="AC502" s="322"/>
      <c r="AD502" s="323"/>
      <c r="AE502" s="220"/>
      <c r="AF502" s="324"/>
      <c r="AG502" s="208"/>
      <c r="AH502" s="208"/>
      <c r="AI502" s="208"/>
      <c r="AJ502" s="208"/>
      <c r="AK502" s="208"/>
      <c r="AL502" s="208"/>
      <c r="AM502" s="208"/>
      <c r="AN502" s="208"/>
      <c r="AO502" s="208"/>
      <c r="AP502" s="208"/>
      <c r="AQ502" s="208"/>
      <c r="AR502" s="208"/>
      <c r="AS502" s="208"/>
      <c r="AT502" s="208"/>
      <c r="AU502" s="208"/>
      <c r="AV502" s="208"/>
      <c r="AW502" s="208"/>
      <c r="AX502" s="208"/>
      <c r="AY502" s="208"/>
      <c r="AZ502" s="208"/>
      <c r="BA502" s="208"/>
      <c r="BB502" s="208"/>
      <c r="BC502" s="208"/>
      <c r="BD502" s="208"/>
      <c r="BE502" s="208"/>
      <c r="BF502" s="208"/>
      <c r="BG502" s="208"/>
      <c r="BH502" s="208"/>
      <c r="BI502" s="323"/>
    </row>
    <row r="503" spans="3:61" ht="15" customHeight="1">
      <c r="C503" s="325"/>
      <c r="D503" s="326"/>
      <c r="E503" s="311"/>
      <c r="F503" s="311"/>
      <c r="G503" s="311"/>
      <c r="H503" s="311"/>
      <c r="I503" s="311"/>
      <c r="J503" s="317"/>
      <c r="K503" s="312"/>
      <c r="L503" s="312"/>
      <c r="M503" s="312"/>
      <c r="N503" s="312"/>
      <c r="O503" s="312"/>
      <c r="P503" s="318" t="str">
        <f t="shared" si="23"/>
        <v/>
      </c>
      <c r="Q503" s="205" t="str">
        <f t="shared" si="21"/>
        <v/>
      </c>
      <c r="R503" s="205"/>
      <c r="S503" s="319" t="str">
        <f t="shared" si="22"/>
        <v/>
      </c>
      <c r="U503" s="318"/>
      <c r="V503" s="794"/>
      <c r="W503" s="795"/>
      <c r="X503" s="482"/>
      <c r="Y503" s="482"/>
      <c r="Z503" s="482"/>
      <c r="AA503" s="319"/>
      <c r="AB503" s="220"/>
      <c r="AC503" s="318"/>
      <c r="AD503" s="319"/>
      <c r="AE503" s="220"/>
      <c r="AF503" s="320"/>
      <c r="AG503" s="205"/>
      <c r="AH503" s="205"/>
      <c r="AI503" s="205"/>
      <c r="AJ503" s="205"/>
      <c r="AK503" s="205"/>
      <c r="AL503" s="205"/>
      <c r="AM503" s="205"/>
      <c r="AN503" s="205"/>
      <c r="AO503" s="205"/>
      <c r="AP503" s="205"/>
      <c r="AQ503" s="205"/>
      <c r="AR503" s="205"/>
      <c r="AS503" s="205"/>
      <c r="AT503" s="205"/>
      <c r="AU503" s="205"/>
      <c r="AV503" s="205"/>
      <c r="AW503" s="205"/>
      <c r="AX503" s="205"/>
      <c r="AY503" s="205"/>
      <c r="AZ503" s="205"/>
      <c r="BA503" s="205"/>
      <c r="BB503" s="205"/>
      <c r="BC503" s="205"/>
      <c r="BD503" s="205"/>
      <c r="BE503" s="205"/>
      <c r="BF503" s="205"/>
      <c r="BG503" s="205"/>
      <c r="BH503" s="205"/>
      <c r="BI503" s="319"/>
    </row>
    <row r="504" spans="3:61" ht="15" customHeight="1">
      <c r="C504" s="325"/>
      <c r="D504" s="326"/>
      <c r="E504" s="311"/>
      <c r="F504" s="311"/>
      <c r="G504" s="311"/>
      <c r="H504" s="311"/>
      <c r="I504" s="311"/>
      <c r="J504" s="317"/>
      <c r="K504" s="312"/>
      <c r="L504" s="312"/>
      <c r="M504" s="312"/>
      <c r="N504" s="312"/>
      <c r="O504" s="312"/>
      <c r="P504" s="322" t="str">
        <f t="shared" si="23"/>
        <v/>
      </c>
      <c r="Q504" s="208" t="str">
        <f t="shared" si="21"/>
        <v/>
      </c>
      <c r="R504" s="208"/>
      <c r="S504" s="323" t="str">
        <f t="shared" si="22"/>
        <v/>
      </c>
      <c r="U504" s="322"/>
      <c r="V504" s="791"/>
      <c r="W504" s="792"/>
      <c r="X504" s="480"/>
      <c r="Y504" s="480"/>
      <c r="Z504" s="480"/>
      <c r="AA504" s="323"/>
      <c r="AB504" s="220"/>
      <c r="AC504" s="322"/>
      <c r="AD504" s="323"/>
      <c r="AE504" s="220"/>
      <c r="AF504" s="324"/>
      <c r="AG504" s="208"/>
      <c r="AH504" s="208"/>
      <c r="AI504" s="208"/>
      <c r="AJ504" s="208"/>
      <c r="AK504" s="208"/>
      <c r="AL504" s="208"/>
      <c r="AM504" s="208"/>
      <c r="AN504" s="208"/>
      <c r="AO504" s="208"/>
      <c r="AP504" s="208"/>
      <c r="AQ504" s="208"/>
      <c r="AR504" s="208"/>
      <c r="AS504" s="208"/>
      <c r="AT504" s="208"/>
      <c r="AU504" s="208"/>
      <c r="AV504" s="208"/>
      <c r="AW504" s="208"/>
      <c r="AX504" s="208"/>
      <c r="AY504" s="208"/>
      <c r="AZ504" s="208"/>
      <c r="BA504" s="208"/>
      <c r="BB504" s="208"/>
      <c r="BC504" s="208"/>
      <c r="BD504" s="208"/>
      <c r="BE504" s="208"/>
      <c r="BF504" s="208"/>
      <c r="BG504" s="208"/>
      <c r="BH504" s="208"/>
      <c r="BI504" s="323"/>
    </row>
    <row r="505" spans="3:61" ht="15" customHeight="1">
      <c r="C505" s="325"/>
      <c r="D505" s="326"/>
      <c r="E505" s="311"/>
      <c r="F505" s="311"/>
      <c r="G505" s="311"/>
      <c r="H505" s="311"/>
      <c r="I505" s="311"/>
      <c r="J505" s="317"/>
      <c r="K505" s="312"/>
      <c r="L505" s="312"/>
      <c r="M505" s="312"/>
      <c r="N505" s="312"/>
      <c r="O505" s="312"/>
      <c r="P505" s="318" t="str">
        <f t="shared" si="23"/>
        <v/>
      </c>
      <c r="Q505" s="205" t="str">
        <f t="shared" si="21"/>
        <v/>
      </c>
      <c r="R505" s="205"/>
      <c r="S505" s="319" t="str">
        <f t="shared" si="22"/>
        <v/>
      </c>
      <c r="U505" s="318"/>
      <c r="V505" s="794"/>
      <c r="W505" s="795"/>
      <c r="X505" s="482"/>
      <c r="Y505" s="482"/>
      <c r="Z505" s="482"/>
      <c r="AA505" s="319"/>
      <c r="AB505" s="220"/>
      <c r="AC505" s="318"/>
      <c r="AD505" s="319"/>
      <c r="AE505" s="220"/>
      <c r="AF505" s="320"/>
      <c r="AG505" s="205"/>
      <c r="AH505" s="205"/>
      <c r="AI505" s="205"/>
      <c r="AJ505" s="205"/>
      <c r="AK505" s="205"/>
      <c r="AL505" s="205"/>
      <c r="AM505" s="205"/>
      <c r="AN505" s="205"/>
      <c r="AO505" s="205"/>
      <c r="AP505" s="205"/>
      <c r="AQ505" s="205"/>
      <c r="AR505" s="205"/>
      <c r="AS505" s="205"/>
      <c r="AT505" s="205"/>
      <c r="AU505" s="205"/>
      <c r="AV505" s="205"/>
      <c r="AW505" s="205"/>
      <c r="AX505" s="205"/>
      <c r="AY505" s="205"/>
      <c r="AZ505" s="205"/>
      <c r="BA505" s="205"/>
      <c r="BB505" s="205"/>
      <c r="BC505" s="205"/>
      <c r="BD505" s="205"/>
      <c r="BE505" s="205"/>
      <c r="BF505" s="205"/>
      <c r="BG505" s="205"/>
      <c r="BH505" s="205"/>
      <c r="BI505" s="319"/>
    </row>
    <row r="506" spans="3:61" ht="15" customHeight="1">
      <c r="C506" s="325"/>
      <c r="D506" s="326"/>
      <c r="E506" s="311"/>
      <c r="F506" s="311"/>
      <c r="G506" s="311"/>
      <c r="H506" s="311"/>
      <c r="I506" s="311"/>
      <c r="J506" s="317"/>
      <c r="K506" s="312"/>
      <c r="L506" s="312"/>
      <c r="M506" s="312"/>
      <c r="N506" s="312"/>
      <c r="O506" s="312"/>
      <c r="P506" s="322" t="str">
        <f t="shared" si="23"/>
        <v/>
      </c>
      <c r="Q506" s="208" t="str">
        <f t="shared" si="21"/>
        <v/>
      </c>
      <c r="R506" s="208"/>
      <c r="S506" s="323" t="str">
        <f t="shared" si="22"/>
        <v/>
      </c>
      <c r="U506" s="322"/>
      <c r="V506" s="791"/>
      <c r="W506" s="792"/>
      <c r="X506" s="480"/>
      <c r="Y506" s="480"/>
      <c r="Z506" s="480"/>
      <c r="AA506" s="323"/>
      <c r="AB506" s="220"/>
      <c r="AC506" s="322"/>
      <c r="AD506" s="323"/>
      <c r="AE506" s="220"/>
      <c r="AF506" s="324"/>
      <c r="AG506" s="208"/>
      <c r="AH506" s="208"/>
      <c r="AI506" s="208"/>
      <c r="AJ506" s="208"/>
      <c r="AK506" s="208"/>
      <c r="AL506" s="208"/>
      <c r="AM506" s="208"/>
      <c r="AN506" s="208"/>
      <c r="AO506" s="208"/>
      <c r="AP506" s="208"/>
      <c r="AQ506" s="208"/>
      <c r="AR506" s="208"/>
      <c r="AS506" s="208"/>
      <c r="AT506" s="208"/>
      <c r="AU506" s="208"/>
      <c r="AV506" s="208"/>
      <c r="AW506" s="208"/>
      <c r="AX506" s="208"/>
      <c r="AY506" s="208"/>
      <c r="AZ506" s="208"/>
      <c r="BA506" s="208"/>
      <c r="BB506" s="208"/>
      <c r="BC506" s="208"/>
      <c r="BD506" s="208"/>
      <c r="BE506" s="208"/>
      <c r="BF506" s="208"/>
      <c r="BG506" s="208"/>
      <c r="BH506" s="208"/>
      <c r="BI506" s="323"/>
    </row>
    <row r="507" spans="3:61" ht="15" customHeight="1">
      <c r="C507" s="325"/>
      <c r="D507" s="326"/>
      <c r="E507" s="311"/>
      <c r="F507" s="311"/>
      <c r="G507" s="311"/>
      <c r="H507" s="311"/>
      <c r="I507" s="311"/>
      <c r="J507" s="317"/>
      <c r="K507" s="312"/>
      <c r="L507" s="312"/>
      <c r="M507" s="312"/>
      <c r="N507" s="312"/>
      <c r="O507" s="312"/>
      <c r="P507" s="318" t="str">
        <f t="shared" si="23"/>
        <v/>
      </c>
      <c r="Q507" s="205" t="str">
        <f t="shared" si="21"/>
        <v/>
      </c>
      <c r="R507" s="205"/>
      <c r="S507" s="319" t="str">
        <f t="shared" si="22"/>
        <v/>
      </c>
      <c r="U507" s="318"/>
      <c r="V507" s="794"/>
      <c r="W507" s="795"/>
      <c r="X507" s="482"/>
      <c r="Y507" s="482"/>
      <c r="Z507" s="482"/>
      <c r="AA507" s="319"/>
      <c r="AB507" s="220"/>
      <c r="AC507" s="318"/>
      <c r="AD507" s="319"/>
      <c r="AE507" s="220"/>
      <c r="AF507" s="320"/>
      <c r="AG507" s="205"/>
      <c r="AH507" s="205"/>
      <c r="AI507" s="205"/>
      <c r="AJ507" s="205"/>
      <c r="AK507" s="205"/>
      <c r="AL507" s="205"/>
      <c r="AM507" s="205"/>
      <c r="AN507" s="205"/>
      <c r="AO507" s="205"/>
      <c r="AP507" s="205"/>
      <c r="AQ507" s="205"/>
      <c r="AR507" s="205"/>
      <c r="AS507" s="205"/>
      <c r="AT507" s="205"/>
      <c r="AU507" s="205"/>
      <c r="AV507" s="205"/>
      <c r="AW507" s="205"/>
      <c r="AX507" s="205"/>
      <c r="AY507" s="205"/>
      <c r="AZ507" s="205"/>
      <c r="BA507" s="205"/>
      <c r="BB507" s="205"/>
      <c r="BC507" s="205"/>
      <c r="BD507" s="205"/>
      <c r="BE507" s="205"/>
      <c r="BF507" s="205"/>
      <c r="BG507" s="205"/>
      <c r="BH507" s="205"/>
      <c r="BI507" s="319"/>
    </row>
    <row r="508" spans="3:61" ht="15" customHeight="1">
      <c r="C508" s="325"/>
      <c r="D508" s="326"/>
      <c r="E508" s="311"/>
      <c r="F508" s="311"/>
      <c r="G508" s="311"/>
      <c r="H508" s="311"/>
      <c r="I508" s="311"/>
      <c r="J508" s="317"/>
      <c r="K508" s="312"/>
      <c r="L508" s="312"/>
      <c r="M508" s="312"/>
      <c r="N508" s="312"/>
      <c r="O508" s="312"/>
      <c r="P508" s="322" t="str">
        <f t="shared" si="23"/>
        <v/>
      </c>
      <c r="Q508" s="208" t="str">
        <f t="shared" si="21"/>
        <v/>
      </c>
      <c r="R508" s="208"/>
      <c r="S508" s="323" t="str">
        <f t="shared" si="22"/>
        <v/>
      </c>
      <c r="U508" s="322"/>
      <c r="V508" s="791"/>
      <c r="W508" s="792"/>
      <c r="X508" s="480"/>
      <c r="Y508" s="480"/>
      <c r="Z508" s="480"/>
      <c r="AA508" s="323"/>
      <c r="AB508" s="220"/>
      <c r="AC508" s="322"/>
      <c r="AD508" s="323"/>
      <c r="AE508" s="220"/>
      <c r="AF508" s="324"/>
      <c r="AG508" s="208"/>
      <c r="AH508" s="208"/>
      <c r="AI508" s="208"/>
      <c r="AJ508" s="208"/>
      <c r="AK508" s="208"/>
      <c r="AL508" s="208"/>
      <c r="AM508" s="208"/>
      <c r="AN508" s="208"/>
      <c r="AO508" s="208"/>
      <c r="AP508" s="208"/>
      <c r="AQ508" s="208"/>
      <c r="AR508" s="208"/>
      <c r="AS508" s="208"/>
      <c r="AT508" s="208"/>
      <c r="AU508" s="208"/>
      <c r="AV508" s="208"/>
      <c r="AW508" s="208"/>
      <c r="AX508" s="208"/>
      <c r="AY508" s="208"/>
      <c r="AZ508" s="208"/>
      <c r="BA508" s="208"/>
      <c r="BB508" s="208"/>
      <c r="BC508" s="208"/>
      <c r="BD508" s="208"/>
      <c r="BE508" s="208"/>
      <c r="BF508" s="208"/>
      <c r="BG508" s="208"/>
      <c r="BH508" s="208"/>
      <c r="BI508" s="323"/>
    </row>
    <row r="509" spans="3:61" ht="15" customHeight="1">
      <c r="C509" s="325"/>
      <c r="D509" s="326"/>
      <c r="E509" s="311"/>
      <c r="F509" s="311"/>
      <c r="G509" s="311"/>
      <c r="H509" s="311"/>
      <c r="I509" s="311"/>
      <c r="J509" s="317"/>
      <c r="K509" s="312"/>
      <c r="L509" s="312"/>
      <c r="M509" s="312"/>
      <c r="N509" s="312"/>
      <c r="O509" s="312"/>
      <c r="P509" s="318" t="str">
        <f t="shared" si="23"/>
        <v/>
      </c>
      <c r="Q509" s="205" t="str">
        <f t="shared" si="21"/>
        <v/>
      </c>
      <c r="R509" s="205"/>
      <c r="S509" s="319" t="str">
        <f t="shared" si="22"/>
        <v/>
      </c>
      <c r="U509" s="318"/>
      <c r="V509" s="794"/>
      <c r="W509" s="795"/>
      <c r="X509" s="482"/>
      <c r="Y509" s="482"/>
      <c r="Z509" s="482"/>
      <c r="AA509" s="319"/>
      <c r="AB509" s="220"/>
      <c r="AC509" s="318"/>
      <c r="AD509" s="319"/>
      <c r="AE509" s="220"/>
      <c r="AF509" s="320"/>
      <c r="AG509" s="205"/>
      <c r="AH509" s="205"/>
      <c r="AI509" s="205"/>
      <c r="AJ509" s="205"/>
      <c r="AK509" s="205"/>
      <c r="AL509" s="205"/>
      <c r="AM509" s="205"/>
      <c r="AN509" s="205"/>
      <c r="AO509" s="205"/>
      <c r="AP509" s="205"/>
      <c r="AQ509" s="205"/>
      <c r="AR509" s="205"/>
      <c r="AS509" s="205"/>
      <c r="AT509" s="205"/>
      <c r="AU509" s="205"/>
      <c r="AV509" s="205"/>
      <c r="AW509" s="205"/>
      <c r="AX509" s="205"/>
      <c r="AY509" s="205"/>
      <c r="AZ509" s="205"/>
      <c r="BA509" s="205"/>
      <c r="BB509" s="205"/>
      <c r="BC509" s="205"/>
      <c r="BD509" s="205"/>
      <c r="BE509" s="205"/>
      <c r="BF509" s="205"/>
      <c r="BG509" s="205"/>
      <c r="BH509" s="205"/>
      <c r="BI509" s="319"/>
    </row>
    <row r="510" spans="3:61" ht="15" customHeight="1">
      <c r="C510" s="325"/>
      <c r="D510" s="326"/>
      <c r="E510" s="311"/>
      <c r="F510" s="311"/>
      <c r="G510" s="311"/>
      <c r="H510" s="311"/>
      <c r="I510" s="311"/>
      <c r="J510" s="317"/>
      <c r="K510" s="312"/>
      <c r="L510" s="312"/>
      <c r="M510" s="312"/>
      <c r="N510" s="312"/>
      <c r="O510" s="312"/>
      <c r="P510" s="322" t="str">
        <f t="shared" si="23"/>
        <v/>
      </c>
      <c r="Q510" s="208" t="str">
        <f t="shared" si="21"/>
        <v/>
      </c>
      <c r="R510" s="208"/>
      <c r="S510" s="323" t="str">
        <f t="shared" si="22"/>
        <v/>
      </c>
      <c r="U510" s="322"/>
      <c r="V510" s="791"/>
      <c r="W510" s="792"/>
      <c r="X510" s="480"/>
      <c r="Y510" s="480"/>
      <c r="Z510" s="480"/>
      <c r="AA510" s="323"/>
      <c r="AB510" s="220"/>
      <c r="AC510" s="322"/>
      <c r="AD510" s="323"/>
      <c r="AE510" s="220"/>
      <c r="AF510" s="324"/>
      <c r="AG510" s="208"/>
      <c r="AH510" s="208"/>
      <c r="AI510" s="208"/>
      <c r="AJ510" s="208"/>
      <c r="AK510" s="208"/>
      <c r="AL510" s="208"/>
      <c r="AM510" s="208"/>
      <c r="AN510" s="208"/>
      <c r="AO510" s="208"/>
      <c r="AP510" s="208"/>
      <c r="AQ510" s="208"/>
      <c r="AR510" s="208"/>
      <c r="AS510" s="208"/>
      <c r="AT510" s="208"/>
      <c r="AU510" s="208"/>
      <c r="AV510" s="208"/>
      <c r="AW510" s="208"/>
      <c r="AX510" s="208"/>
      <c r="AY510" s="208"/>
      <c r="AZ510" s="208"/>
      <c r="BA510" s="208"/>
      <c r="BB510" s="208"/>
      <c r="BC510" s="208"/>
      <c r="BD510" s="208"/>
      <c r="BE510" s="208"/>
      <c r="BF510" s="208"/>
      <c r="BG510" s="208"/>
      <c r="BH510" s="208"/>
      <c r="BI510" s="323"/>
    </row>
    <row r="511" spans="3:61" ht="15" customHeight="1">
      <c r="C511" s="325"/>
      <c r="D511" s="326"/>
      <c r="E511" s="311"/>
      <c r="F511" s="311"/>
      <c r="G511" s="311"/>
      <c r="H511" s="311"/>
      <c r="I511" s="311"/>
      <c r="J511" s="317"/>
      <c r="K511" s="312"/>
      <c r="L511" s="312"/>
      <c r="M511" s="312"/>
      <c r="N511" s="312"/>
      <c r="O511" s="312"/>
      <c r="P511" s="318" t="str">
        <f t="shared" si="23"/>
        <v/>
      </c>
      <c r="Q511" s="205" t="str">
        <f t="shared" si="21"/>
        <v/>
      </c>
      <c r="R511" s="205"/>
      <c r="S511" s="319" t="str">
        <f t="shared" si="22"/>
        <v/>
      </c>
      <c r="U511" s="318"/>
      <c r="V511" s="794"/>
      <c r="W511" s="795"/>
      <c r="X511" s="482"/>
      <c r="Y511" s="482"/>
      <c r="Z511" s="482"/>
      <c r="AA511" s="319"/>
      <c r="AB511" s="220"/>
      <c r="AC511" s="318"/>
      <c r="AD511" s="319"/>
      <c r="AE511" s="220"/>
      <c r="AF511" s="320"/>
      <c r="AG511" s="205"/>
      <c r="AH511" s="205"/>
      <c r="AI511" s="205"/>
      <c r="AJ511" s="205"/>
      <c r="AK511" s="205"/>
      <c r="AL511" s="205"/>
      <c r="AM511" s="205"/>
      <c r="AN511" s="205"/>
      <c r="AO511" s="205"/>
      <c r="AP511" s="205"/>
      <c r="AQ511" s="205"/>
      <c r="AR511" s="205"/>
      <c r="AS511" s="205"/>
      <c r="AT511" s="205"/>
      <c r="AU511" s="205"/>
      <c r="AV511" s="205"/>
      <c r="AW511" s="205"/>
      <c r="AX511" s="205"/>
      <c r="AY511" s="205"/>
      <c r="AZ511" s="205"/>
      <c r="BA511" s="205"/>
      <c r="BB511" s="205"/>
      <c r="BC511" s="205"/>
      <c r="BD511" s="205"/>
      <c r="BE511" s="205"/>
      <c r="BF511" s="205"/>
      <c r="BG511" s="205"/>
      <c r="BH511" s="205"/>
      <c r="BI511" s="319"/>
    </row>
    <row r="512" spans="3:61" ht="15" customHeight="1">
      <c r="C512" s="325"/>
      <c r="D512" s="326"/>
      <c r="E512" s="311"/>
      <c r="F512" s="311"/>
      <c r="G512" s="311"/>
      <c r="H512" s="311"/>
      <c r="I512" s="311"/>
      <c r="J512" s="317"/>
      <c r="K512" s="312"/>
      <c r="L512" s="312"/>
      <c r="M512" s="312"/>
      <c r="N512" s="312"/>
      <c r="O512" s="312"/>
      <c r="P512" s="322" t="str">
        <f t="shared" si="23"/>
        <v/>
      </c>
      <c r="Q512" s="208" t="str">
        <f t="shared" si="21"/>
        <v/>
      </c>
      <c r="R512" s="208"/>
      <c r="S512" s="323" t="str">
        <f t="shared" si="22"/>
        <v/>
      </c>
      <c r="U512" s="322"/>
      <c r="V512" s="791"/>
      <c r="W512" s="792"/>
      <c r="X512" s="480"/>
      <c r="Y512" s="480"/>
      <c r="Z512" s="480"/>
      <c r="AA512" s="323"/>
      <c r="AB512" s="220"/>
      <c r="AC512" s="322"/>
      <c r="AD512" s="323"/>
      <c r="AE512" s="220"/>
      <c r="AF512" s="324"/>
      <c r="AG512" s="208"/>
      <c r="AH512" s="208"/>
      <c r="AI512" s="208"/>
      <c r="AJ512" s="208"/>
      <c r="AK512" s="208"/>
      <c r="AL512" s="208"/>
      <c r="AM512" s="208"/>
      <c r="AN512" s="208"/>
      <c r="AO512" s="208"/>
      <c r="AP512" s="208"/>
      <c r="AQ512" s="208"/>
      <c r="AR512" s="208"/>
      <c r="AS512" s="208"/>
      <c r="AT512" s="208"/>
      <c r="AU512" s="208"/>
      <c r="AV512" s="208"/>
      <c r="AW512" s="208"/>
      <c r="AX512" s="208"/>
      <c r="AY512" s="208"/>
      <c r="AZ512" s="208"/>
      <c r="BA512" s="208"/>
      <c r="BB512" s="208"/>
      <c r="BC512" s="208"/>
      <c r="BD512" s="208"/>
      <c r="BE512" s="208"/>
      <c r="BF512" s="208"/>
      <c r="BG512" s="208"/>
      <c r="BH512" s="208"/>
      <c r="BI512" s="323"/>
    </row>
    <row r="513" spans="3:61" ht="15" customHeight="1">
      <c r="C513" s="325"/>
      <c r="D513" s="326"/>
      <c r="E513" s="311"/>
      <c r="F513" s="311"/>
      <c r="G513" s="311"/>
      <c r="H513" s="311"/>
      <c r="I513" s="311"/>
      <c r="J513" s="317"/>
      <c r="K513" s="312"/>
      <c r="L513" s="312"/>
      <c r="M513" s="312"/>
      <c r="N513" s="312"/>
      <c r="O513" s="312"/>
      <c r="P513" s="318" t="str">
        <f t="shared" si="23"/>
        <v/>
      </c>
      <c r="Q513" s="205" t="str">
        <f t="shared" si="21"/>
        <v/>
      </c>
      <c r="R513" s="205"/>
      <c r="S513" s="319" t="str">
        <f t="shared" si="22"/>
        <v/>
      </c>
      <c r="U513" s="318"/>
      <c r="V513" s="794"/>
      <c r="W513" s="795"/>
      <c r="X513" s="482"/>
      <c r="Y513" s="482"/>
      <c r="Z513" s="482"/>
      <c r="AA513" s="319"/>
      <c r="AB513" s="220"/>
      <c r="AC513" s="318"/>
      <c r="AD513" s="319"/>
      <c r="AE513" s="220"/>
      <c r="AF513" s="320"/>
      <c r="AG513" s="205"/>
      <c r="AH513" s="205"/>
      <c r="AI513" s="205"/>
      <c r="AJ513" s="205"/>
      <c r="AK513" s="205"/>
      <c r="AL513" s="205"/>
      <c r="AM513" s="205"/>
      <c r="AN513" s="205"/>
      <c r="AO513" s="205"/>
      <c r="AP513" s="205"/>
      <c r="AQ513" s="205"/>
      <c r="AR513" s="205"/>
      <c r="AS513" s="205"/>
      <c r="AT513" s="205"/>
      <c r="AU513" s="205"/>
      <c r="AV513" s="205"/>
      <c r="AW513" s="205"/>
      <c r="AX513" s="205"/>
      <c r="AY513" s="205"/>
      <c r="AZ513" s="205"/>
      <c r="BA513" s="205"/>
      <c r="BB513" s="205"/>
      <c r="BC513" s="205"/>
      <c r="BD513" s="205"/>
      <c r="BE513" s="205"/>
      <c r="BF513" s="205"/>
      <c r="BG513" s="205"/>
      <c r="BH513" s="205"/>
      <c r="BI513" s="319"/>
    </row>
    <row r="514" spans="3:61" ht="15" customHeight="1">
      <c r="C514" s="325"/>
      <c r="D514" s="326"/>
      <c r="E514" s="311"/>
      <c r="F514" s="311"/>
      <c r="G514" s="311"/>
      <c r="H514" s="311"/>
      <c r="I514" s="311"/>
      <c r="J514" s="317"/>
      <c r="K514" s="312"/>
      <c r="L514" s="312"/>
      <c r="M514" s="312"/>
      <c r="N514" s="312"/>
      <c r="O514" s="312"/>
      <c r="P514" s="322" t="str">
        <f t="shared" si="23"/>
        <v/>
      </c>
      <c r="Q514" s="208" t="str">
        <f t="shared" si="21"/>
        <v/>
      </c>
      <c r="R514" s="208"/>
      <c r="S514" s="323" t="str">
        <f t="shared" si="22"/>
        <v/>
      </c>
      <c r="U514" s="322"/>
      <c r="V514" s="791"/>
      <c r="W514" s="792"/>
      <c r="X514" s="480"/>
      <c r="Y514" s="480"/>
      <c r="Z514" s="480"/>
      <c r="AA514" s="323"/>
      <c r="AB514" s="220"/>
      <c r="AC514" s="322"/>
      <c r="AD514" s="323"/>
      <c r="AE514" s="220"/>
      <c r="AF514" s="324"/>
      <c r="AG514" s="208"/>
      <c r="AH514" s="208"/>
      <c r="AI514" s="208"/>
      <c r="AJ514" s="208"/>
      <c r="AK514" s="208"/>
      <c r="AL514" s="208"/>
      <c r="AM514" s="208"/>
      <c r="AN514" s="208"/>
      <c r="AO514" s="208"/>
      <c r="AP514" s="208"/>
      <c r="AQ514" s="208"/>
      <c r="AR514" s="208"/>
      <c r="AS514" s="208"/>
      <c r="AT514" s="208"/>
      <c r="AU514" s="208"/>
      <c r="AV514" s="208"/>
      <c r="AW514" s="208"/>
      <c r="AX514" s="208"/>
      <c r="AY514" s="208"/>
      <c r="AZ514" s="208"/>
      <c r="BA514" s="208"/>
      <c r="BB514" s="208"/>
      <c r="BC514" s="208"/>
      <c r="BD514" s="208"/>
      <c r="BE514" s="208"/>
      <c r="BF514" s="208"/>
      <c r="BG514" s="208"/>
      <c r="BH514" s="208"/>
      <c r="BI514" s="323"/>
    </row>
    <row r="515" spans="3:61" ht="15" customHeight="1">
      <c r="C515" s="325"/>
      <c r="D515" s="326"/>
      <c r="E515" s="311"/>
      <c r="F515" s="311"/>
      <c r="G515" s="311"/>
      <c r="H515" s="311"/>
      <c r="I515" s="311"/>
      <c r="J515" s="317"/>
      <c r="K515" s="312"/>
      <c r="L515" s="312"/>
      <c r="M515" s="312"/>
      <c r="N515" s="312"/>
      <c r="O515" s="312"/>
      <c r="P515" s="318" t="str">
        <f t="shared" si="23"/>
        <v/>
      </c>
      <c r="Q515" s="205" t="str">
        <f t="shared" si="21"/>
        <v/>
      </c>
      <c r="R515" s="205"/>
      <c r="S515" s="319" t="str">
        <f t="shared" si="22"/>
        <v/>
      </c>
      <c r="U515" s="318"/>
      <c r="V515" s="794"/>
      <c r="W515" s="795"/>
      <c r="X515" s="482"/>
      <c r="Y515" s="482"/>
      <c r="Z515" s="482"/>
      <c r="AA515" s="319"/>
      <c r="AB515" s="220"/>
      <c r="AC515" s="318"/>
      <c r="AD515" s="319"/>
      <c r="AE515" s="220"/>
      <c r="AF515" s="320"/>
      <c r="AG515" s="205"/>
      <c r="AH515" s="205"/>
      <c r="AI515" s="205"/>
      <c r="AJ515" s="205"/>
      <c r="AK515" s="205"/>
      <c r="AL515" s="205"/>
      <c r="AM515" s="205"/>
      <c r="AN515" s="205"/>
      <c r="AO515" s="205"/>
      <c r="AP515" s="205"/>
      <c r="AQ515" s="205"/>
      <c r="AR515" s="205"/>
      <c r="AS515" s="205"/>
      <c r="AT515" s="205"/>
      <c r="AU515" s="205"/>
      <c r="AV515" s="205"/>
      <c r="AW515" s="205"/>
      <c r="AX515" s="205"/>
      <c r="AY515" s="205"/>
      <c r="AZ515" s="205"/>
      <c r="BA515" s="205"/>
      <c r="BB515" s="205"/>
      <c r="BC515" s="205"/>
      <c r="BD515" s="205"/>
      <c r="BE515" s="205"/>
      <c r="BF515" s="205"/>
      <c r="BG515" s="205"/>
      <c r="BH515" s="205"/>
      <c r="BI515" s="319"/>
    </row>
    <row r="516" spans="3:61" ht="15" customHeight="1">
      <c r="C516" s="325"/>
      <c r="D516" s="326"/>
      <c r="E516" s="311"/>
      <c r="F516" s="311"/>
      <c r="G516" s="311"/>
      <c r="H516" s="311"/>
      <c r="I516" s="311"/>
      <c r="J516" s="317"/>
      <c r="K516" s="312"/>
      <c r="L516" s="312"/>
      <c r="M516" s="312"/>
      <c r="N516" s="312"/>
      <c r="O516" s="312"/>
      <c r="P516" s="322" t="str">
        <f t="shared" si="23"/>
        <v/>
      </c>
      <c r="Q516" s="208" t="str">
        <f t="shared" si="21"/>
        <v/>
      </c>
      <c r="R516" s="208"/>
      <c r="S516" s="323" t="str">
        <f t="shared" si="22"/>
        <v/>
      </c>
      <c r="U516" s="322"/>
      <c r="V516" s="791"/>
      <c r="W516" s="792"/>
      <c r="X516" s="480"/>
      <c r="Y516" s="480"/>
      <c r="Z516" s="480"/>
      <c r="AA516" s="323"/>
      <c r="AB516" s="220"/>
      <c r="AC516" s="322"/>
      <c r="AD516" s="323"/>
      <c r="AE516" s="220"/>
      <c r="AF516" s="324"/>
      <c r="AG516" s="208"/>
      <c r="AH516" s="208"/>
      <c r="AI516" s="208"/>
      <c r="AJ516" s="208"/>
      <c r="AK516" s="208"/>
      <c r="AL516" s="208"/>
      <c r="AM516" s="208"/>
      <c r="AN516" s="208"/>
      <c r="AO516" s="208"/>
      <c r="AP516" s="208"/>
      <c r="AQ516" s="208"/>
      <c r="AR516" s="208"/>
      <c r="AS516" s="208"/>
      <c r="AT516" s="208"/>
      <c r="AU516" s="208"/>
      <c r="AV516" s="208"/>
      <c r="AW516" s="208"/>
      <c r="AX516" s="208"/>
      <c r="AY516" s="208"/>
      <c r="AZ516" s="208"/>
      <c r="BA516" s="208"/>
      <c r="BB516" s="208"/>
      <c r="BC516" s="208"/>
      <c r="BD516" s="208"/>
      <c r="BE516" s="208"/>
      <c r="BF516" s="208"/>
      <c r="BG516" s="208"/>
      <c r="BH516" s="208"/>
      <c r="BI516" s="323"/>
    </row>
    <row r="517" spans="3:61" ht="15" customHeight="1">
      <c r="C517" s="325"/>
      <c r="D517" s="326"/>
      <c r="E517" s="311"/>
      <c r="F517" s="311"/>
      <c r="G517" s="311"/>
      <c r="H517" s="311"/>
      <c r="I517" s="311"/>
      <c r="J517" s="317"/>
      <c r="K517" s="312"/>
      <c r="L517" s="312"/>
      <c r="M517" s="312"/>
      <c r="N517" s="312"/>
      <c r="O517" s="312"/>
      <c r="P517" s="318" t="str">
        <f t="shared" si="23"/>
        <v/>
      </c>
      <c r="Q517" s="205" t="str">
        <f t="shared" si="21"/>
        <v/>
      </c>
      <c r="R517" s="205"/>
      <c r="S517" s="319" t="str">
        <f t="shared" si="22"/>
        <v/>
      </c>
      <c r="U517" s="318"/>
      <c r="V517" s="794"/>
      <c r="W517" s="795"/>
      <c r="X517" s="482"/>
      <c r="Y517" s="482"/>
      <c r="Z517" s="482"/>
      <c r="AA517" s="319"/>
      <c r="AB517" s="220"/>
      <c r="AC517" s="318"/>
      <c r="AD517" s="319"/>
      <c r="AE517" s="220"/>
      <c r="AF517" s="320"/>
      <c r="AG517" s="205"/>
      <c r="AH517" s="205"/>
      <c r="AI517" s="205"/>
      <c r="AJ517" s="205"/>
      <c r="AK517" s="205"/>
      <c r="AL517" s="205"/>
      <c r="AM517" s="205"/>
      <c r="AN517" s="205"/>
      <c r="AO517" s="205"/>
      <c r="AP517" s="205"/>
      <c r="AQ517" s="205"/>
      <c r="AR517" s="205"/>
      <c r="AS517" s="205"/>
      <c r="AT517" s="205"/>
      <c r="AU517" s="205"/>
      <c r="AV517" s="205"/>
      <c r="AW517" s="205"/>
      <c r="AX517" s="205"/>
      <c r="AY517" s="205"/>
      <c r="AZ517" s="205"/>
      <c r="BA517" s="205"/>
      <c r="BB517" s="205"/>
      <c r="BC517" s="205"/>
      <c r="BD517" s="205"/>
      <c r="BE517" s="205"/>
      <c r="BF517" s="205"/>
      <c r="BG517" s="205"/>
      <c r="BH517" s="205"/>
      <c r="BI517" s="319"/>
    </row>
    <row r="518" spans="3:61" ht="15" customHeight="1">
      <c r="C518" s="325"/>
      <c r="D518" s="326"/>
      <c r="E518" s="311"/>
      <c r="F518" s="311"/>
      <c r="G518" s="311"/>
      <c r="H518" s="311"/>
      <c r="I518" s="311"/>
      <c r="J518" s="317"/>
      <c r="K518" s="312"/>
      <c r="L518" s="312"/>
      <c r="M518" s="312"/>
      <c r="N518" s="312"/>
      <c r="O518" s="312"/>
      <c r="P518" s="322" t="str">
        <f t="shared" si="23"/>
        <v/>
      </c>
      <c r="Q518" s="208" t="str">
        <f t="shared" si="21"/>
        <v/>
      </c>
      <c r="R518" s="208"/>
      <c r="S518" s="323" t="str">
        <f t="shared" si="22"/>
        <v/>
      </c>
      <c r="U518" s="322"/>
      <c r="V518" s="791"/>
      <c r="W518" s="792"/>
      <c r="X518" s="480"/>
      <c r="Y518" s="480"/>
      <c r="Z518" s="480"/>
      <c r="AA518" s="323"/>
      <c r="AB518" s="220"/>
      <c r="AC518" s="322"/>
      <c r="AD518" s="323"/>
      <c r="AE518" s="220"/>
      <c r="AF518" s="324"/>
      <c r="AG518" s="208"/>
      <c r="AH518" s="208"/>
      <c r="AI518" s="208"/>
      <c r="AJ518" s="208"/>
      <c r="AK518" s="208"/>
      <c r="AL518" s="208"/>
      <c r="AM518" s="208"/>
      <c r="AN518" s="208"/>
      <c r="AO518" s="208"/>
      <c r="AP518" s="208"/>
      <c r="AQ518" s="208"/>
      <c r="AR518" s="208"/>
      <c r="AS518" s="208"/>
      <c r="AT518" s="208"/>
      <c r="AU518" s="208"/>
      <c r="AV518" s="208"/>
      <c r="AW518" s="208"/>
      <c r="AX518" s="208"/>
      <c r="AY518" s="208"/>
      <c r="AZ518" s="208"/>
      <c r="BA518" s="208"/>
      <c r="BB518" s="208"/>
      <c r="BC518" s="208"/>
      <c r="BD518" s="208"/>
      <c r="BE518" s="208"/>
      <c r="BF518" s="208"/>
      <c r="BG518" s="208"/>
      <c r="BH518" s="208"/>
      <c r="BI518" s="323"/>
    </row>
    <row r="519" spans="3:61" ht="15" customHeight="1">
      <c r="C519" s="325"/>
      <c r="D519" s="326"/>
      <c r="E519" s="311"/>
      <c r="F519" s="311"/>
      <c r="G519" s="311"/>
      <c r="H519" s="311"/>
      <c r="I519" s="311"/>
      <c r="J519" s="317"/>
      <c r="K519" s="312"/>
      <c r="L519" s="312"/>
      <c r="M519" s="312"/>
      <c r="N519" s="312"/>
      <c r="O519" s="312"/>
      <c r="P519" s="318" t="str">
        <f t="shared" si="23"/>
        <v/>
      </c>
      <c r="Q519" s="205" t="str">
        <f t="shared" si="21"/>
        <v/>
      </c>
      <c r="R519" s="205"/>
      <c r="S519" s="319" t="str">
        <f t="shared" si="22"/>
        <v/>
      </c>
      <c r="U519" s="318"/>
      <c r="V519" s="794"/>
      <c r="W519" s="795"/>
      <c r="X519" s="482"/>
      <c r="Y519" s="482"/>
      <c r="Z519" s="482"/>
      <c r="AA519" s="319"/>
      <c r="AB519" s="220"/>
      <c r="AC519" s="318"/>
      <c r="AD519" s="319"/>
      <c r="AE519" s="220"/>
      <c r="AF519" s="320"/>
      <c r="AG519" s="205"/>
      <c r="AH519" s="205"/>
      <c r="AI519" s="205"/>
      <c r="AJ519" s="205"/>
      <c r="AK519" s="205"/>
      <c r="AL519" s="205"/>
      <c r="AM519" s="205"/>
      <c r="AN519" s="205"/>
      <c r="AO519" s="205"/>
      <c r="AP519" s="205"/>
      <c r="AQ519" s="205"/>
      <c r="AR519" s="205"/>
      <c r="AS519" s="205"/>
      <c r="AT519" s="205"/>
      <c r="AU519" s="205"/>
      <c r="AV519" s="205"/>
      <c r="AW519" s="205"/>
      <c r="AX519" s="205"/>
      <c r="AY519" s="205"/>
      <c r="AZ519" s="205"/>
      <c r="BA519" s="205"/>
      <c r="BB519" s="205"/>
      <c r="BC519" s="205"/>
      <c r="BD519" s="205"/>
      <c r="BE519" s="205"/>
      <c r="BF519" s="205"/>
      <c r="BG519" s="205"/>
      <c r="BH519" s="205"/>
      <c r="BI519" s="319"/>
    </row>
    <row r="520" spans="3:61" ht="15" customHeight="1">
      <c r="C520" s="325"/>
      <c r="D520" s="326"/>
      <c r="E520" s="311"/>
      <c r="F520" s="311"/>
      <c r="G520" s="311"/>
      <c r="H520" s="311"/>
      <c r="I520" s="311"/>
      <c r="J520" s="317"/>
      <c r="K520" s="312"/>
      <c r="L520" s="312"/>
      <c r="M520" s="312"/>
      <c r="N520" s="312"/>
      <c r="O520" s="312"/>
      <c r="P520" s="322" t="str">
        <f t="shared" si="23"/>
        <v/>
      </c>
      <c r="Q520" s="208" t="str">
        <f t="shared" si="21"/>
        <v/>
      </c>
      <c r="R520" s="208"/>
      <c r="S520" s="323" t="str">
        <f t="shared" si="22"/>
        <v/>
      </c>
      <c r="U520" s="322"/>
      <c r="V520" s="791"/>
      <c r="W520" s="792"/>
      <c r="X520" s="480"/>
      <c r="Y520" s="480"/>
      <c r="Z520" s="480"/>
      <c r="AA520" s="323"/>
      <c r="AB520" s="220"/>
      <c r="AC520" s="322"/>
      <c r="AD520" s="323"/>
      <c r="AE520" s="220"/>
      <c r="AF520" s="324"/>
      <c r="AG520" s="208"/>
      <c r="AH520" s="208"/>
      <c r="AI520" s="208"/>
      <c r="AJ520" s="208"/>
      <c r="AK520" s="208"/>
      <c r="AL520" s="208"/>
      <c r="AM520" s="208"/>
      <c r="AN520" s="208"/>
      <c r="AO520" s="208"/>
      <c r="AP520" s="208"/>
      <c r="AQ520" s="208"/>
      <c r="AR520" s="208"/>
      <c r="AS520" s="208"/>
      <c r="AT520" s="208"/>
      <c r="AU520" s="208"/>
      <c r="AV520" s="208"/>
      <c r="AW520" s="208"/>
      <c r="AX520" s="208"/>
      <c r="AY520" s="208"/>
      <c r="AZ520" s="208"/>
      <c r="BA520" s="208"/>
      <c r="BB520" s="208"/>
      <c r="BC520" s="208"/>
      <c r="BD520" s="208"/>
      <c r="BE520" s="208"/>
      <c r="BF520" s="208"/>
      <c r="BG520" s="208"/>
      <c r="BH520" s="208"/>
      <c r="BI520" s="323"/>
    </row>
    <row r="521" spans="3:61" ht="15" customHeight="1">
      <c r="C521" s="325"/>
      <c r="D521" s="326"/>
      <c r="E521" s="311"/>
      <c r="F521" s="311"/>
      <c r="G521" s="311"/>
      <c r="H521" s="311"/>
      <c r="I521" s="311"/>
      <c r="J521" s="317"/>
      <c r="K521" s="312"/>
      <c r="L521" s="312"/>
      <c r="M521" s="312"/>
      <c r="N521" s="312"/>
      <c r="O521" s="312"/>
      <c r="P521" s="318" t="str">
        <f t="shared" si="23"/>
        <v/>
      </c>
      <c r="Q521" s="205" t="str">
        <f t="shared" si="21"/>
        <v/>
      </c>
      <c r="R521" s="205"/>
      <c r="S521" s="319" t="str">
        <f t="shared" si="22"/>
        <v/>
      </c>
      <c r="U521" s="318"/>
      <c r="V521" s="794"/>
      <c r="W521" s="795"/>
      <c r="X521" s="482"/>
      <c r="Y521" s="482"/>
      <c r="Z521" s="482"/>
      <c r="AA521" s="319"/>
      <c r="AB521" s="220"/>
      <c r="AC521" s="318"/>
      <c r="AD521" s="319"/>
      <c r="AE521" s="220"/>
      <c r="AF521" s="320"/>
      <c r="AG521" s="205"/>
      <c r="AH521" s="205"/>
      <c r="AI521" s="205"/>
      <c r="AJ521" s="205"/>
      <c r="AK521" s="205"/>
      <c r="AL521" s="205"/>
      <c r="AM521" s="205"/>
      <c r="AN521" s="205"/>
      <c r="AO521" s="205"/>
      <c r="AP521" s="205"/>
      <c r="AQ521" s="205"/>
      <c r="AR521" s="205"/>
      <c r="AS521" s="205"/>
      <c r="AT521" s="205"/>
      <c r="AU521" s="205"/>
      <c r="AV521" s="205"/>
      <c r="AW521" s="205"/>
      <c r="AX521" s="205"/>
      <c r="AY521" s="205"/>
      <c r="AZ521" s="205"/>
      <c r="BA521" s="205"/>
      <c r="BB521" s="205"/>
      <c r="BC521" s="205"/>
      <c r="BD521" s="205"/>
      <c r="BE521" s="205"/>
      <c r="BF521" s="205"/>
      <c r="BG521" s="205"/>
      <c r="BH521" s="205"/>
      <c r="BI521" s="319"/>
    </row>
    <row r="522" spans="3:61" ht="15" customHeight="1">
      <c r="C522" s="325"/>
      <c r="D522" s="326"/>
      <c r="E522" s="311"/>
      <c r="F522" s="311"/>
      <c r="G522" s="311"/>
      <c r="H522" s="311"/>
      <c r="I522" s="311"/>
      <c r="J522" s="317"/>
      <c r="K522" s="312"/>
      <c r="L522" s="312"/>
      <c r="M522" s="312"/>
      <c r="N522" s="312"/>
      <c r="O522" s="312"/>
      <c r="P522" s="322" t="str">
        <f t="shared" si="23"/>
        <v/>
      </c>
      <c r="Q522" s="208" t="str">
        <f t="shared" si="21"/>
        <v/>
      </c>
      <c r="R522" s="208"/>
      <c r="S522" s="323" t="str">
        <f t="shared" si="22"/>
        <v/>
      </c>
      <c r="U522" s="322"/>
      <c r="V522" s="791"/>
      <c r="W522" s="792"/>
      <c r="X522" s="480"/>
      <c r="Y522" s="480"/>
      <c r="Z522" s="480"/>
      <c r="AA522" s="323"/>
      <c r="AB522" s="220"/>
      <c r="AC522" s="322"/>
      <c r="AD522" s="323"/>
      <c r="AE522" s="220"/>
      <c r="AF522" s="324"/>
      <c r="AG522" s="208"/>
      <c r="AH522" s="208"/>
      <c r="AI522" s="208"/>
      <c r="AJ522" s="208"/>
      <c r="AK522" s="208"/>
      <c r="AL522" s="208"/>
      <c r="AM522" s="208"/>
      <c r="AN522" s="208"/>
      <c r="AO522" s="208"/>
      <c r="AP522" s="208"/>
      <c r="AQ522" s="208"/>
      <c r="AR522" s="208"/>
      <c r="AS522" s="208"/>
      <c r="AT522" s="208"/>
      <c r="AU522" s="208"/>
      <c r="AV522" s="208"/>
      <c r="AW522" s="208"/>
      <c r="AX522" s="208"/>
      <c r="AY522" s="208"/>
      <c r="AZ522" s="208"/>
      <c r="BA522" s="208"/>
      <c r="BB522" s="208"/>
      <c r="BC522" s="208"/>
      <c r="BD522" s="208"/>
      <c r="BE522" s="208"/>
      <c r="BF522" s="208"/>
      <c r="BG522" s="208"/>
      <c r="BH522" s="208"/>
      <c r="BI522" s="323"/>
    </row>
    <row r="523" spans="3:61" ht="15" customHeight="1">
      <c r="C523" s="325"/>
      <c r="D523" s="326"/>
      <c r="E523" s="311"/>
      <c r="F523" s="311"/>
      <c r="G523" s="311"/>
      <c r="H523" s="311"/>
      <c r="I523" s="311"/>
      <c r="J523" s="317"/>
      <c r="K523" s="312"/>
      <c r="L523" s="312"/>
      <c r="M523" s="312"/>
      <c r="N523" s="312"/>
      <c r="O523" s="312"/>
      <c r="P523" s="318" t="str">
        <f t="shared" si="23"/>
        <v/>
      </c>
      <c r="Q523" s="205" t="str">
        <f t="shared" ref="Q523:Q586" si="24">IF($AA523 = "", "", $AA523/$AA$10*100)</f>
        <v/>
      </c>
      <c r="R523" s="205"/>
      <c r="S523" s="319" t="str">
        <f t="shared" ref="S523:S586" si="25">IF($AD523 = "", "", $AD523/$AD$10*100)</f>
        <v/>
      </c>
      <c r="U523" s="318"/>
      <c r="V523" s="794"/>
      <c r="W523" s="795"/>
      <c r="X523" s="482"/>
      <c r="Y523" s="482"/>
      <c r="Z523" s="482"/>
      <c r="AA523" s="319"/>
      <c r="AB523" s="220"/>
      <c r="AC523" s="318"/>
      <c r="AD523" s="319"/>
      <c r="AE523" s="220"/>
      <c r="AF523" s="320"/>
      <c r="AG523" s="205"/>
      <c r="AH523" s="205"/>
      <c r="AI523" s="205"/>
      <c r="AJ523" s="205"/>
      <c r="AK523" s="205"/>
      <c r="AL523" s="205"/>
      <c r="AM523" s="205"/>
      <c r="AN523" s="205"/>
      <c r="AO523" s="205"/>
      <c r="AP523" s="205"/>
      <c r="AQ523" s="205"/>
      <c r="AR523" s="205"/>
      <c r="AS523" s="205"/>
      <c r="AT523" s="205"/>
      <c r="AU523" s="205"/>
      <c r="AV523" s="205"/>
      <c r="AW523" s="205"/>
      <c r="AX523" s="205"/>
      <c r="AY523" s="205"/>
      <c r="AZ523" s="205"/>
      <c r="BA523" s="205"/>
      <c r="BB523" s="205"/>
      <c r="BC523" s="205"/>
      <c r="BD523" s="205"/>
      <c r="BE523" s="205"/>
      <c r="BF523" s="205"/>
      <c r="BG523" s="205"/>
      <c r="BH523" s="205"/>
      <c r="BI523" s="319"/>
    </row>
    <row r="524" spans="3:61" ht="15" customHeight="1">
      <c r="C524" s="325"/>
      <c r="D524" s="326"/>
      <c r="E524" s="311"/>
      <c r="F524" s="311"/>
      <c r="G524" s="311"/>
      <c r="H524" s="311"/>
      <c r="I524" s="311"/>
      <c r="J524" s="317"/>
      <c r="K524" s="312"/>
      <c r="L524" s="312"/>
      <c r="M524" s="312"/>
      <c r="N524" s="312"/>
      <c r="O524" s="312"/>
      <c r="P524" s="322" t="str">
        <f t="shared" ref="P524:P587" si="26">IF(U524="", "", U524)</f>
        <v/>
      </c>
      <c r="Q524" s="208" t="str">
        <f t="shared" si="24"/>
        <v/>
      </c>
      <c r="R524" s="208"/>
      <c r="S524" s="323" t="str">
        <f t="shared" si="25"/>
        <v/>
      </c>
      <c r="U524" s="322"/>
      <c r="V524" s="791"/>
      <c r="W524" s="792"/>
      <c r="X524" s="480"/>
      <c r="Y524" s="480"/>
      <c r="Z524" s="480"/>
      <c r="AA524" s="323"/>
      <c r="AB524" s="220"/>
      <c r="AC524" s="322"/>
      <c r="AD524" s="323"/>
      <c r="AE524" s="220"/>
      <c r="AF524" s="324"/>
      <c r="AG524" s="208"/>
      <c r="AH524" s="208"/>
      <c r="AI524" s="208"/>
      <c r="AJ524" s="208"/>
      <c r="AK524" s="208"/>
      <c r="AL524" s="208"/>
      <c r="AM524" s="208"/>
      <c r="AN524" s="208"/>
      <c r="AO524" s="208"/>
      <c r="AP524" s="208"/>
      <c r="AQ524" s="208"/>
      <c r="AR524" s="208"/>
      <c r="AS524" s="208"/>
      <c r="AT524" s="208"/>
      <c r="AU524" s="208"/>
      <c r="AV524" s="208"/>
      <c r="AW524" s="208"/>
      <c r="AX524" s="208"/>
      <c r="AY524" s="208"/>
      <c r="AZ524" s="208"/>
      <c r="BA524" s="208"/>
      <c r="BB524" s="208"/>
      <c r="BC524" s="208"/>
      <c r="BD524" s="208"/>
      <c r="BE524" s="208"/>
      <c r="BF524" s="208"/>
      <c r="BG524" s="208"/>
      <c r="BH524" s="208"/>
      <c r="BI524" s="323"/>
    </row>
    <row r="525" spans="3:61" ht="15" customHeight="1">
      <c r="C525" s="325"/>
      <c r="D525" s="326"/>
      <c r="E525" s="311"/>
      <c r="F525" s="311"/>
      <c r="G525" s="311"/>
      <c r="H525" s="311"/>
      <c r="I525" s="311"/>
      <c r="J525" s="317"/>
      <c r="K525" s="312"/>
      <c r="L525" s="312"/>
      <c r="M525" s="312"/>
      <c r="N525" s="312"/>
      <c r="O525" s="312"/>
      <c r="P525" s="318" t="str">
        <f t="shared" si="26"/>
        <v/>
      </c>
      <c r="Q525" s="205" t="str">
        <f t="shared" si="24"/>
        <v/>
      </c>
      <c r="R525" s="205"/>
      <c r="S525" s="319" t="str">
        <f t="shared" si="25"/>
        <v/>
      </c>
      <c r="U525" s="318"/>
      <c r="V525" s="794"/>
      <c r="W525" s="795"/>
      <c r="X525" s="482"/>
      <c r="Y525" s="482"/>
      <c r="Z525" s="482"/>
      <c r="AA525" s="319"/>
      <c r="AB525" s="220"/>
      <c r="AC525" s="318"/>
      <c r="AD525" s="319"/>
      <c r="AE525" s="220"/>
      <c r="AF525" s="320"/>
      <c r="AG525" s="205"/>
      <c r="AH525" s="205"/>
      <c r="AI525" s="205"/>
      <c r="AJ525" s="205"/>
      <c r="AK525" s="205"/>
      <c r="AL525" s="205"/>
      <c r="AM525" s="205"/>
      <c r="AN525" s="205"/>
      <c r="AO525" s="205"/>
      <c r="AP525" s="205"/>
      <c r="AQ525" s="205"/>
      <c r="AR525" s="205"/>
      <c r="AS525" s="205"/>
      <c r="AT525" s="205"/>
      <c r="AU525" s="205"/>
      <c r="AV525" s="205"/>
      <c r="AW525" s="205"/>
      <c r="AX525" s="205"/>
      <c r="AY525" s="205"/>
      <c r="AZ525" s="205"/>
      <c r="BA525" s="205"/>
      <c r="BB525" s="205"/>
      <c r="BC525" s="205"/>
      <c r="BD525" s="205"/>
      <c r="BE525" s="205"/>
      <c r="BF525" s="205"/>
      <c r="BG525" s="205"/>
      <c r="BH525" s="205"/>
      <c r="BI525" s="319"/>
    </row>
    <row r="526" spans="3:61" ht="15" customHeight="1">
      <c r="C526" s="325"/>
      <c r="D526" s="326"/>
      <c r="E526" s="311"/>
      <c r="F526" s="311"/>
      <c r="G526" s="311"/>
      <c r="H526" s="311"/>
      <c r="I526" s="311"/>
      <c r="J526" s="317"/>
      <c r="K526" s="312"/>
      <c r="L526" s="312"/>
      <c r="M526" s="312"/>
      <c r="N526" s="312"/>
      <c r="O526" s="312"/>
      <c r="P526" s="322" t="str">
        <f t="shared" si="26"/>
        <v/>
      </c>
      <c r="Q526" s="208" t="str">
        <f t="shared" si="24"/>
        <v/>
      </c>
      <c r="R526" s="208"/>
      <c r="S526" s="323" t="str">
        <f t="shared" si="25"/>
        <v/>
      </c>
      <c r="U526" s="322"/>
      <c r="V526" s="791"/>
      <c r="W526" s="792"/>
      <c r="X526" s="480"/>
      <c r="Y526" s="480"/>
      <c r="Z526" s="480"/>
      <c r="AA526" s="323"/>
      <c r="AB526" s="220"/>
      <c r="AC526" s="322"/>
      <c r="AD526" s="323"/>
      <c r="AE526" s="220"/>
      <c r="AF526" s="324"/>
      <c r="AG526" s="208"/>
      <c r="AH526" s="208"/>
      <c r="AI526" s="208"/>
      <c r="AJ526" s="208"/>
      <c r="AK526" s="208"/>
      <c r="AL526" s="208"/>
      <c r="AM526" s="208"/>
      <c r="AN526" s="208"/>
      <c r="AO526" s="208"/>
      <c r="AP526" s="208"/>
      <c r="AQ526" s="208"/>
      <c r="AR526" s="208"/>
      <c r="AS526" s="208"/>
      <c r="AT526" s="208"/>
      <c r="AU526" s="208"/>
      <c r="AV526" s="208"/>
      <c r="AW526" s="208"/>
      <c r="AX526" s="208"/>
      <c r="AY526" s="208"/>
      <c r="AZ526" s="208"/>
      <c r="BA526" s="208"/>
      <c r="BB526" s="208"/>
      <c r="BC526" s="208"/>
      <c r="BD526" s="208"/>
      <c r="BE526" s="208"/>
      <c r="BF526" s="208"/>
      <c r="BG526" s="208"/>
      <c r="BH526" s="208"/>
      <c r="BI526" s="323"/>
    </row>
    <row r="527" spans="3:61" ht="15" customHeight="1">
      <c r="C527" s="325"/>
      <c r="D527" s="326"/>
      <c r="E527" s="311"/>
      <c r="F527" s="311"/>
      <c r="G527" s="311"/>
      <c r="H527" s="311"/>
      <c r="I527" s="311"/>
      <c r="J527" s="317"/>
      <c r="K527" s="312"/>
      <c r="L527" s="312"/>
      <c r="M527" s="312"/>
      <c r="N527" s="312"/>
      <c r="O527" s="312"/>
      <c r="P527" s="318" t="str">
        <f t="shared" si="26"/>
        <v/>
      </c>
      <c r="Q527" s="205" t="str">
        <f t="shared" si="24"/>
        <v/>
      </c>
      <c r="R527" s="205"/>
      <c r="S527" s="319" t="str">
        <f t="shared" si="25"/>
        <v/>
      </c>
      <c r="U527" s="318"/>
      <c r="V527" s="794"/>
      <c r="W527" s="795"/>
      <c r="X527" s="482"/>
      <c r="Y527" s="482"/>
      <c r="Z527" s="482"/>
      <c r="AA527" s="319"/>
      <c r="AB527" s="220"/>
      <c r="AC527" s="318"/>
      <c r="AD527" s="319"/>
      <c r="AE527" s="220"/>
      <c r="AF527" s="320"/>
      <c r="AG527" s="205"/>
      <c r="AH527" s="205"/>
      <c r="AI527" s="205"/>
      <c r="AJ527" s="205"/>
      <c r="AK527" s="205"/>
      <c r="AL527" s="205"/>
      <c r="AM527" s="205"/>
      <c r="AN527" s="205"/>
      <c r="AO527" s="205"/>
      <c r="AP527" s="205"/>
      <c r="AQ527" s="205"/>
      <c r="AR527" s="205"/>
      <c r="AS527" s="205"/>
      <c r="AT527" s="205"/>
      <c r="AU527" s="205"/>
      <c r="AV527" s="205"/>
      <c r="AW527" s="205"/>
      <c r="AX527" s="205"/>
      <c r="AY527" s="205"/>
      <c r="AZ527" s="205"/>
      <c r="BA527" s="205"/>
      <c r="BB527" s="205"/>
      <c r="BC527" s="205"/>
      <c r="BD527" s="205"/>
      <c r="BE527" s="205"/>
      <c r="BF527" s="205"/>
      <c r="BG527" s="205"/>
      <c r="BH527" s="205"/>
      <c r="BI527" s="319"/>
    </row>
    <row r="528" spans="3:61" ht="15" customHeight="1">
      <c r="C528" s="325"/>
      <c r="D528" s="326"/>
      <c r="E528" s="311"/>
      <c r="F528" s="311"/>
      <c r="G528" s="311"/>
      <c r="H528" s="311"/>
      <c r="I528" s="311"/>
      <c r="J528" s="317"/>
      <c r="K528" s="312"/>
      <c r="L528" s="312"/>
      <c r="M528" s="312"/>
      <c r="N528" s="312"/>
      <c r="O528" s="312"/>
      <c r="P528" s="322" t="str">
        <f t="shared" si="26"/>
        <v/>
      </c>
      <c r="Q528" s="208" t="str">
        <f t="shared" si="24"/>
        <v/>
      </c>
      <c r="R528" s="208"/>
      <c r="S528" s="323" t="str">
        <f t="shared" si="25"/>
        <v/>
      </c>
      <c r="U528" s="322"/>
      <c r="V528" s="791"/>
      <c r="W528" s="792"/>
      <c r="X528" s="480"/>
      <c r="Y528" s="480"/>
      <c r="Z528" s="480"/>
      <c r="AA528" s="323"/>
      <c r="AB528" s="220"/>
      <c r="AC528" s="322"/>
      <c r="AD528" s="323"/>
      <c r="AE528" s="220"/>
      <c r="AF528" s="324"/>
      <c r="AG528" s="208"/>
      <c r="AH528" s="208"/>
      <c r="AI528" s="208"/>
      <c r="AJ528" s="208"/>
      <c r="AK528" s="208"/>
      <c r="AL528" s="208"/>
      <c r="AM528" s="208"/>
      <c r="AN528" s="208"/>
      <c r="AO528" s="208"/>
      <c r="AP528" s="208"/>
      <c r="AQ528" s="208"/>
      <c r="AR528" s="208"/>
      <c r="AS528" s="208"/>
      <c r="AT528" s="208"/>
      <c r="AU528" s="208"/>
      <c r="AV528" s="208"/>
      <c r="AW528" s="208"/>
      <c r="AX528" s="208"/>
      <c r="AY528" s="208"/>
      <c r="AZ528" s="208"/>
      <c r="BA528" s="208"/>
      <c r="BB528" s="208"/>
      <c r="BC528" s="208"/>
      <c r="BD528" s="208"/>
      <c r="BE528" s="208"/>
      <c r="BF528" s="208"/>
      <c r="BG528" s="208"/>
      <c r="BH528" s="208"/>
      <c r="BI528" s="323"/>
    </row>
    <row r="529" spans="3:61" ht="15" customHeight="1">
      <c r="C529" s="325"/>
      <c r="D529" s="326"/>
      <c r="E529" s="311"/>
      <c r="F529" s="311"/>
      <c r="G529" s="311"/>
      <c r="H529" s="311"/>
      <c r="I529" s="311"/>
      <c r="J529" s="317"/>
      <c r="K529" s="312"/>
      <c r="L529" s="312"/>
      <c r="M529" s="312"/>
      <c r="N529" s="312"/>
      <c r="O529" s="312"/>
      <c r="P529" s="318" t="str">
        <f t="shared" si="26"/>
        <v/>
      </c>
      <c r="Q529" s="205" t="str">
        <f t="shared" si="24"/>
        <v/>
      </c>
      <c r="R529" s="205"/>
      <c r="S529" s="319" t="str">
        <f t="shared" si="25"/>
        <v/>
      </c>
      <c r="U529" s="318"/>
      <c r="V529" s="794"/>
      <c r="W529" s="795"/>
      <c r="X529" s="482"/>
      <c r="Y529" s="482"/>
      <c r="Z529" s="482"/>
      <c r="AA529" s="319"/>
      <c r="AB529" s="220"/>
      <c r="AC529" s="318"/>
      <c r="AD529" s="319"/>
      <c r="AE529" s="220"/>
      <c r="AF529" s="320"/>
      <c r="AG529" s="205"/>
      <c r="AH529" s="205"/>
      <c r="AI529" s="205"/>
      <c r="AJ529" s="205"/>
      <c r="AK529" s="205"/>
      <c r="AL529" s="205"/>
      <c r="AM529" s="205"/>
      <c r="AN529" s="205"/>
      <c r="AO529" s="205"/>
      <c r="AP529" s="205"/>
      <c r="AQ529" s="205"/>
      <c r="AR529" s="205"/>
      <c r="AS529" s="205"/>
      <c r="AT529" s="205"/>
      <c r="AU529" s="205"/>
      <c r="AV529" s="205"/>
      <c r="AW529" s="205"/>
      <c r="AX529" s="205"/>
      <c r="AY529" s="205"/>
      <c r="AZ529" s="205"/>
      <c r="BA529" s="205"/>
      <c r="BB529" s="205"/>
      <c r="BC529" s="205"/>
      <c r="BD529" s="205"/>
      <c r="BE529" s="205"/>
      <c r="BF529" s="205"/>
      <c r="BG529" s="205"/>
      <c r="BH529" s="205"/>
      <c r="BI529" s="319"/>
    </row>
    <row r="530" spans="3:61" ht="15" customHeight="1">
      <c r="C530" s="325"/>
      <c r="D530" s="326"/>
      <c r="E530" s="311"/>
      <c r="F530" s="311"/>
      <c r="G530" s="311"/>
      <c r="H530" s="311"/>
      <c r="I530" s="311"/>
      <c r="J530" s="317"/>
      <c r="K530" s="312"/>
      <c r="L530" s="312"/>
      <c r="M530" s="312"/>
      <c r="N530" s="312"/>
      <c r="O530" s="312"/>
      <c r="P530" s="322" t="str">
        <f t="shared" si="26"/>
        <v/>
      </c>
      <c r="Q530" s="208" t="str">
        <f t="shared" si="24"/>
        <v/>
      </c>
      <c r="R530" s="208"/>
      <c r="S530" s="323" t="str">
        <f t="shared" si="25"/>
        <v/>
      </c>
      <c r="U530" s="322"/>
      <c r="V530" s="791"/>
      <c r="W530" s="792"/>
      <c r="X530" s="480"/>
      <c r="Y530" s="480"/>
      <c r="Z530" s="480"/>
      <c r="AA530" s="323"/>
      <c r="AB530" s="220"/>
      <c r="AC530" s="322"/>
      <c r="AD530" s="323"/>
      <c r="AE530" s="220"/>
      <c r="AF530" s="324"/>
      <c r="AG530" s="208"/>
      <c r="AH530" s="208"/>
      <c r="AI530" s="208"/>
      <c r="AJ530" s="208"/>
      <c r="AK530" s="208"/>
      <c r="AL530" s="208"/>
      <c r="AM530" s="208"/>
      <c r="AN530" s="208"/>
      <c r="AO530" s="208"/>
      <c r="AP530" s="208"/>
      <c r="AQ530" s="208"/>
      <c r="AR530" s="208"/>
      <c r="AS530" s="208"/>
      <c r="AT530" s="208"/>
      <c r="AU530" s="208"/>
      <c r="AV530" s="208"/>
      <c r="AW530" s="208"/>
      <c r="AX530" s="208"/>
      <c r="AY530" s="208"/>
      <c r="AZ530" s="208"/>
      <c r="BA530" s="208"/>
      <c r="BB530" s="208"/>
      <c r="BC530" s="208"/>
      <c r="BD530" s="208"/>
      <c r="BE530" s="208"/>
      <c r="BF530" s="208"/>
      <c r="BG530" s="208"/>
      <c r="BH530" s="208"/>
      <c r="BI530" s="323"/>
    </row>
    <row r="531" spans="3:61" ht="15" customHeight="1">
      <c r="C531" s="325"/>
      <c r="D531" s="326"/>
      <c r="E531" s="311"/>
      <c r="F531" s="311"/>
      <c r="G531" s="311"/>
      <c r="H531" s="311"/>
      <c r="I531" s="311"/>
      <c r="J531" s="317"/>
      <c r="K531" s="312"/>
      <c r="L531" s="312"/>
      <c r="M531" s="312"/>
      <c r="N531" s="312"/>
      <c r="O531" s="312"/>
      <c r="P531" s="318" t="str">
        <f t="shared" si="26"/>
        <v/>
      </c>
      <c r="Q531" s="205" t="str">
        <f t="shared" si="24"/>
        <v/>
      </c>
      <c r="R531" s="205"/>
      <c r="S531" s="319" t="str">
        <f t="shared" si="25"/>
        <v/>
      </c>
      <c r="U531" s="318"/>
      <c r="V531" s="794"/>
      <c r="W531" s="795"/>
      <c r="X531" s="482"/>
      <c r="Y531" s="482"/>
      <c r="Z531" s="482"/>
      <c r="AA531" s="319"/>
      <c r="AB531" s="220"/>
      <c r="AC531" s="318"/>
      <c r="AD531" s="319"/>
      <c r="AE531" s="220"/>
      <c r="AF531" s="320"/>
      <c r="AG531" s="205"/>
      <c r="AH531" s="205"/>
      <c r="AI531" s="205"/>
      <c r="AJ531" s="205"/>
      <c r="AK531" s="205"/>
      <c r="AL531" s="205"/>
      <c r="AM531" s="205"/>
      <c r="AN531" s="205"/>
      <c r="AO531" s="205"/>
      <c r="AP531" s="205"/>
      <c r="AQ531" s="205"/>
      <c r="AR531" s="205"/>
      <c r="AS531" s="205"/>
      <c r="AT531" s="205"/>
      <c r="AU531" s="205"/>
      <c r="AV531" s="205"/>
      <c r="AW531" s="205"/>
      <c r="AX531" s="205"/>
      <c r="AY531" s="205"/>
      <c r="AZ531" s="205"/>
      <c r="BA531" s="205"/>
      <c r="BB531" s="205"/>
      <c r="BC531" s="205"/>
      <c r="BD531" s="205"/>
      <c r="BE531" s="205"/>
      <c r="BF531" s="205"/>
      <c r="BG531" s="205"/>
      <c r="BH531" s="205"/>
      <c r="BI531" s="319"/>
    </row>
    <row r="532" spans="3:61" ht="15" customHeight="1">
      <c r="C532" s="325"/>
      <c r="D532" s="326"/>
      <c r="E532" s="311"/>
      <c r="F532" s="311"/>
      <c r="G532" s="311"/>
      <c r="H532" s="311"/>
      <c r="I532" s="311"/>
      <c r="J532" s="317"/>
      <c r="K532" s="312"/>
      <c r="L532" s="312"/>
      <c r="M532" s="312"/>
      <c r="N532" s="312"/>
      <c r="O532" s="312"/>
      <c r="P532" s="322" t="str">
        <f t="shared" si="26"/>
        <v/>
      </c>
      <c r="Q532" s="208" t="str">
        <f t="shared" si="24"/>
        <v/>
      </c>
      <c r="R532" s="208"/>
      <c r="S532" s="323" t="str">
        <f t="shared" si="25"/>
        <v/>
      </c>
      <c r="U532" s="322"/>
      <c r="V532" s="791"/>
      <c r="W532" s="792"/>
      <c r="X532" s="480"/>
      <c r="Y532" s="480"/>
      <c r="Z532" s="480"/>
      <c r="AA532" s="323"/>
      <c r="AB532" s="220"/>
      <c r="AC532" s="322"/>
      <c r="AD532" s="323"/>
      <c r="AE532" s="220"/>
      <c r="AF532" s="324"/>
      <c r="AG532" s="208"/>
      <c r="AH532" s="208"/>
      <c r="AI532" s="208"/>
      <c r="AJ532" s="208"/>
      <c r="AK532" s="208"/>
      <c r="AL532" s="208"/>
      <c r="AM532" s="208"/>
      <c r="AN532" s="208"/>
      <c r="AO532" s="208"/>
      <c r="AP532" s="208"/>
      <c r="AQ532" s="208"/>
      <c r="AR532" s="208"/>
      <c r="AS532" s="208"/>
      <c r="AT532" s="208"/>
      <c r="AU532" s="208"/>
      <c r="AV532" s="208"/>
      <c r="AW532" s="208"/>
      <c r="AX532" s="208"/>
      <c r="AY532" s="208"/>
      <c r="AZ532" s="208"/>
      <c r="BA532" s="208"/>
      <c r="BB532" s="208"/>
      <c r="BC532" s="208"/>
      <c r="BD532" s="208"/>
      <c r="BE532" s="208"/>
      <c r="BF532" s="208"/>
      <c r="BG532" s="208"/>
      <c r="BH532" s="208"/>
      <c r="BI532" s="323"/>
    </row>
    <row r="533" spans="3:61" ht="15" customHeight="1">
      <c r="C533" s="325"/>
      <c r="D533" s="326"/>
      <c r="E533" s="311"/>
      <c r="F533" s="311"/>
      <c r="G533" s="311"/>
      <c r="H533" s="311"/>
      <c r="I533" s="311"/>
      <c r="J533" s="317"/>
      <c r="K533" s="312"/>
      <c r="L533" s="312"/>
      <c r="M533" s="312"/>
      <c r="N533" s="312"/>
      <c r="O533" s="312"/>
      <c r="P533" s="318" t="str">
        <f t="shared" si="26"/>
        <v/>
      </c>
      <c r="Q533" s="205" t="str">
        <f t="shared" si="24"/>
        <v/>
      </c>
      <c r="R533" s="205"/>
      <c r="S533" s="319" t="str">
        <f t="shared" si="25"/>
        <v/>
      </c>
      <c r="U533" s="318"/>
      <c r="V533" s="794"/>
      <c r="W533" s="795"/>
      <c r="X533" s="482"/>
      <c r="Y533" s="482"/>
      <c r="Z533" s="482"/>
      <c r="AA533" s="319"/>
      <c r="AB533" s="220"/>
      <c r="AC533" s="318"/>
      <c r="AD533" s="319"/>
      <c r="AE533" s="220"/>
      <c r="AF533" s="320"/>
      <c r="AG533" s="205"/>
      <c r="AH533" s="205"/>
      <c r="AI533" s="205"/>
      <c r="AJ533" s="205"/>
      <c r="AK533" s="205"/>
      <c r="AL533" s="205"/>
      <c r="AM533" s="205"/>
      <c r="AN533" s="205"/>
      <c r="AO533" s="205"/>
      <c r="AP533" s="205"/>
      <c r="AQ533" s="205"/>
      <c r="AR533" s="205"/>
      <c r="AS533" s="205"/>
      <c r="AT533" s="205"/>
      <c r="AU533" s="205"/>
      <c r="AV533" s="205"/>
      <c r="AW533" s="205"/>
      <c r="AX533" s="205"/>
      <c r="AY533" s="205"/>
      <c r="AZ533" s="205"/>
      <c r="BA533" s="205"/>
      <c r="BB533" s="205"/>
      <c r="BC533" s="205"/>
      <c r="BD533" s="205"/>
      <c r="BE533" s="205"/>
      <c r="BF533" s="205"/>
      <c r="BG533" s="205"/>
      <c r="BH533" s="205"/>
      <c r="BI533" s="319"/>
    </row>
    <row r="534" spans="3:61" ht="15" customHeight="1">
      <c r="C534" s="325"/>
      <c r="D534" s="326"/>
      <c r="E534" s="311"/>
      <c r="F534" s="311"/>
      <c r="G534" s="311"/>
      <c r="H534" s="311"/>
      <c r="I534" s="311"/>
      <c r="J534" s="317"/>
      <c r="K534" s="312"/>
      <c r="L534" s="312"/>
      <c r="M534" s="312"/>
      <c r="N534" s="312"/>
      <c r="O534" s="312"/>
      <c r="P534" s="322" t="str">
        <f t="shared" si="26"/>
        <v/>
      </c>
      <c r="Q534" s="208" t="str">
        <f t="shared" si="24"/>
        <v/>
      </c>
      <c r="R534" s="208"/>
      <c r="S534" s="323" t="str">
        <f t="shared" si="25"/>
        <v/>
      </c>
      <c r="U534" s="322"/>
      <c r="V534" s="791"/>
      <c r="W534" s="792"/>
      <c r="X534" s="480"/>
      <c r="Y534" s="480"/>
      <c r="Z534" s="480"/>
      <c r="AA534" s="323"/>
      <c r="AB534" s="220"/>
      <c r="AC534" s="322"/>
      <c r="AD534" s="323"/>
      <c r="AE534" s="220"/>
      <c r="AF534" s="324"/>
      <c r="AG534" s="208"/>
      <c r="AH534" s="208"/>
      <c r="AI534" s="208"/>
      <c r="AJ534" s="208"/>
      <c r="AK534" s="208"/>
      <c r="AL534" s="208"/>
      <c r="AM534" s="208"/>
      <c r="AN534" s="208"/>
      <c r="AO534" s="208"/>
      <c r="AP534" s="208"/>
      <c r="AQ534" s="208"/>
      <c r="AR534" s="208"/>
      <c r="AS534" s="208"/>
      <c r="AT534" s="208"/>
      <c r="AU534" s="208"/>
      <c r="AV534" s="208"/>
      <c r="AW534" s="208"/>
      <c r="AX534" s="208"/>
      <c r="AY534" s="208"/>
      <c r="AZ534" s="208"/>
      <c r="BA534" s="208"/>
      <c r="BB534" s="208"/>
      <c r="BC534" s="208"/>
      <c r="BD534" s="208"/>
      <c r="BE534" s="208"/>
      <c r="BF534" s="208"/>
      <c r="BG534" s="208"/>
      <c r="BH534" s="208"/>
      <c r="BI534" s="323"/>
    </row>
    <row r="535" spans="3:61" ht="15" customHeight="1">
      <c r="C535" s="325"/>
      <c r="D535" s="326"/>
      <c r="E535" s="311"/>
      <c r="F535" s="311"/>
      <c r="G535" s="311"/>
      <c r="H535" s="311"/>
      <c r="I535" s="311"/>
      <c r="J535" s="317"/>
      <c r="K535" s="312"/>
      <c r="L535" s="312"/>
      <c r="M535" s="312"/>
      <c r="N535" s="312"/>
      <c r="O535" s="312"/>
      <c r="P535" s="318" t="str">
        <f t="shared" si="26"/>
        <v/>
      </c>
      <c r="Q535" s="205" t="str">
        <f t="shared" si="24"/>
        <v/>
      </c>
      <c r="R535" s="205"/>
      <c r="S535" s="319" t="str">
        <f t="shared" si="25"/>
        <v/>
      </c>
      <c r="U535" s="318"/>
      <c r="V535" s="794"/>
      <c r="W535" s="795"/>
      <c r="X535" s="482"/>
      <c r="Y535" s="482"/>
      <c r="Z535" s="482"/>
      <c r="AA535" s="319"/>
      <c r="AB535" s="220"/>
      <c r="AC535" s="318"/>
      <c r="AD535" s="319"/>
      <c r="AE535" s="220"/>
      <c r="AF535" s="320"/>
      <c r="AG535" s="205"/>
      <c r="AH535" s="205"/>
      <c r="AI535" s="205"/>
      <c r="AJ535" s="205"/>
      <c r="AK535" s="205"/>
      <c r="AL535" s="205"/>
      <c r="AM535" s="205"/>
      <c r="AN535" s="205"/>
      <c r="AO535" s="205"/>
      <c r="AP535" s="205"/>
      <c r="AQ535" s="205"/>
      <c r="AR535" s="205"/>
      <c r="AS535" s="205"/>
      <c r="AT535" s="205"/>
      <c r="AU535" s="205"/>
      <c r="AV535" s="205"/>
      <c r="AW535" s="205"/>
      <c r="AX535" s="205"/>
      <c r="AY535" s="205"/>
      <c r="AZ535" s="205"/>
      <c r="BA535" s="205"/>
      <c r="BB535" s="205"/>
      <c r="BC535" s="205"/>
      <c r="BD535" s="205"/>
      <c r="BE535" s="205"/>
      <c r="BF535" s="205"/>
      <c r="BG535" s="205"/>
      <c r="BH535" s="205"/>
      <c r="BI535" s="319"/>
    </row>
    <row r="536" spans="3:61" ht="15" customHeight="1">
      <c r="C536" s="325"/>
      <c r="D536" s="326"/>
      <c r="E536" s="311"/>
      <c r="F536" s="311"/>
      <c r="G536" s="311"/>
      <c r="H536" s="311"/>
      <c r="I536" s="311"/>
      <c r="J536" s="317"/>
      <c r="K536" s="312"/>
      <c r="L536" s="312"/>
      <c r="M536" s="312"/>
      <c r="N536" s="312"/>
      <c r="O536" s="312"/>
      <c r="P536" s="322" t="str">
        <f t="shared" si="26"/>
        <v/>
      </c>
      <c r="Q536" s="208" t="str">
        <f t="shared" si="24"/>
        <v/>
      </c>
      <c r="R536" s="208"/>
      <c r="S536" s="323" t="str">
        <f t="shared" si="25"/>
        <v/>
      </c>
      <c r="U536" s="322"/>
      <c r="V536" s="791"/>
      <c r="W536" s="792"/>
      <c r="X536" s="480"/>
      <c r="Y536" s="480"/>
      <c r="Z536" s="480"/>
      <c r="AA536" s="323"/>
      <c r="AB536" s="220"/>
      <c r="AC536" s="322"/>
      <c r="AD536" s="323"/>
      <c r="AE536" s="220"/>
      <c r="AF536" s="324"/>
      <c r="AG536" s="208"/>
      <c r="AH536" s="208"/>
      <c r="AI536" s="208"/>
      <c r="AJ536" s="208"/>
      <c r="AK536" s="208"/>
      <c r="AL536" s="208"/>
      <c r="AM536" s="208"/>
      <c r="AN536" s="208"/>
      <c r="AO536" s="208"/>
      <c r="AP536" s="208"/>
      <c r="AQ536" s="208"/>
      <c r="AR536" s="208"/>
      <c r="AS536" s="208"/>
      <c r="AT536" s="208"/>
      <c r="AU536" s="208"/>
      <c r="AV536" s="208"/>
      <c r="AW536" s="208"/>
      <c r="AX536" s="208"/>
      <c r="AY536" s="208"/>
      <c r="AZ536" s="208"/>
      <c r="BA536" s="208"/>
      <c r="BB536" s="208"/>
      <c r="BC536" s="208"/>
      <c r="BD536" s="208"/>
      <c r="BE536" s="208"/>
      <c r="BF536" s="208"/>
      <c r="BG536" s="208"/>
      <c r="BH536" s="208"/>
      <c r="BI536" s="323"/>
    </row>
    <row r="537" spans="3:61" ht="15" customHeight="1">
      <c r="C537" s="325"/>
      <c r="D537" s="326"/>
      <c r="E537" s="311"/>
      <c r="F537" s="311"/>
      <c r="G537" s="311"/>
      <c r="H537" s="311"/>
      <c r="I537" s="311"/>
      <c r="J537" s="317"/>
      <c r="K537" s="312"/>
      <c r="L537" s="312"/>
      <c r="M537" s="312"/>
      <c r="N537" s="312"/>
      <c r="O537" s="312"/>
      <c r="P537" s="318" t="str">
        <f t="shared" si="26"/>
        <v/>
      </c>
      <c r="Q537" s="205" t="str">
        <f t="shared" si="24"/>
        <v/>
      </c>
      <c r="R537" s="205"/>
      <c r="S537" s="319" t="str">
        <f t="shared" si="25"/>
        <v/>
      </c>
      <c r="U537" s="318"/>
      <c r="V537" s="794"/>
      <c r="W537" s="795"/>
      <c r="X537" s="482"/>
      <c r="Y537" s="482"/>
      <c r="Z537" s="482"/>
      <c r="AA537" s="319"/>
      <c r="AB537" s="220"/>
      <c r="AC537" s="318"/>
      <c r="AD537" s="319"/>
      <c r="AE537" s="220"/>
      <c r="AF537" s="320"/>
      <c r="AG537" s="205"/>
      <c r="AH537" s="205"/>
      <c r="AI537" s="205"/>
      <c r="AJ537" s="205"/>
      <c r="AK537" s="205"/>
      <c r="AL537" s="205"/>
      <c r="AM537" s="205"/>
      <c r="AN537" s="205"/>
      <c r="AO537" s="205"/>
      <c r="AP537" s="205"/>
      <c r="AQ537" s="205"/>
      <c r="AR537" s="205"/>
      <c r="AS537" s="205"/>
      <c r="AT537" s="205"/>
      <c r="AU537" s="205"/>
      <c r="AV537" s="205"/>
      <c r="AW537" s="205"/>
      <c r="AX537" s="205"/>
      <c r="AY537" s="205"/>
      <c r="AZ537" s="205"/>
      <c r="BA537" s="205"/>
      <c r="BB537" s="205"/>
      <c r="BC537" s="205"/>
      <c r="BD537" s="205"/>
      <c r="BE537" s="205"/>
      <c r="BF537" s="205"/>
      <c r="BG537" s="205"/>
      <c r="BH537" s="205"/>
      <c r="BI537" s="319"/>
    </row>
    <row r="538" spans="3:61" ht="15" customHeight="1">
      <c r="C538" s="325"/>
      <c r="D538" s="326"/>
      <c r="E538" s="311"/>
      <c r="F538" s="311"/>
      <c r="G538" s="311"/>
      <c r="H538" s="311"/>
      <c r="I538" s="311"/>
      <c r="J538" s="317"/>
      <c r="K538" s="312"/>
      <c r="L538" s="312"/>
      <c r="M538" s="312"/>
      <c r="N538" s="312"/>
      <c r="O538" s="312"/>
      <c r="P538" s="322" t="str">
        <f t="shared" si="26"/>
        <v/>
      </c>
      <c r="Q538" s="208" t="str">
        <f t="shared" si="24"/>
        <v/>
      </c>
      <c r="R538" s="208"/>
      <c r="S538" s="323" t="str">
        <f t="shared" si="25"/>
        <v/>
      </c>
      <c r="U538" s="322"/>
      <c r="V538" s="791"/>
      <c r="W538" s="792"/>
      <c r="X538" s="480"/>
      <c r="Y538" s="480"/>
      <c r="Z538" s="480"/>
      <c r="AA538" s="323"/>
      <c r="AB538" s="220"/>
      <c r="AC538" s="322"/>
      <c r="AD538" s="323"/>
      <c r="AE538" s="220"/>
      <c r="AF538" s="324"/>
      <c r="AG538" s="208"/>
      <c r="AH538" s="208"/>
      <c r="AI538" s="208"/>
      <c r="AJ538" s="208"/>
      <c r="AK538" s="208"/>
      <c r="AL538" s="208"/>
      <c r="AM538" s="208"/>
      <c r="AN538" s="208"/>
      <c r="AO538" s="208"/>
      <c r="AP538" s="208"/>
      <c r="AQ538" s="208"/>
      <c r="AR538" s="208"/>
      <c r="AS538" s="208"/>
      <c r="AT538" s="208"/>
      <c r="AU538" s="208"/>
      <c r="AV538" s="208"/>
      <c r="AW538" s="208"/>
      <c r="AX538" s="208"/>
      <c r="AY538" s="208"/>
      <c r="AZ538" s="208"/>
      <c r="BA538" s="208"/>
      <c r="BB538" s="208"/>
      <c r="BC538" s="208"/>
      <c r="BD538" s="208"/>
      <c r="BE538" s="208"/>
      <c r="BF538" s="208"/>
      <c r="BG538" s="208"/>
      <c r="BH538" s="208"/>
      <c r="BI538" s="323"/>
    </row>
    <row r="539" spans="3:61" ht="15" customHeight="1">
      <c r="C539" s="325"/>
      <c r="D539" s="326"/>
      <c r="E539" s="311"/>
      <c r="F539" s="311"/>
      <c r="G539" s="311"/>
      <c r="H539" s="311"/>
      <c r="I539" s="311"/>
      <c r="J539" s="317"/>
      <c r="K539" s="312"/>
      <c r="L539" s="312"/>
      <c r="M539" s="312"/>
      <c r="N539" s="312"/>
      <c r="O539" s="312"/>
      <c r="P539" s="318" t="str">
        <f t="shared" si="26"/>
        <v/>
      </c>
      <c r="Q539" s="205" t="str">
        <f t="shared" si="24"/>
        <v/>
      </c>
      <c r="R539" s="205"/>
      <c r="S539" s="319" t="str">
        <f t="shared" si="25"/>
        <v/>
      </c>
      <c r="U539" s="318"/>
      <c r="V539" s="794"/>
      <c r="W539" s="795"/>
      <c r="X539" s="482"/>
      <c r="Y539" s="482"/>
      <c r="Z539" s="482"/>
      <c r="AA539" s="319"/>
      <c r="AB539" s="220"/>
      <c r="AC539" s="318"/>
      <c r="AD539" s="319"/>
      <c r="AE539" s="220"/>
      <c r="AF539" s="320"/>
      <c r="AG539" s="205"/>
      <c r="AH539" s="205"/>
      <c r="AI539" s="205"/>
      <c r="AJ539" s="205"/>
      <c r="AK539" s="205"/>
      <c r="AL539" s="205"/>
      <c r="AM539" s="205"/>
      <c r="AN539" s="205"/>
      <c r="AO539" s="205"/>
      <c r="AP539" s="205"/>
      <c r="AQ539" s="205"/>
      <c r="AR539" s="205"/>
      <c r="AS539" s="205"/>
      <c r="AT539" s="205"/>
      <c r="AU539" s="205"/>
      <c r="AV539" s="205"/>
      <c r="AW539" s="205"/>
      <c r="AX539" s="205"/>
      <c r="AY539" s="205"/>
      <c r="AZ539" s="205"/>
      <c r="BA539" s="205"/>
      <c r="BB539" s="205"/>
      <c r="BC539" s="205"/>
      <c r="BD539" s="205"/>
      <c r="BE539" s="205"/>
      <c r="BF539" s="205"/>
      <c r="BG539" s="205"/>
      <c r="BH539" s="205"/>
      <c r="BI539" s="319"/>
    </row>
    <row r="540" spans="3:61" ht="15" customHeight="1">
      <c r="C540" s="325"/>
      <c r="D540" s="326"/>
      <c r="E540" s="311"/>
      <c r="F540" s="311"/>
      <c r="G540" s="311"/>
      <c r="H540" s="311"/>
      <c r="I540" s="311"/>
      <c r="J540" s="317"/>
      <c r="K540" s="312"/>
      <c r="L540" s="312"/>
      <c r="M540" s="312"/>
      <c r="N540" s="312"/>
      <c r="O540" s="312"/>
      <c r="P540" s="322" t="str">
        <f t="shared" si="26"/>
        <v/>
      </c>
      <c r="Q540" s="208" t="str">
        <f t="shared" si="24"/>
        <v/>
      </c>
      <c r="R540" s="208"/>
      <c r="S540" s="323" t="str">
        <f t="shared" si="25"/>
        <v/>
      </c>
      <c r="U540" s="322"/>
      <c r="V540" s="791"/>
      <c r="W540" s="792"/>
      <c r="X540" s="480"/>
      <c r="Y540" s="480"/>
      <c r="Z540" s="480"/>
      <c r="AA540" s="323"/>
      <c r="AB540" s="220"/>
      <c r="AC540" s="322"/>
      <c r="AD540" s="323"/>
      <c r="AE540" s="220"/>
      <c r="AF540" s="324"/>
      <c r="AG540" s="208"/>
      <c r="AH540" s="208"/>
      <c r="AI540" s="208"/>
      <c r="AJ540" s="208"/>
      <c r="AK540" s="208"/>
      <c r="AL540" s="208"/>
      <c r="AM540" s="208"/>
      <c r="AN540" s="208"/>
      <c r="AO540" s="208"/>
      <c r="AP540" s="208"/>
      <c r="AQ540" s="208"/>
      <c r="AR540" s="208"/>
      <c r="AS540" s="208"/>
      <c r="AT540" s="208"/>
      <c r="AU540" s="208"/>
      <c r="AV540" s="208"/>
      <c r="AW540" s="208"/>
      <c r="AX540" s="208"/>
      <c r="AY540" s="208"/>
      <c r="AZ540" s="208"/>
      <c r="BA540" s="208"/>
      <c r="BB540" s="208"/>
      <c r="BC540" s="208"/>
      <c r="BD540" s="208"/>
      <c r="BE540" s="208"/>
      <c r="BF540" s="208"/>
      <c r="BG540" s="208"/>
      <c r="BH540" s="208"/>
      <c r="BI540" s="323"/>
    </row>
    <row r="541" spans="3:61" ht="15" customHeight="1">
      <c r="C541" s="325"/>
      <c r="D541" s="326"/>
      <c r="E541" s="311"/>
      <c r="F541" s="311"/>
      <c r="G541" s="311"/>
      <c r="H541" s="311"/>
      <c r="I541" s="311"/>
      <c r="J541" s="317"/>
      <c r="K541" s="312"/>
      <c r="L541" s="312"/>
      <c r="M541" s="312"/>
      <c r="N541" s="312"/>
      <c r="O541" s="312"/>
      <c r="P541" s="318" t="str">
        <f t="shared" si="26"/>
        <v/>
      </c>
      <c r="Q541" s="205" t="str">
        <f t="shared" si="24"/>
        <v/>
      </c>
      <c r="R541" s="205"/>
      <c r="S541" s="319" t="str">
        <f t="shared" si="25"/>
        <v/>
      </c>
      <c r="U541" s="318"/>
      <c r="V541" s="794"/>
      <c r="W541" s="795"/>
      <c r="X541" s="482"/>
      <c r="Y541" s="482"/>
      <c r="Z541" s="482"/>
      <c r="AA541" s="319"/>
      <c r="AB541" s="220"/>
      <c r="AC541" s="318"/>
      <c r="AD541" s="319"/>
      <c r="AE541" s="220"/>
      <c r="AF541" s="320"/>
      <c r="AG541" s="205"/>
      <c r="AH541" s="205"/>
      <c r="AI541" s="205"/>
      <c r="AJ541" s="205"/>
      <c r="AK541" s="205"/>
      <c r="AL541" s="205"/>
      <c r="AM541" s="205"/>
      <c r="AN541" s="205"/>
      <c r="AO541" s="205"/>
      <c r="AP541" s="205"/>
      <c r="AQ541" s="205"/>
      <c r="AR541" s="205"/>
      <c r="AS541" s="205"/>
      <c r="AT541" s="205"/>
      <c r="AU541" s="205"/>
      <c r="AV541" s="205"/>
      <c r="AW541" s="205"/>
      <c r="AX541" s="205"/>
      <c r="AY541" s="205"/>
      <c r="AZ541" s="205"/>
      <c r="BA541" s="205"/>
      <c r="BB541" s="205"/>
      <c r="BC541" s="205"/>
      <c r="BD541" s="205"/>
      <c r="BE541" s="205"/>
      <c r="BF541" s="205"/>
      <c r="BG541" s="205"/>
      <c r="BH541" s="205"/>
      <c r="BI541" s="319"/>
    </row>
    <row r="542" spans="3:61" ht="15" customHeight="1">
      <c r="C542" s="325"/>
      <c r="D542" s="326"/>
      <c r="E542" s="311"/>
      <c r="F542" s="311"/>
      <c r="G542" s="311"/>
      <c r="H542" s="311"/>
      <c r="I542" s="311"/>
      <c r="J542" s="317"/>
      <c r="K542" s="312"/>
      <c r="L542" s="312"/>
      <c r="M542" s="312"/>
      <c r="N542" s="312"/>
      <c r="O542" s="312"/>
      <c r="P542" s="322" t="str">
        <f t="shared" si="26"/>
        <v/>
      </c>
      <c r="Q542" s="208" t="str">
        <f t="shared" si="24"/>
        <v/>
      </c>
      <c r="R542" s="208"/>
      <c r="S542" s="323" t="str">
        <f t="shared" si="25"/>
        <v/>
      </c>
      <c r="U542" s="322"/>
      <c r="V542" s="791"/>
      <c r="W542" s="792"/>
      <c r="X542" s="480"/>
      <c r="Y542" s="480"/>
      <c r="Z542" s="480"/>
      <c r="AA542" s="323"/>
      <c r="AB542" s="220"/>
      <c r="AC542" s="322"/>
      <c r="AD542" s="323"/>
      <c r="AE542" s="220"/>
      <c r="AF542" s="324"/>
      <c r="AG542" s="208"/>
      <c r="AH542" s="208"/>
      <c r="AI542" s="208"/>
      <c r="AJ542" s="208"/>
      <c r="AK542" s="208"/>
      <c r="AL542" s="208"/>
      <c r="AM542" s="208"/>
      <c r="AN542" s="208"/>
      <c r="AO542" s="208"/>
      <c r="AP542" s="208"/>
      <c r="AQ542" s="208"/>
      <c r="AR542" s="208"/>
      <c r="AS542" s="208"/>
      <c r="AT542" s="208"/>
      <c r="AU542" s="208"/>
      <c r="AV542" s="208"/>
      <c r="AW542" s="208"/>
      <c r="AX542" s="208"/>
      <c r="AY542" s="208"/>
      <c r="AZ542" s="208"/>
      <c r="BA542" s="208"/>
      <c r="BB542" s="208"/>
      <c r="BC542" s="208"/>
      <c r="BD542" s="208"/>
      <c r="BE542" s="208"/>
      <c r="BF542" s="208"/>
      <c r="BG542" s="208"/>
      <c r="BH542" s="208"/>
      <c r="BI542" s="323"/>
    </row>
    <row r="543" spans="3:61" ht="15" customHeight="1">
      <c r="C543" s="325"/>
      <c r="D543" s="326"/>
      <c r="E543" s="311"/>
      <c r="F543" s="311"/>
      <c r="G543" s="311"/>
      <c r="H543" s="311"/>
      <c r="I543" s="311"/>
      <c r="J543" s="317"/>
      <c r="K543" s="312"/>
      <c r="L543" s="312"/>
      <c r="M543" s="312"/>
      <c r="N543" s="312"/>
      <c r="O543" s="312"/>
      <c r="P543" s="318" t="str">
        <f t="shared" si="26"/>
        <v/>
      </c>
      <c r="Q543" s="205" t="str">
        <f t="shared" si="24"/>
        <v/>
      </c>
      <c r="R543" s="205"/>
      <c r="S543" s="319" t="str">
        <f t="shared" si="25"/>
        <v/>
      </c>
      <c r="U543" s="318"/>
      <c r="V543" s="794"/>
      <c r="W543" s="795"/>
      <c r="X543" s="482"/>
      <c r="Y543" s="482"/>
      <c r="Z543" s="482"/>
      <c r="AA543" s="319"/>
      <c r="AB543" s="220"/>
      <c r="AC543" s="318"/>
      <c r="AD543" s="319"/>
      <c r="AE543" s="220"/>
      <c r="AF543" s="320"/>
      <c r="AG543" s="205"/>
      <c r="AH543" s="205"/>
      <c r="AI543" s="205"/>
      <c r="AJ543" s="205"/>
      <c r="AK543" s="205"/>
      <c r="AL543" s="205"/>
      <c r="AM543" s="205"/>
      <c r="AN543" s="205"/>
      <c r="AO543" s="205"/>
      <c r="AP543" s="205"/>
      <c r="AQ543" s="205"/>
      <c r="AR543" s="205"/>
      <c r="AS543" s="205"/>
      <c r="AT543" s="205"/>
      <c r="AU543" s="205"/>
      <c r="AV543" s="205"/>
      <c r="AW543" s="205"/>
      <c r="AX543" s="205"/>
      <c r="AY543" s="205"/>
      <c r="AZ543" s="205"/>
      <c r="BA543" s="205"/>
      <c r="BB543" s="205"/>
      <c r="BC543" s="205"/>
      <c r="BD543" s="205"/>
      <c r="BE543" s="205"/>
      <c r="BF543" s="205"/>
      <c r="BG543" s="205"/>
      <c r="BH543" s="205"/>
      <c r="BI543" s="319"/>
    </row>
    <row r="544" spans="3:61" ht="15" customHeight="1">
      <c r="C544" s="325"/>
      <c r="D544" s="326"/>
      <c r="E544" s="311"/>
      <c r="F544" s="311"/>
      <c r="G544" s="311"/>
      <c r="H544" s="311"/>
      <c r="I544" s="311"/>
      <c r="J544" s="317"/>
      <c r="K544" s="312"/>
      <c r="L544" s="312"/>
      <c r="M544" s="312"/>
      <c r="N544" s="312"/>
      <c r="O544" s="312"/>
      <c r="P544" s="322" t="str">
        <f t="shared" si="26"/>
        <v/>
      </c>
      <c r="Q544" s="208" t="str">
        <f t="shared" si="24"/>
        <v/>
      </c>
      <c r="R544" s="208"/>
      <c r="S544" s="323" t="str">
        <f t="shared" si="25"/>
        <v/>
      </c>
      <c r="U544" s="322"/>
      <c r="V544" s="791"/>
      <c r="W544" s="792"/>
      <c r="X544" s="480"/>
      <c r="Y544" s="480"/>
      <c r="Z544" s="480"/>
      <c r="AA544" s="323"/>
      <c r="AB544" s="220"/>
      <c r="AC544" s="322"/>
      <c r="AD544" s="323"/>
      <c r="AE544" s="220"/>
      <c r="AF544" s="324"/>
      <c r="AG544" s="208"/>
      <c r="AH544" s="208"/>
      <c r="AI544" s="208"/>
      <c r="AJ544" s="208"/>
      <c r="AK544" s="208"/>
      <c r="AL544" s="208"/>
      <c r="AM544" s="208"/>
      <c r="AN544" s="208"/>
      <c r="AO544" s="208"/>
      <c r="AP544" s="208"/>
      <c r="AQ544" s="208"/>
      <c r="AR544" s="208"/>
      <c r="AS544" s="208"/>
      <c r="AT544" s="208"/>
      <c r="AU544" s="208"/>
      <c r="AV544" s="208"/>
      <c r="AW544" s="208"/>
      <c r="AX544" s="208"/>
      <c r="AY544" s="208"/>
      <c r="AZ544" s="208"/>
      <c r="BA544" s="208"/>
      <c r="BB544" s="208"/>
      <c r="BC544" s="208"/>
      <c r="BD544" s="208"/>
      <c r="BE544" s="208"/>
      <c r="BF544" s="208"/>
      <c r="BG544" s="208"/>
      <c r="BH544" s="208"/>
      <c r="BI544" s="323"/>
    </row>
    <row r="545" spans="3:61" ht="15" customHeight="1">
      <c r="C545" s="325"/>
      <c r="D545" s="326"/>
      <c r="E545" s="311"/>
      <c r="F545" s="311"/>
      <c r="G545" s="311"/>
      <c r="H545" s="311"/>
      <c r="I545" s="311"/>
      <c r="J545" s="317"/>
      <c r="K545" s="312"/>
      <c r="L545" s="312"/>
      <c r="M545" s="312"/>
      <c r="N545" s="312"/>
      <c r="O545" s="312"/>
      <c r="P545" s="318" t="str">
        <f t="shared" si="26"/>
        <v/>
      </c>
      <c r="Q545" s="205" t="str">
        <f t="shared" si="24"/>
        <v/>
      </c>
      <c r="R545" s="205"/>
      <c r="S545" s="319" t="str">
        <f t="shared" si="25"/>
        <v/>
      </c>
      <c r="U545" s="318"/>
      <c r="V545" s="794"/>
      <c r="W545" s="795"/>
      <c r="X545" s="482"/>
      <c r="Y545" s="482"/>
      <c r="Z545" s="482"/>
      <c r="AA545" s="319"/>
      <c r="AB545" s="220"/>
      <c r="AC545" s="318"/>
      <c r="AD545" s="319"/>
      <c r="AE545" s="220"/>
      <c r="AF545" s="320"/>
      <c r="AG545" s="205"/>
      <c r="AH545" s="205"/>
      <c r="AI545" s="205"/>
      <c r="AJ545" s="205"/>
      <c r="AK545" s="205"/>
      <c r="AL545" s="205"/>
      <c r="AM545" s="205"/>
      <c r="AN545" s="205"/>
      <c r="AO545" s="205"/>
      <c r="AP545" s="205"/>
      <c r="AQ545" s="205"/>
      <c r="AR545" s="205"/>
      <c r="AS545" s="205"/>
      <c r="AT545" s="205"/>
      <c r="AU545" s="205"/>
      <c r="AV545" s="205"/>
      <c r="AW545" s="205"/>
      <c r="AX545" s="205"/>
      <c r="AY545" s="205"/>
      <c r="AZ545" s="205"/>
      <c r="BA545" s="205"/>
      <c r="BB545" s="205"/>
      <c r="BC545" s="205"/>
      <c r="BD545" s="205"/>
      <c r="BE545" s="205"/>
      <c r="BF545" s="205"/>
      <c r="BG545" s="205"/>
      <c r="BH545" s="205"/>
      <c r="BI545" s="319"/>
    </row>
    <row r="546" spans="3:61" ht="15" customHeight="1">
      <c r="C546" s="325"/>
      <c r="D546" s="326"/>
      <c r="E546" s="311"/>
      <c r="F546" s="311"/>
      <c r="G546" s="311"/>
      <c r="H546" s="311"/>
      <c r="I546" s="311"/>
      <c r="J546" s="317"/>
      <c r="K546" s="312"/>
      <c r="L546" s="312"/>
      <c r="M546" s="312"/>
      <c r="N546" s="312"/>
      <c r="O546" s="312"/>
      <c r="P546" s="322" t="str">
        <f t="shared" si="26"/>
        <v/>
      </c>
      <c r="Q546" s="208" t="str">
        <f t="shared" si="24"/>
        <v/>
      </c>
      <c r="R546" s="208"/>
      <c r="S546" s="323" t="str">
        <f t="shared" si="25"/>
        <v/>
      </c>
      <c r="U546" s="322"/>
      <c r="V546" s="791"/>
      <c r="W546" s="792"/>
      <c r="X546" s="480"/>
      <c r="Y546" s="480"/>
      <c r="Z546" s="480"/>
      <c r="AA546" s="323"/>
      <c r="AB546" s="220"/>
      <c r="AC546" s="322"/>
      <c r="AD546" s="323"/>
      <c r="AE546" s="220"/>
      <c r="AF546" s="324"/>
      <c r="AG546" s="208"/>
      <c r="AH546" s="208"/>
      <c r="AI546" s="208"/>
      <c r="AJ546" s="208"/>
      <c r="AK546" s="208"/>
      <c r="AL546" s="208"/>
      <c r="AM546" s="208"/>
      <c r="AN546" s="208"/>
      <c r="AO546" s="208"/>
      <c r="AP546" s="208"/>
      <c r="AQ546" s="208"/>
      <c r="AR546" s="208"/>
      <c r="AS546" s="208"/>
      <c r="AT546" s="208"/>
      <c r="AU546" s="208"/>
      <c r="AV546" s="208"/>
      <c r="AW546" s="208"/>
      <c r="AX546" s="208"/>
      <c r="AY546" s="208"/>
      <c r="AZ546" s="208"/>
      <c r="BA546" s="208"/>
      <c r="BB546" s="208"/>
      <c r="BC546" s="208"/>
      <c r="BD546" s="208"/>
      <c r="BE546" s="208"/>
      <c r="BF546" s="208"/>
      <c r="BG546" s="208"/>
      <c r="BH546" s="208"/>
      <c r="BI546" s="323"/>
    </row>
    <row r="547" spans="3:61" ht="15" customHeight="1">
      <c r="C547" s="325"/>
      <c r="D547" s="326"/>
      <c r="E547" s="311"/>
      <c r="F547" s="311"/>
      <c r="G547" s="311"/>
      <c r="H547" s="311"/>
      <c r="I547" s="311"/>
      <c r="J547" s="317"/>
      <c r="K547" s="312"/>
      <c r="L547" s="312"/>
      <c r="M547" s="312"/>
      <c r="N547" s="312"/>
      <c r="O547" s="312"/>
      <c r="P547" s="318" t="str">
        <f t="shared" si="26"/>
        <v/>
      </c>
      <c r="Q547" s="205" t="str">
        <f t="shared" si="24"/>
        <v/>
      </c>
      <c r="R547" s="205"/>
      <c r="S547" s="319" t="str">
        <f t="shared" si="25"/>
        <v/>
      </c>
      <c r="U547" s="318"/>
      <c r="V547" s="794"/>
      <c r="W547" s="795"/>
      <c r="X547" s="482"/>
      <c r="Y547" s="482"/>
      <c r="Z547" s="482"/>
      <c r="AA547" s="319"/>
      <c r="AB547" s="220"/>
      <c r="AC547" s="318"/>
      <c r="AD547" s="319"/>
      <c r="AE547" s="220"/>
      <c r="AF547" s="320"/>
      <c r="AG547" s="205"/>
      <c r="AH547" s="205"/>
      <c r="AI547" s="205"/>
      <c r="AJ547" s="205"/>
      <c r="AK547" s="205"/>
      <c r="AL547" s="205"/>
      <c r="AM547" s="205"/>
      <c r="AN547" s="205"/>
      <c r="AO547" s="205"/>
      <c r="AP547" s="205"/>
      <c r="AQ547" s="205"/>
      <c r="AR547" s="205"/>
      <c r="AS547" s="205"/>
      <c r="AT547" s="205"/>
      <c r="AU547" s="205"/>
      <c r="AV547" s="205"/>
      <c r="AW547" s="205"/>
      <c r="AX547" s="205"/>
      <c r="AY547" s="205"/>
      <c r="AZ547" s="205"/>
      <c r="BA547" s="205"/>
      <c r="BB547" s="205"/>
      <c r="BC547" s="205"/>
      <c r="BD547" s="205"/>
      <c r="BE547" s="205"/>
      <c r="BF547" s="205"/>
      <c r="BG547" s="205"/>
      <c r="BH547" s="205"/>
      <c r="BI547" s="319"/>
    </row>
    <row r="548" spans="3:61" ht="15" customHeight="1">
      <c r="C548" s="325"/>
      <c r="D548" s="326"/>
      <c r="E548" s="311"/>
      <c r="F548" s="311"/>
      <c r="G548" s="311"/>
      <c r="H548" s="311"/>
      <c r="I548" s="311"/>
      <c r="J548" s="317"/>
      <c r="K548" s="312"/>
      <c r="L548" s="312"/>
      <c r="M548" s="312"/>
      <c r="N548" s="312"/>
      <c r="O548" s="312"/>
      <c r="P548" s="322" t="str">
        <f t="shared" si="26"/>
        <v/>
      </c>
      <c r="Q548" s="208" t="str">
        <f t="shared" si="24"/>
        <v/>
      </c>
      <c r="R548" s="208"/>
      <c r="S548" s="323" t="str">
        <f t="shared" si="25"/>
        <v/>
      </c>
      <c r="U548" s="322"/>
      <c r="V548" s="791"/>
      <c r="W548" s="792"/>
      <c r="X548" s="480"/>
      <c r="Y548" s="480"/>
      <c r="Z548" s="480"/>
      <c r="AA548" s="323"/>
      <c r="AB548" s="220"/>
      <c r="AC548" s="322"/>
      <c r="AD548" s="323"/>
      <c r="AE548" s="220"/>
      <c r="AF548" s="324"/>
      <c r="AG548" s="208"/>
      <c r="AH548" s="208"/>
      <c r="AI548" s="208"/>
      <c r="AJ548" s="208"/>
      <c r="AK548" s="208"/>
      <c r="AL548" s="208"/>
      <c r="AM548" s="208"/>
      <c r="AN548" s="208"/>
      <c r="AO548" s="208"/>
      <c r="AP548" s="208"/>
      <c r="AQ548" s="208"/>
      <c r="AR548" s="208"/>
      <c r="AS548" s="208"/>
      <c r="AT548" s="208"/>
      <c r="AU548" s="208"/>
      <c r="AV548" s="208"/>
      <c r="AW548" s="208"/>
      <c r="AX548" s="208"/>
      <c r="AY548" s="208"/>
      <c r="AZ548" s="208"/>
      <c r="BA548" s="208"/>
      <c r="BB548" s="208"/>
      <c r="BC548" s="208"/>
      <c r="BD548" s="208"/>
      <c r="BE548" s="208"/>
      <c r="BF548" s="208"/>
      <c r="BG548" s="208"/>
      <c r="BH548" s="208"/>
      <c r="BI548" s="323"/>
    </row>
    <row r="549" spans="3:61" ht="15" customHeight="1">
      <c r="C549" s="325"/>
      <c r="D549" s="326"/>
      <c r="E549" s="311"/>
      <c r="F549" s="311"/>
      <c r="G549" s="311"/>
      <c r="H549" s="311"/>
      <c r="I549" s="311"/>
      <c r="J549" s="317"/>
      <c r="K549" s="312"/>
      <c r="L549" s="312"/>
      <c r="M549" s="312"/>
      <c r="N549" s="312"/>
      <c r="O549" s="312"/>
      <c r="P549" s="318" t="str">
        <f t="shared" si="26"/>
        <v/>
      </c>
      <c r="Q549" s="205" t="str">
        <f t="shared" si="24"/>
        <v/>
      </c>
      <c r="R549" s="205"/>
      <c r="S549" s="319" t="str">
        <f t="shared" si="25"/>
        <v/>
      </c>
      <c r="U549" s="318"/>
      <c r="V549" s="794"/>
      <c r="W549" s="795"/>
      <c r="X549" s="482"/>
      <c r="Y549" s="482"/>
      <c r="Z549" s="482"/>
      <c r="AA549" s="319"/>
      <c r="AB549" s="220"/>
      <c r="AC549" s="318"/>
      <c r="AD549" s="319"/>
      <c r="AE549" s="220"/>
      <c r="AF549" s="320"/>
      <c r="AG549" s="205"/>
      <c r="AH549" s="205"/>
      <c r="AI549" s="205"/>
      <c r="AJ549" s="205"/>
      <c r="AK549" s="205"/>
      <c r="AL549" s="205"/>
      <c r="AM549" s="205"/>
      <c r="AN549" s="205"/>
      <c r="AO549" s="205"/>
      <c r="AP549" s="205"/>
      <c r="AQ549" s="205"/>
      <c r="AR549" s="205"/>
      <c r="AS549" s="205"/>
      <c r="AT549" s="205"/>
      <c r="AU549" s="205"/>
      <c r="AV549" s="205"/>
      <c r="AW549" s="205"/>
      <c r="AX549" s="205"/>
      <c r="AY549" s="205"/>
      <c r="AZ549" s="205"/>
      <c r="BA549" s="205"/>
      <c r="BB549" s="205"/>
      <c r="BC549" s="205"/>
      <c r="BD549" s="205"/>
      <c r="BE549" s="205"/>
      <c r="BF549" s="205"/>
      <c r="BG549" s="205"/>
      <c r="BH549" s="205"/>
      <c r="BI549" s="319"/>
    </row>
    <row r="550" spans="3:61" ht="15" customHeight="1">
      <c r="C550" s="325"/>
      <c r="D550" s="326"/>
      <c r="E550" s="311"/>
      <c r="F550" s="311"/>
      <c r="G550" s="311"/>
      <c r="H550" s="311"/>
      <c r="I550" s="311"/>
      <c r="J550" s="317"/>
      <c r="K550" s="312"/>
      <c r="L550" s="312"/>
      <c r="M550" s="312"/>
      <c r="N550" s="312"/>
      <c r="O550" s="312"/>
      <c r="P550" s="322" t="str">
        <f t="shared" si="26"/>
        <v/>
      </c>
      <c r="Q550" s="208" t="str">
        <f t="shared" si="24"/>
        <v/>
      </c>
      <c r="R550" s="208"/>
      <c r="S550" s="323" t="str">
        <f t="shared" si="25"/>
        <v/>
      </c>
      <c r="U550" s="322"/>
      <c r="V550" s="791"/>
      <c r="W550" s="792"/>
      <c r="X550" s="480"/>
      <c r="Y550" s="480"/>
      <c r="Z550" s="480"/>
      <c r="AA550" s="323"/>
      <c r="AB550" s="220"/>
      <c r="AC550" s="322"/>
      <c r="AD550" s="323"/>
      <c r="AE550" s="220"/>
      <c r="AF550" s="324"/>
      <c r="AG550" s="208"/>
      <c r="AH550" s="208"/>
      <c r="AI550" s="208"/>
      <c r="AJ550" s="208"/>
      <c r="AK550" s="208"/>
      <c r="AL550" s="208"/>
      <c r="AM550" s="208"/>
      <c r="AN550" s="208"/>
      <c r="AO550" s="208"/>
      <c r="AP550" s="208"/>
      <c r="AQ550" s="208"/>
      <c r="AR550" s="208"/>
      <c r="AS550" s="208"/>
      <c r="AT550" s="208"/>
      <c r="AU550" s="208"/>
      <c r="AV550" s="208"/>
      <c r="AW550" s="208"/>
      <c r="AX550" s="208"/>
      <c r="AY550" s="208"/>
      <c r="AZ550" s="208"/>
      <c r="BA550" s="208"/>
      <c r="BB550" s="208"/>
      <c r="BC550" s="208"/>
      <c r="BD550" s="208"/>
      <c r="BE550" s="208"/>
      <c r="BF550" s="208"/>
      <c r="BG550" s="208"/>
      <c r="BH550" s="208"/>
      <c r="BI550" s="323"/>
    </row>
    <row r="551" spans="3:61" ht="15" customHeight="1">
      <c r="C551" s="325"/>
      <c r="D551" s="326"/>
      <c r="E551" s="311"/>
      <c r="F551" s="311"/>
      <c r="G551" s="311"/>
      <c r="H551" s="311"/>
      <c r="I551" s="311"/>
      <c r="J551" s="317"/>
      <c r="K551" s="312"/>
      <c r="L551" s="312"/>
      <c r="M551" s="312"/>
      <c r="N551" s="312"/>
      <c r="O551" s="312"/>
      <c r="P551" s="318" t="str">
        <f t="shared" si="26"/>
        <v/>
      </c>
      <c r="Q551" s="205" t="str">
        <f t="shared" si="24"/>
        <v/>
      </c>
      <c r="R551" s="205"/>
      <c r="S551" s="319" t="str">
        <f t="shared" si="25"/>
        <v/>
      </c>
      <c r="U551" s="318"/>
      <c r="V551" s="794"/>
      <c r="W551" s="795"/>
      <c r="X551" s="482"/>
      <c r="Y551" s="482"/>
      <c r="Z551" s="482"/>
      <c r="AA551" s="319"/>
      <c r="AB551" s="220"/>
      <c r="AC551" s="318"/>
      <c r="AD551" s="319"/>
      <c r="AE551" s="220"/>
      <c r="AF551" s="320"/>
      <c r="AG551" s="205"/>
      <c r="AH551" s="205"/>
      <c r="AI551" s="205"/>
      <c r="AJ551" s="205"/>
      <c r="AK551" s="205"/>
      <c r="AL551" s="205"/>
      <c r="AM551" s="205"/>
      <c r="AN551" s="205"/>
      <c r="AO551" s="205"/>
      <c r="AP551" s="205"/>
      <c r="AQ551" s="205"/>
      <c r="AR551" s="205"/>
      <c r="AS551" s="205"/>
      <c r="AT551" s="205"/>
      <c r="AU551" s="205"/>
      <c r="AV551" s="205"/>
      <c r="AW551" s="205"/>
      <c r="AX551" s="205"/>
      <c r="AY551" s="205"/>
      <c r="AZ551" s="205"/>
      <c r="BA551" s="205"/>
      <c r="BB551" s="205"/>
      <c r="BC551" s="205"/>
      <c r="BD551" s="205"/>
      <c r="BE551" s="205"/>
      <c r="BF551" s="205"/>
      <c r="BG551" s="205"/>
      <c r="BH551" s="205"/>
      <c r="BI551" s="319"/>
    </row>
    <row r="552" spans="3:61" ht="15" customHeight="1">
      <c r="C552" s="325"/>
      <c r="D552" s="326"/>
      <c r="E552" s="311"/>
      <c r="F552" s="311"/>
      <c r="G552" s="311"/>
      <c r="H552" s="311"/>
      <c r="I552" s="311"/>
      <c r="J552" s="317"/>
      <c r="K552" s="312"/>
      <c r="L552" s="312"/>
      <c r="M552" s="312"/>
      <c r="N552" s="312"/>
      <c r="O552" s="312"/>
      <c r="P552" s="322" t="str">
        <f t="shared" si="26"/>
        <v/>
      </c>
      <c r="Q552" s="208" t="str">
        <f t="shared" si="24"/>
        <v/>
      </c>
      <c r="R552" s="208"/>
      <c r="S552" s="323" t="str">
        <f t="shared" si="25"/>
        <v/>
      </c>
      <c r="U552" s="322"/>
      <c r="V552" s="791"/>
      <c r="W552" s="792"/>
      <c r="X552" s="480"/>
      <c r="Y552" s="480"/>
      <c r="Z552" s="480"/>
      <c r="AA552" s="323"/>
      <c r="AB552" s="220"/>
      <c r="AC552" s="322"/>
      <c r="AD552" s="323"/>
      <c r="AE552" s="220"/>
      <c r="AF552" s="324"/>
      <c r="AG552" s="208"/>
      <c r="AH552" s="208"/>
      <c r="AI552" s="208"/>
      <c r="AJ552" s="208"/>
      <c r="AK552" s="208"/>
      <c r="AL552" s="208"/>
      <c r="AM552" s="208"/>
      <c r="AN552" s="208"/>
      <c r="AO552" s="208"/>
      <c r="AP552" s="208"/>
      <c r="AQ552" s="208"/>
      <c r="AR552" s="208"/>
      <c r="AS552" s="208"/>
      <c r="AT552" s="208"/>
      <c r="AU552" s="208"/>
      <c r="AV552" s="208"/>
      <c r="AW552" s="208"/>
      <c r="AX552" s="208"/>
      <c r="AY552" s="208"/>
      <c r="AZ552" s="208"/>
      <c r="BA552" s="208"/>
      <c r="BB552" s="208"/>
      <c r="BC552" s="208"/>
      <c r="BD552" s="208"/>
      <c r="BE552" s="208"/>
      <c r="BF552" s="208"/>
      <c r="BG552" s="208"/>
      <c r="BH552" s="208"/>
      <c r="BI552" s="323"/>
    </row>
    <row r="553" spans="3:61" ht="15" customHeight="1">
      <c r="C553" s="325"/>
      <c r="D553" s="326"/>
      <c r="E553" s="311"/>
      <c r="F553" s="311"/>
      <c r="G553" s="311"/>
      <c r="H553" s="311"/>
      <c r="I553" s="311"/>
      <c r="J553" s="317"/>
      <c r="K553" s="312"/>
      <c r="L553" s="312"/>
      <c r="M553" s="312"/>
      <c r="N553" s="312"/>
      <c r="O553" s="312"/>
      <c r="P553" s="318" t="str">
        <f t="shared" si="26"/>
        <v/>
      </c>
      <c r="Q553" s="205" t="str">
        <f t="shared" si="24"/>
        <v/>
      </c>
      <c r="R553" s="205"/>
      <c r="S553" s="319" t="str">
        <f t="shared" si="25"/>
        <v/>
      </c>
      <c r="U553" s="318"/>
      <c r="V553" s="794"/>
      <c r="W553" s="795"/>
      <c r="X553" s="482"/>
      <c r="Y553" s="482"/>
      <c r="Z553" s="482"/>
      <c r="AA553" s="319"/>
      <c r="AB553" s="220"/>
      <c r="AC553" s="318"/>
      <c r="AD553" s="319"/>
      <c r="AE553" s="220"/>
      <c r="AF553" s="320"/>
      <c r="AG553" s="205"/>
      <c r="AH553" s="205"/>
      <c r="AI553" s="205"/>
      <c r="AJ553" s="205"/>
      <c r="AK553" s="205"/>
      <c r="AL553" s="205"/>
      <c r="AM553" s="205"/>
      <c r="AN553" s="205"/>
      <c r="AO553" s="205"/>
      <c r="AP553" s="205"/>
      <c r="AQ553" s="205"/>
      <c r="AR553" s="205"/>
      <c r="AS553" s="205"/>
      <c r="AT553" s="205"/>
      <c r="AU553" s="205"/>
      <c r="AV553" s="205"/>
      <c r="AW553" s="205"/>
      <c r="AX553" s="205"/>
      <c r="AY553" s="205"/>
      <c r="AZ553" s="205"/>
      <c r="BA553" s="205"/>
      <c r="BB553" s="205"/>
      <c r="BC553" s="205"/>
      <c r="BD553" s="205"/>
      <c r="BE553" s="205"/>
      <c r="BF553" s="205"/>
      <c r="BG553" s="205"/>
      <c r="BH553" s="205"/>
      <c r="BI553" s="319"/>
    </row>
    <row r="554" spans="3:61" ht="15" customHeight="1">
      <c r="C554" s="325"/>
      <c r="D554" s="326"/>
      <c r="E554" s="311"/>
      <c r="F554" s="311"/>
      <c r="G554" s="311"/>
      <c r="H554" s="311"/>
      <c r="I554" s="311"/>
      <c r="J554" s="317"/>
      <c r="K554" s="312"/>
      <c r="L554" s="312"/>
      <c r="M554" s="312"/>
      <c r="N554" s="312"/>
      <c r="O554" s="312"/>
      <c r="P554" s="322" t="str">
        <f t="shared" si="26"/>
        <v/>
      </c>
      <c r="Q554" s="208" t="str">
        <f t="shared" si="24"/>
        <v/>
      </c>
      <c r="R554" s="208"/>
      <c r="S554" s="323" t="str">
        <f t="shared" si="25"/>
        <v/>
      </c>
      <c r="U554" s="322"/>
      <c r="V554" s="791"/>
      <c r="W554" s="792"/>
      <c r="X554" s="480"/>
      <c r="Y554" s="480"/>
      <c r="Z554" s="480"/>
      <c r="AA554" s="323"/>
      <c r="AB554" s="220"/>
      <c r="AC554" s="322"/>
      <c r="AD554" s="323"/>
      <c r="AE554" s="220"/>
      <c r="AF554" s="324"/>
      <c r="AG554" s="208"/>
      <c r="AH554" s="208"/>
      <c r="AI554" s="208"/>
      <c r="AJ554" s="208"/>
      <c r="AK554" s="208"/>
      <c r="AL554" s="208"/>
      <c r="AM554" s="208"/>
      <c r="AN554" s="208"/>
      <c r="AO554" s="208"/>
      <c r="AP554" s="208"/>
      <c r="AQ554" s="208"/>
      <c r="AR554" s="208"/>
      <c r="AS554" s="208"/>
      <c r="AT554" s="208"/>
      <c r="AU554" s="208"/>
      <c r="AV554" s="208"/>
      <c r="AW554" s="208"/>
      <c r="AX554" s="208"/>
      <c r="AY554" s="208"/>
      <c r="AZ554" s="208"/>
      <c r="BA554" s="208"/>
      <c r="BB554" s="208"/>
      <c r="BC554" s="208"/>
      <c r="BD554" s="208"/>
      <c r="BE554" s="208"/>
      <c r="BF554" s="208"/>
      <c r="BG554" s="208"/>
      <c r="BH554" s="208"/>
      <c r="BI554" s="323"/>
    </row>
    <row r="555" spans="3:61" ht="15" customHeight="1">
      <c r="C555" s="325"/>
      <c r="D555" s="326"/>
      <c r="E555" s="311"/>
      <c r="F555" s="311"/>
      <c r="G555" s="311"/>
      <c r="H555" s="311"/>
      <c r="I555" s="311"/>
      <c r="J555" s="317"/>
      <c r="K555" s="312"/>
      <c r="L555" s="312"/>
      <c r="M555" s="312"/>
      <c r="N555" s="312"/>
      <c r="O555" s="312"/>
      <c r="P555" s="318" t="str">
        <f t="shared" si="26"/>
        <v/>
      </c>
      <c r="Q555" s="205" t="str">
        <f t="shared" si="24"/>
        <v/>
      </c>
      <c r="R555" s="205"/>
      <c r="S555" s="319" t="str">
        <f t="shared" si="25"/>
        <v/>
      </c>
      <c r="U555" s="318"/>
      <c r="V555" s="794"/>
      <c r="W555" s="795"/>
      <c r="X555" s="482"/>
      <c r="Y555" s="482"/>
      <c r="Z555" s="482"/>
      <c r="AA555" s="319"/>
      <c r="AB555" s="220"/>
      <c r="AC555" s="318"/>
      <c r="AD555" s="319"/>
      <c r="AE555" s="220"/>
      <c r="AF555" s="320"/>
      <c r="AG555" s="205"/>
      <c r="AH555" s="205"/>
      <c r="AI555" s="205"/>
      <c r="AJ555" s="205"/>
      <c r="AK555" s="205"/>
      <c r="AL555" s="205"/>
      <c r="AM555" s="205"/>
      <c r="AN555" s="205"/>
      <c r="AO555" s="205"/>
      <c r="AP555" s="205"/>
      <c r="AQ555" s="205"/>
      <c r="AR555" s="205"/>
      <c r="AS555" s="205"/>
      <c r="AT555" s="205"/>
      <c r="AU555" s="205"/>
      <c r="AV555" s="205"/>
      <c r="AW555" s="205"/>
      <c r="AX555" s="205"/>
      <c r="AY555" s="205"/>
      <c r="AZ555" s="205"/>
      <c r="BA555" s="205"/>
      <c r="BB555" s="205"/>
      <c r="BC555" s="205"/>
      <c r="BD555" s="205"/>
      <c r="BE555" s="205"/>
      <c r="BF555" s="205"/>
      <c r="BG555" s="205"/>
      <c r="BH555" s="205"/>
      <c r="BI555" s="319"/>
    </row>
    <row r="556" spans="3:61" ht="15" customHeight="1">
      <c r="C556" s="325"/>
      <c r="D556" s="326"/>
      <c r="E556" s="311"/>
      <c r="F556" s="311"/>
      <c r="G556" s="311"/>
      <c r="H556" s="311"/>
      <c r="I556" s="311"/>
      <c r="J556" s="317"/>
      <c r="K556" s="312"/>
      <c r="L556" s="312"/>
      <c r="M556" s="312"/>
      <c r="N556" s="312"/>
      <c r="O556" s="312"/>
      <c r="P556" s="322" t="str">
        <f t="shared" si="26"/>
        <v/>
      </c>
      <c r="Q556" s="208" t="str">
        <f t="shared" si="24"/>
        <v/>
      </c>
      <c r="R556" s="208"/>
      <c r="S556" s="323" t="str">
        <f t="shared" si="25"/>
        <v/>
      </c>
      <c r="U556" s="322"/>
      <c r="V556" s="791"/>
      <c r="W556" s="792"/>
      <c r="X556" s="480"/>
      <c r="Y556" s="480"/>
      <c r="Z556" s="480"/>
      <c r="AA556" s="323"/>
      <c r="AB556" s="220"/>
      <c r="AC556" s="322"/>
      <c r="AD556" s="323"/>
      <c r="AE556" s="220"/>
      <c r="AF556" s="324"/>
      <c r="AG556" s="208"/>
      <c r="AH556" s="208"/>
      <c r="AI556" s="208"/>
      <c r="AJ556" s="208"/>
      <c r="AK556" s="208"/>
      <c r="AL556" s="208"/>
      <c r="AM556" s="208"/>
      <c r="AN556" s="208"/>
      <c r="AO556" s="208"/>
      <c r="AP556" s="208"/>
      <c r="AQ556" s="208"/>
      <c r="AR556" s="208"/>
      <c r="AS556" s="208"/>
      <c r="AT556" s="208"/>
      <c r="AU556" s="208"/>
      <c r="AV556" s="208"/>
      <c r="AW556" s="208"/>
      <c r="AX556" s="208"/>
      <c r="AY556" s="208"/>
      <c r="AZ556" s="208"/>
      <c r="BA556" s="208"/>
      <c r="BB556" s="208"/>
      <c r="BC556" s="208"/>
      <c r="BD556" s="208"/>
      <c r="BE556" s="208"/>
      <c r="BF556" s="208"/>
      <c r="BG556" s="208"/>
      <c r="BH556" s="208"/>
      <c r="BI556" s="323"/>
    </row>
    <row r="557" spans="3:61" ht="15" customHeight="1">
      <c r="C557" s="325"/>
      <c r="D557" s="326"/>
      <c r="E557" s="311"/>
      <c r="F557" s="311"/>
      <c r="G557" s="311"/>
      <c r="H557" s="311"/>
      <c r="I557" s="311"/>
      <c r="J557" s="317"/>
      <c r="K557" s="312"/>
      <c r="L557" s="312"/>
      <c r="M557" s="312"/>
      <c r="N557" s="312"/>
      <c r="O557" s="312"/>
      <c r="P557" s="318" t="str">
        <f t="shared" si="26"/>
        <v/>
      </c>
      <c r="Q557" s="205" t="str">
        <f t="shared" si="24"/>
        <v/>
      </c>
      <c r="R557" s="205"/>
      <c r="S557" s="319" t="str">
        <f t="shared" si="25"/>
        <v/>
      </c>
      <c r="U557" s="318"/>
      <c r="V557" s="794"/>
      <c r="W557" s="795"/>
      <c r="X557" s="482"/>
      <c r="Y557" s="482"/>
      <c r="Z557" s="482"/>
      <c r="AA557" s="319"/>
      <c r="AB557" s="220"/>
      <c r="AC557" s="318"/>
      <c r="AD557" s="319"/>
      <c r="AE557" s="220"/>
      <c r="AF557" s="320"/>
      <c r="AG557" s="205"/>
      <c r="AH557" s="205"/>
      <c r="AI557" s="205"/>
      <c r="AJ557" s="205"/>
      <c r="AK557" s="205"/>
      <c r="AL557" s="205"/>
      <c r="AM557" s="205"/>
      <c r="AN557" s="205"/>
      <c r="AO557" s="205"/>
      <c r="AP557" s="205"/>
      <c r="AQ557" s="205"/>
      <c r="AR557" s="205"/>
      <c r="AS557" s="205"/>
      <c r="AT557" s="205"/>
      <c r="AU557" s="205"/>
      <c r="AV557" s="205"/>
      <c r="AW557" s="205"/>
      <c r="AX557" s="205"/>
      <c r="AY557" s="205"/>
      <c r="AZ557" s="205"/>
      <c r="BA557" s="205"/>
      <c r="BB557" s="205"/>
      <c r="BC557" s="205"/>
      <c r="BD557" s="205"/>
      <c r="BE557" s="205"/>
      <c r="BF557" s="205"/>
      <c r="BG557" s="205"/>
      <c r="BH557" s="205"/>
      <c r="BI557" s="319"/>
    </row>
    <row r="558" spans="3:61" ht="15" customHeight="1">
      <c r="C558" s="325"/>
      <c r="D558" s="326"/>
      <c r="E558" s="311"/>
      <c r="F558" s="311"/>
      <c r="G558" s="311"/>
      <c r="H558" s="311"/>
      <c r="I558" s="311"/>
      <c r="J558" s="317"/>
      <c r="K558" s="312"/>
      <c r="L558" s="312"/>
      <c r="M558" s="312"/>
      <c r="N558" s="312"/>
      <c r="O558" s="312"/>
      <c r="P558" s="322" t="str">
        <f t="shared" si="26"/>
        <v/>
      </c>
      <c r="Q558" s="208" t="str">
        <f t="shared" si="24"/>
        <v/>
      </c>
      <c r="R558" s="208"/>
      <c r="S558" s="323" t="str">
        <f t="shared" si="25"/>
        <v/>
      </c>
      <c r="U558" s="322"/>
      <c r="V558" s="791"/>
      <c r="W558" s="792"/>
      <c r="X558" s="480"/>
      <c r="Y558" s="480"/>
      <c r="Z558" s="480"/>
      <c r="AA558" s="323"/>
      <c r="AB558" s="220"/>
      <c r="AC558" s="322"/>
      <c r="AD558" s="323"/>
      <c r="AE558" s="220"/>
      <c r="AF558" s="324"/>
      <c r="AG558" s="208"/>
      <c r="AH558" s="208"/>
      <c r="AI558" s="208"/>
      <c r="AJ558" s="208"/>
      <c r="AK558" s="208"/>
      <c r="AL558" s="208"/>
      <c r="AM558" s="208"/>
      <c r="AN558" s="208"/>
      <c r="AO558" s="208"/>
      <c r="AP558" s="208"/>
      <c r="AQ558" s="208"/>
      <c r="AR558" s="208"/>
      <c r="AS558" s="208"/>
      <c r="AT558" s="208"/>
      <c r="AU558" s="208"/>
      <c r="AV558" s="208"/>
      <c r="AW558" s="208"/>
      <c r="AX558" s="208"/>
      <c r="AY558" s="208"/>
      <c r="AZ558" s="208"/>
      <c r="BA558" s="208"/>
      <c r="BB558" s="208"/>
      <c r="BC558" s="208"/>
      <c r="BD558" s="208"/>
      <c r="BE558" s="208"/>
      <c r="BF558" s="208"/>
      <c r="BG558" s="208"/>
      <c r="BH558" s="208"/>
      <c r="BI558" s="323"/>
    </row>
    <row r="559" spans="3:61" ht="15" customHeight="1">
      <c r="C559" s="325"/>
      <c r="D559" s="326"/>
      <c r="E559" s="311"/>
      <c r="F559" s="311"/>
      <c r="G559" s="311"/>
      <c r="H559" s="311"/>
      <c r="I559" s="311"/>
      <c r="J559" s="317"/>
      <c r="K559" s="312"/>
      <c r="L559" s="312"/>
      <c r="M559" s="312"/>
      <c r="N559" s="312"/>
      <c r="O559" s="312"/>
      <c r="P559" s="318" t="str">
        <f t="shared" si="26"/>
        <v/>
      </c>
      <c r="Q559" s="205" t="str">
        <f t="shared" si="24"/>
        <v/>
      </c>
      <c r="R559" s="205"/>
      <c r="S559" s="319" t="str">
        <f t="shared" si="25"/>
        <v/>
      </c>
      <c r="U559" s="318"/>
      <c r="V559" s="794"/>
      <c r="W559" s="795"/>
      <c r="X559" s="482"/>
      <c r="Y559" s="482"/>
      <c r="Z559" s="482"/>
      <c r="AA559" s="319"/>
      <c r="AB559" s="220"/>
      <c r="AC559" s="318"/>
      <c r="AD559" s="319"/>
      <c r="AE559" s="220"/>
      <c r="AF559" s="320"/>
      <c r="AG559" s="205"/>
      <c r="AH559" s="205"/>
      <c r="AI559" s="205"/>
      <c r="AJ559" s="205"/>
      <c r="AK559" s="205"/>
      <c r="AL559" s="205"/>
      <c r="AM559" s="205"/>
      <c r="AN559" s="205"/>
      <c r="AO559" s="205"/>
      <c r="AP559" s="205"/>
      <c r="AQ559" s="205"/>
      <c r="AR559" s="205"/>
      <c r="AS559" s="205"/>
      <c r="AT559" s="205"/>
      <c r="AU559" s="205"/>
      <c r="AV559" s="205"/>
      <c r="AW559" s="205"/>
      <c r="AX559" s="205"/>
      <c r="AY559" s="205"/>
      <c r="AZ559" s="205"/>
      <c r="BA559" s="205"/>
      <c r="BB559" s="205"/>
      <c r="BC559" s="205"/>
      <c r="BD559" s="205"/>
      <c r="BE559" s="205"/>
      <c r="BF559" s="205"/>
      <c r="BG559" s="205"/>
      <c r="BH559" s="205"/>
      <c r="BI559" s="319"/>
    </row>
    <row r="560" spans="3:61" ht="15" customHeight="1">
      <c r="C560" s="325"/>
      <c r="D560" s="326"/>
      <c r="E560" s="311"/>
      <c r="F560" s="311"/>
      <c r="G560" s="311"/>
      <c r="H560" s="311"/>
      <c r="I560" s="311"/>
      <c r="J560" s="317"/>
      <c r="K560" s="312"/>
      <c r="L560" s="312"/>
      <c r="M560" s="312"/>
      <c r="N560" s="312"/>
      <c r="O560" s="312"/>
      <c r="P560" s="322" t="str">
        <f t="shared" si="26"/>
        <v/>
      </c>
      <c r="Q560" s="208" t="str">
        <f t="shared" si="24"/>
        <v/>
      </c>
      <c r="R560" s="208"/>
      <c r="S560" s="323" t="str">
        <f t="shared" si="25"/>
        <v/>
      </c>
      <c r="U560" s="322"/>
      <c r="V560" s="791"/>
      <c r="W560" s="792"/>
      <c r="X560" s="480"/>
      <c r="Y560" s="480"/>
      <c r="Z560" s="480"/>
      <c r="AA560" s="323"/>
      <c r="AB560" s="220"/>
      <c r="AC560" s="322"/>
      <c r="AD560" s="323"/>
      <c r="AE560" s="220"/>
      <c r="AF560" s="324"/>
      <c r="AG560" s="208"/>
      <c r="AH560" s="208"/>
      <c r="AI560" s="208"/>
      <c r="AJ560" s="208"/>
      <c r="AK560" s="208"/>
      <c r="AL560" s="208"/>
      <c r="AM560" s="208"/>
      <c r="AN560" s="208"/>
      <c r="AO560" s="208"/>
      <c r="AP560" s="208"/>
      <c r="AQ560" s="208"/>
      <c r="AR560" s="208"/>
      <c r="AS560" s="208"/>
      <c r="AT560" s="208"/>
      <c r="AU560" s="208"/>
      <c r="AV560" s="208"/>
      <c r="AW560" s="208"/>
      <c r="AX560" s="208"/>
      <c r="AY560" s="208"/>
      <c r="AZ560" s="208"/>
      <c r="BA560" s="208"/>
      <c r="BB560" s="208"/>
      <c r="BC560" s="208"/>
      <c r="BD560" s="208"/>
      <c r="BE560" s="208"/>
      <c r="BF560" s="208"/>
      <c r="BG560" s="208"/>
      <c r="BH560" s="208"/>
      <c r="BI560" s="323"/>
    </row>
    <row r="561" spans="3:61" ht="15" customHeight="1">
      <c r="C561" s="325"/>
      <c r="D561" s="326"/>
      <c r="E561" s="311"/>
      <c r="F561" s="311"/>
      <c r="G561" s="311"/>
      <c r="H561" s="311"/>
      <c r="I561" s="311"/>
      <c r="J561" s="317"/>
      <c r="K561" s="312"/>
      <c r="L561" s="312"/>
      <c r="M561" s="312"/>
      <c r="N561" s="312"/>
      <c r="O561" s="312"/>
      <c r="P561" s="318" t="str">
        <f t="shared" si="26"/>
        <v/>
      </c>
      <c r="Q561" s="205" t="str">
        <f t="shared" si="24"/>
        <v/>
      </c>
      <c r="R561" s="205"/>
      <c r="S561" s="319" t="str">
        <f t="shared" si="25"/>
        <v/>
      </c>
      <c r="U561" s="318"/>
      <c r="V561" s="794"/>
      <c r="W561" s="795"/>
      <c r="X561" s="482"/>
      <c r="Y561" s="482"/>
      <c r="Z561" s="482"/>
      <c r="AA561" s="319"/>
      <c r="AB561" s="220"/>
      <c r="AC561" s="318"/>
      <c r="AD561" s="319"/>
      <c r="AE561" s="220"/>
      <c r="AF561" s="320"/>
      <c r="AG561" s="205"/>
      <c r="AH561" s="205"/>
      <c r="AI561" s="205"/>
      <c r="AJ561" s="205"/>
      <c r="AK561" s="205"/>
      <c r="AL561" s="205"/>
      <c r="AM561" s="205"/>
      <c r="AN561" s="205"/>
      <c r="AO561" s="205"/>
      <c r="AP561" s="205"/>
      <c r="AQ561" s="205"/>
      <c r="AR561" s="205"/>
      <c r="AS561" s="205"/>
      <c r="AT561" s="205"/>
      <c r="AU561" s="205"/>
      <c r="AV561" s="205"/>
      <c r="AW561" s="205"/>
      <c r="AX561" s="205"/>
      <c r="AY561" s="205"/>
      <c r="AZ561" s="205"/>
      <c r="BA561" s="205"/>
      <c r="BB561" s="205"/>
      <c r="BC561" s="205"/>
      <c r="BD561" s="205"/>
      <c r="BE561" s="205"/>
      <c r="BF561" s="205"/>
      <c r="BG561" s="205"/>
      <c r="BH561" s="205"/>
      <c r="BI561" s="319"/>
    </row>
    <row r="562" spans="3:61" ht="15" customHeight="1">
      <c r="C562" s="325"/>
      <c r="D562" s="326"/>
      <c r="E562" s="311"/>
      <c r="F562" s="311"/>
      <c r="G562" s="311"/>
      <c r="H562" s="311"/>
      <c r="I562" s="311"/>
      <c r="J562" s="317"/>
      <c r="K562" s="312"/>
      <c r="L562" s="312"/>
      <c r="M562" s="312"/>
      <c r="N562" s="312"/>
      <c r="O562" s="312"/>
      <c r="P562" s="322" t="str">
        <f t="shared" si="26"/>
        <v/>
      </c>
      <c r="Q562" s="208" t="str">
        <f t="shared" si="24"/>
        <v/>
      </c>
      <c r="R562" s="208"/>
      <c r="S562" s="323" t="str">
        <f t="shared" si="25"/>
        <v/>
      </c>
      <c r="U562" s="322"/>
      <c r="V562" s="791"/>
      <c r="W562" s="792"/>
      <c r="X562" s="480"/>
      <c r="Y562" s="480"/>
      <c r="Z562" s="480"/>
      <c r="AA562" s="323"/>
      <c r="AB562" s="220"/>
      <c r="AC562" s="322"/>
      <c r="AD562" s="323"/>
      <c r="AE562" s="220"/>
      <c r="AF562" s="324"/>
      <c r="AG562" s="208"/>
      <c r="AH562" s="208"/>
      <c r="AI562" s="208"/>
      <c r="AJ562" s="208"/>
      <c r="AK562" s="208"/>
      <c r="AL562" s="208"/>
      <c r="AM562" s="208"/>
      <c r="AN562" s="208"/>
      <c r="AO562" s="208"/>
      <c r="AP562" s="208"/>
      <c r="AQ562" s="208"/>
      <c r="AR562" s="208"/>
      <c r="AS562" s="208"/>
      <c r="AT562" s="208"/>
      <c r="AU562" s="208"/>
      <c r="AV562" s="208"/>
      <c r="AW562" s="208"/>
      <c r="AX562" s="208"/>
      <c r="AY562" s="208"/>
      <c r="AZ562" s="208"/>
      <c r="BA562" s="208"/>
      <c r="BB562" s="208"/>
      <c r="BC562" s="208"/>
      <c r="BD562" s="208"/>
      <c r="BE562" s="208"/>
      <c r="BF562" s="208"/>
      <c r="BG562" s="208"/>
      <c r="BH562" s="208"/>
      <c r="BI562" s="323"/>
    </row>
    <row r="563" spans="3:61" ht="15" customHeight="1">
      <c r="C563" s="325"/>
      <c r="D563" s="326"/>
      <c r="E563" s="311"/>
      <c r="F563" s="311"/>
      <c r="G563" s="311"/>
      <c r="H563" s="311"/>
      <c r="I563" s="311"/>
      <c r="J563" s="317"/>
      <c r="K563" s="312"/>
      <c r="L563" s="312"/>
      <c r="M563" s="312"/>
      <c r="N563" s="312"/>
      <c r="O563" s="312"/>
      <c r="P563" s="318" t="str">
        <f t="shared" si="26"/>
        <v/>
      </c>
      <c r="Q563" s="205" t="str">
        <f t="shared" si="24"/>
        <v/>
      </c>
      <c r="R563" s="205"/>
      <c r="S563" s="319" t="str">
        <f t="shared" si="25"/>
        <v/>
      </c>
      <c r="U563" s="318"/>
      <c r="V563" s="794"/>
      <c r="W563" s="795"/>
      <c r="X563" s="482"/>
      <c r="Y563" s="482"/>
      <c r="Z563" s="482"/>
      <c r="AA563" s="319"/>
      <c r="AB563" s="220"/>
      <c r="AC563" s="318"/>
      <c r="AD563" s="319"/>
      <c r="AE563" s="220"/>
      <c r="AF563" s="320"/>
      <c r="AG563" s="205"/>
      <c r="AH563" s="205"/>
      <c r="AI563" s="205"/>
      <c r="AJ563" s="205"/>
      <c r="AK563" s="205"/>
      <c r="AL563" s="205"/>
      <c r="AM563" s="205"/>
      <c r="AN563" s="205"/>
      <c r="AO563" s="205"/>
      <c r="AP563" s="205"/>
      <c r="AQ563" s="205"/>
      <c r="AR563" s="205"/>
      <c r="AS563" s="205"/>
      <c r="AT563" s="205"/>
      <c r="AU563" s="205"/>
      <c r="AV563" s="205"/>
      <c r="AW563" s="205"/>
      <c r="AX563" s="205"/>
      <c r="AY563" s="205"/>
      <c r="AZ563" s="205"/>
      <c r="BA563" s="205"/>
      <c r="BB563" s="205"/>
      <c r="BC563" s="205"/>
      <c r="BD563" s="205"/>
      <c r="BE563" s="205"/>
      <c r="BF563" s="205"/>
      <c r="BG563" s="205"/>
      <c r="BH563" s="205"/>
      <c r="BI563" s="319"/>
    </row>
    <row r="564" spans="3:61" ht="15" customHeight="1">
      <c r="C564" s="325"/>
      <c r="D564" s="326"/>
      <c r="E564" s="311"/>
      <c r="F564" s="311"/>
      <c r="G564" s="311"/>
      <c r="H564" s="311"/>
      <c r="I564" s="311"/>
      <c r="J564" s="317"/>
      <c r="K564" s="312"/>
      <c r="L564" s="312"/>
      <c r="M564" s="312"/>
      <c r="N564" s="312"/>
      <c r="O564" s="312"/>
      <c r="P564" s="322" t="str">
        <f t="shared" si="26"/>
        <v/>
      </c>
      <c r="Q564" s="208" t="str">
        <f t="shared" si="24"/>
        <v/>
      </c>
      <c r="R564" s="208"/>
      <c r="S564" s="323" t="str">
        <f t="shared" si="25"/>
        <v/>
      </c>
      <c r="U564" s="322"/>
      <c r="V564" s="791"/>
      <c r="W564" s="792"/>
      <c r="X564" s="480"/>
      <c r="Y564" s="480"/>
      <c r="Z564" s="480"/>
      <c r="AA564" s="323"/>
      <c r="AB564" s="220"/>
      <c r="AC564" s="322"/>
      <c r="AD564" s="323"/>
      <c r="AE564" s="220"/>
      <c r="AF564" s="324"/>
      <c r="AG564" s="208"/>
      <c r="AH564" s="208"/>
      <c r="AI564" s="208"/>
      <c r="AJ564" s="208"/>
      <c r="AK564" s="208"/>
      <c r="AL564" s="208"/>
      <c r="AM564" s="208"/>
      <c r="AN564" s="208"/>
      <c r="AO564" s="208"/>
      <c r="AP564" s="208"/>
      <c r="AQ564" s="208"/>
      <c r="AR564" s="208"/>
      <c r="AS564" s="208"/>
      <c r="AT564" s="208"/>
      <c r="AU564" s="208"/>
      <c r="AV564" s="208"/>
      <c r="AW564" s="208"/>
      <c r="AX564" s="208"/>
      <c r="AY564" s="208"/>
      <c r="AZ564" s="208"/>
      <c r="BA564" s="208"/>
      <c r="BB564" s="208"/>
      <c r="BC564" s="208"/>
      <c r="BD564" s="208"/>
      <c r="BE564" s="208"/>
      <c r="BF564" s="208"/>
      <c r="BG564" s="208"/>
      <c r="BH564" s="208"/>
      <c r="BI564" s="323"/>
    </row>
    <row r="565" spans="3:61" ht="15" customHeight="1">
      <c r="C565" s="325"/>
      <c r="D565" s="326"/>
      <c r="E565" s="311"/>
      <c r="F565" s="311"/>
      <c r="G565" s="311"/>
      <c r="H565" s="311"/>
      <c r="I565" s="311"/>
      <c r="J565" s="317"/>
      <c r="K565" s="312"/>
      <c r="L565" s="312"/>
      <c r="M565" s="312"/>
      <c r="N565" s="312"/>
      <c r="O565" s="312"/>
      <c r="P565" s="318" t="str">
        <f t="shared" si="26"/>
        <v/>
      </c>
      <c r="Q565" s="205" t="str">
        <f t="shared" si="24"/>
        <v/>
      </c>
      <c r="R565" s="205"/>
      <c r="S565" s="319" t="str">
        <f t="shared" si="25"/>
        <v/>
      </c>
      <c r="U565" s="318"/>
      <c r="V565" s="794"/>
      <c r="W565" s="795"/>
      <c r="X565" s="482"/>
      <c r="Y565" s="482"/>
      <c r="Z565" s="482"/>
      <c r="AA565" s="319"/>
      <c r="AB565" s="220"/>
      <c r="AC565" s="318"/>
      <c r="AD565" s="319"/>
      <c r="AE565" s="220"/>
      <c r="AF565" s="320"/>
      <c r="AG565" s="205"/>
      <c r="AH565" s="205"/>
      <c r="AI565" s="205"/>
      <c r="AJ565" s="205"/>
      <c r="AK565" s="205"/>
      <c r="AL565" s="205"/>
      <c r="AM565" s="205"/>
      <c r="AN565" s="205"/>
      <c r="AO565" s="205"/>
      <c r="AP565" s="205"/>
      <c r="AQ565" s="205"/>
      <c r="AR565" s="205"/>
      <c r="AS565" s="205"/>
      <c r="AT565" s="205"/>
      <c r="AU565" s="205"/>
      <c r="AV565" s="205"/>
      <c r="AW565" s="205"/>
      <c r="AX565" s="205"/>
      <c r="AY565" s="205"/>
      <c r="AZ565" s="205"/>
      <c r="BA565" s="205"/>
      <c r="BB565" s="205"/>
      <c r="BC565" s="205"/>
      <c r="BD565" s="205"/>
      <c r="BE565" s="205"/>
      <c r="BF565" s="205"/>
      <c r="BG565" s="205"/>
      <c r="BH565" s="205"/>
      <c r="BI565" s="319"/>
    </row>
    <row r="566" spans="3:61" ht="15" customHeight="1">
      <c r="C566" s="325"/>
      <c r="D566" s="326"/>
      <c r="E566" s="311"/>
      <c r="F566" s="311"/>
      <c r="G566" s="311"/>
      <c r="H566" s="311"/>
      <c r="I566" s="311"/>
      <c r="J566" s="317"/>
      <c r="K566" s="312"/>
      <c r="L566" s="312"/>
      <c r="M566" s="312"/>
      <c r="N566" s="312"/>
      <c r="O566" s="312"/>
      <c r="P566" s="322" t="str">
        <f t="shared" si="26"/>
        <v/>
      </c>
      <c r="Q566" s="208" t="str">
        <f t="shared" si="24"/>
        <v/>
      </c>
      <c r="R566" s="208"/>
      <c r="S566" s="323" t="str">
        <f t="shared" si="25"/>
        <v/>
      </c>
      <c r="U566" s="322"/>
      <c r="V566" s="791"/>
      <c r="W566" s="792"/>
      <c r="X566" s="480"/>
      <c r="Y566" s="480"/>
      <c r="Z566" s="480"/>
      <c r="AA566" s="323"/>
      <c r="AB566" s="220"/>
      <c r="AC566" s="322"/>
      <c r="AD566" s="323"/>
      <c r="AE566" s="220"/>
      <c r="AF566" s="324"/>
      <c r="AG566" s="208"/>
      <c r="AH566" s="208"/>
      <c r="AI566" s="208"/>
      <c r="AJ566" s="208"/>
      <c r="AK566" s="208"/>
      <c r="AL566" s="208"/>
      <c r="AM566" s="208"/>
      <c r="AN566" s="208"/>
      <c r="AO566" s="208"/>
      <c r="AP566" s="208"/>
      <c r="AQ566" s="208"/>
      <c r="AR566" s="208"/>
      <c r="AS566" s="208"/>
      <c r="AT566" s="208"/>
      <c r="AU566" s="208"/>
      <c r="AV566" s="208"/>
      <c r="AW566" s="208"/>
      <c r="AX566" s="208"/>
      <c r="AY566" s="208"/>
      <c r="AZ566" s="208"/>
      <c r="BA566" s="208"/>
      <c r="BB566" s="208"/>
      <c r="BC566" s="208"/>
      <c r="BD566" s="208"/>
      <c r="BE566" s="208"/>
      <c r="BF566" s="208"/>
      <c r="BG566" s="208"/>
      <c r="BH566" s="208"/>
      <c r="BI566" s="323"/>
    </row>
    <row r="567" spans="3:61" ht="15" customHeight="1">
      <c r="C567" s="325"/>
      <c r="D567" s="326"/>
      <c r="E567" s="311"/>
      <c r="F567" s="311"/>
      <c r="G567" s="311"/>
      <c r="H567" s="311"/>
      <c r="I567" s="311"/>
      <c r="J567" s="317"/>
      <c r="K567" s="312"/>
      <c r="L567" s="312"/>
      <c r="M567" s="312"/>
      <c r="N567" s="312"/>
      <c r="O567" s="312"/>
      <c r="P567" s="318" t="str">
        <f t="shared" si="26"/>
        <v/>
      </c>
      <c r="Q567" s="205" t="str">
        <f t="shared" si="24"/>
        <v/>
      </c>
      <c r="R567" s="205"/>
      <c r="S567" s="319" t="str">
        <f t="shared" si="25"/>
        <v/>
      </c>
      <c r="U567" s="318"/>
      <c r="V567" s="794"/>
      <c r="W567" s="795"/>
      <c r="X567" s="482"/>
      <c r="Y567" s="482"/>
      <c r="Z567" s="482"/>
      <c r="AA567" s="319"/>
      <c r="AB567" s="220"/>
      <c r="AC567" s="318"/>
      <c r="AD567" s="319"/>
      <c r="AE567" s="220"/>
      <c r="AF567" s="320"/>
      <c r="AG567" s="205"/>
      <c r="AH567" s="205"/>
      <c r="AI567" s="205"/>
      <c r="AJ567" s="205"/>
      <c r="AK567" s="205"/>
      <c r="AL567" s="205"/>
      <c r="AM567" s="205"/>
      <c r="AN567" s="205"/>
      <c r="AO567" s="205"/>
      <c r="AP567" s="205"/>
      <c r="AQ567" s="205"/>
      <c r="AR567" s="205"/>
      <c r="AS567" s="205"/>
      <c r="AT567" s="205"/>
      <c r="AU567" s="205"/>
      <c r="AV567" s="205"/>
      <c r="AW567" s="205"/>
      <c r="AX567" s="205"/>
      <c r="AY567" s="205"/>
      <c r="AZ567" s="205"/>
      <c r="BA567" s="205"/>
      <c r="BB567" s="205"/>
      <c r="BC567" s="205"/>
      <c r="BD567" s="205"/>
      <c r="BE567" s="205"/>
      <c r="BF567" s="205"/>
      <c r="BG567" s="205"/>
      <c r="BH567" s="205"/>
      <c r="BI567" s="319"/>
    </row>
    <row r="568" spans="3:61" ht="15" customHeight="1">
      <c r="C568" s="325"/>
      <c r="D568" s="326"/>
      <c r="E568" s="311"/>
      <c r="F568" s="311"/>
      <c r="G568" s="311"/>
      <c r="H568" s="311"/>
      <c r="I568" s="311"/>
      <c r="J568" s="317"/>
      <c r="K568" s="312"/>
      <c r="L568" s="312"/>
      <c r="M568" s="312"/>
      <c r="N568" s="312"/>
      <c r="O568" s="312"/>
      <c r="P568" s="322" t="str">
        <f t="shared" si="26"/>
        <v/>
      </c>
      <c r="Q568" s="208" t="str">
        <f t="shared" si="24"/>
        <v/>
      </c>
      <c r="R568" s="208"/>
      <c r="S568" s="323" t="str">
        <f t="shared" si="25"/>
        <v/>
      </c>
      <c r="U568" s="322"/>
      <c r="V568" s="791"/>
      <c r="W568" s="792"/>
      <c r="X568" s="480"/>
      <c r="Y568" s="480"/>
      <c r="Z568" s="480"/>
      <c r="AA568" s="323"/>
      <c r="AB568" s="220"/>
      <c r="AC568" s="322"/>
      <c r="AD568" s="323"/>
      <c r="AE568" s="220"/>
      <c r="AF568" s="324"/>
      <c r="AG568" s="208"/>
      <c r="AH568" s="208"/>
      <c r="AI568" s="208"/>
      <c r="AJ568" s="208"/>
      <c r="AK568" s="208"/>
      <c r="AL568" s="208"/>
      <c r="AM568" s="208"/>
      <c r="AN568" s="208"/>
      <c r="AO568" s="208"/>
      <c r="AP568" s="208"/>
      <c r="AQ568" s="208"/>
      <c r="AR568" s="208"/>
      <c r="AS568" s="208"/>
      <c r="AT568" s="208"/>
      <c r="AU568" s="208"/>
      <c r="AV568" s="208"/>
      <c r="AW568" s="208"/>
      <c r="AX568" s="208"/>
      <c r="AY568" s="208"/>
      <c r="AZ568" s="208"/>
      <c r="BA568" s="208"/>
      <c r="BB568" s="208"/>
      <c r="BC568" s="208"/>
      <c r="BD568" s="208"/>
      <c r="BE568" s="208"/>
      <c r="BF568" s="208"/>
      <c r="BG568" s="208"/>
      <c r="BH568" s="208"/>
      <c r="BI568" s="323"/>
    </row>
    <row r="569" spans="3:61" ht="15" customHeight="1">
      <c r="C569" s="325"/>
      <c r="D569" s="326"/>
      <c r="E569" s="311"/>
      <c r="F569" s="311"/>
      <c r="G569" s="311"/>
      <c r="H569" s="311"/>
      <c r="I569" s="311"/>
      <c r="J569" s="317"/>
      <c r="K569" s="312"/>
      <c r="L569" s="312"/>
      <c r="M569" s="312"/>
      <c r="N569" s="312"/>
      <c r="O569" s="312"/>
      <c r="P569" s="318" t="str">
        <f t="shared" si="26"/>
        <v/>
      </c>
      <c r="Q569" s="205" t="str">
        <f t="shared" si="24"/>
        <v/>
      </c>
      <c r="R569" s="205"/>
      <c r="S569" s="319" t="str">
        <f t="shared" si="25"/>
        <v/>
      </c>
      <c r="U569" s="318"/>
      <c r="V569" s="794"/>
      <c r="W569" s="795"/>
      <c r="X569" s="482"/>
      <c r="Y569" s="482"/>
      <c r="Z569" s="482"/>
      <c r="AA569" s="319"/>
      <c r="AB569" s="220"/>
      <c r="AC569" s="318"/>
      <c r="AD569" s="319"/>
      <c r="AE569" s="220"/>
      <c r="AF569" s="320"/>
      <c r="AG569" s="205"/>
      <c r="AH569" s="205"/>
      <c r="AI569" s="205"/>
      <c r="AJ569" s="205"/>
      <c r="AK569" s="205"/>
      <c r="AL569" s="205"/>
      <c r="AM569" s="205"/>
      <c r="AN569" s="205"/>
      <c r="AO569" s="205"/>
      <c r="AP569" s="205"/>
      <c r="AQ569" s="205"/>
      <c r="AR569" s="205"/>
      <c r="AS569" s="205"/>
      <c r="AT569" s="205"/>
      <c r="AU569" s="205"/>
      <c r="AV569" s="205"/>
      <c r="AW569" s="205"/>
      <c r="AX569" s="205"/>
      <c r="AY569" s="205"/>
      <c r="AZ569" s="205"/>
      <c r="BA569" s="205"/>
      <c r="BB569" s="205"/>
      <c r="BC569" s="205"/>
      <c r="BD569" s="205"/>
      <c r="BE569" s="205"/>
      <c r="BF569" s="205"/>
      <c r="BG569" s="205"/>
      <c r="BH569" s="205"/>
      <c r="BI569" s="319"/>
    </row>
    <row r="570" spans="3:61" ht="15" customHeight="1">
      <c r="C570" s="325"/>
      <c r="D570" s="326"/>
      <c r="E570" s="311"/>
      <c r="F570" s="311"/>
      <c r="G570" s="311"/>
      <c r="H570" s="311"/>
      <c r="I570" s="311"/>
      <c r="J570" s="317"/>
      <c r="K570" s="312"/>
      <c r="L570" s="312"/>
      <c r="M570" s="312"/>
      <c r="N570" s="312"/>
      <c r="O570" s="312"/>
      <c r="P570" s="322" t="str">
        <f t="shared" si="26"/>
        <v/>
      </c>
      <c r="Q570" s="208" t="str">
        <f t="shared" si="24"/>
        <v/>
      </c>
      <c r="R570" s="208"/>
      <c r="S570" s="323" t="str">
        <f t="shared" si="25"/>
        <v/>
      </c>
      <c r="U570" s="322"/>
      <c r="V570" s="791"/>
      <c r="W570" s="792"/>
      <c r="X570" s="480"/>
      <c r="Y570" s="480"/>
      <c r="Z570" s="480"/>
      <c r="AA570" s="323"/>
      <c r="AB570" s="220"/>
      <c r="AC570" s="322"/>
      <c r="AD570" s="323"/>
      <c r="AE570" s="220"/>
      <c r="AF570" s="324"/>
      <c r="AG570" s="208"/>
      <c r="AH570" s="208"/>
      <c r="AI570" s="208"/>
      <c r="AJ570" s="208"/>
      <c r="AK570" s="208"/>
      <c r="AL570" s="208"/>
      <c r="AM570" s="208"/>
      <c r="AN570" s="208"/>
      <c r="AO570" s="208"/>
      <c r="AP570" s="208"/>
      <c r="AQ570" s="208"/>
      <c r="AR570" s="208"/>
      <c r="AS570" s="208"/>
      <c r="AT570" s="208"/>
      <c r="AU570" s="208"/>
      <c r="AV570" s="208"/>
      <c r="AW570" s="208"/>
      <c r="AX570" s="208"/>
      <c r="AY570" s="208"/>
      <c r="AZ570" s="208"/>
      <c r="BA570" s="208"/>
      <c r="BB570" s="208"/>
      <c r="BC570" s="208"/>
      <c r="BD570" s="208"/>
      <c r="BE570" s="208"/>
      <c r="BF570" s="208"/>
      <c r="BG570" s="208"/>
      <c r="BH570" s="208"/>
      <c r="BI570" s="323"/>
    </row>
    <row r="571" spans="3:61" ht="15" customHeight="1">
      <c r="C571" s="325"/>
      <c r="D571" s="326"/>
      <c r="E571" s="311"/>
      <c r="F571" s="311"/>
      <c r="G571" s="311"/>
      <c r="H571" s="311"/>
      <c r="I571" s="311"/>
      <c r="J571" s="317"/>
      <c r="K571" s="312"/>
      <c r="L571" s="312"/>
      <c r="M571" s="312"/>
      <c r="N571" s="312"/>
      <c r="O571" s="312"/>
      <c r="P571" s="318" t="str">
        <f t="shared" si="26"/>
        <v/>
      </c>
      <c r="Q571" s="205" t="str">
        <f t="shared" si="24"/>
        <v/>
      </c>
      <c r="R571" s="205"/>
      <c r="S571" s="319" t="str">
        <f t="shared" si="25"/>
        <v/>
      </c>
      <c r="U571" s="318"/>
      <c r="V571" s="794"/>
      <c r="W571" s="795"/>
      <c r="X571" s="482"/>
      <c r="Y571" s="482"/>
      <c r="Z571" s="482"/>
      <c r="AA571" s="319"/>
      <c r="AB571" s="220"/>
      <c r="AC571" s="318"/>
      <c r="AD571" s="319"/>
      <c r="AE571" s="220"/>
      <c r="AF571" s="320"/>
      <c r="AG571" s="205"/>
      <c r="AH571" s="205"/>
      <c r="AI571" s="205"/>
      <c r="AJ571" s="205"/>
      <c r="AK571" s="205"/>
      <c r="AL571" s="205"/>
      <c r="AM571" s="205"/>
      <c r="AN571" s="205"/>
      <c r="AO571" s="205"/>
      <c r="AP571" s="205"/>
      <c r="AQ571" s="205"/>
      <c r="AR571" s="205"/>
      <c r="AS571" s="205"/>
      <c r="AT571" s="205"/>
      <c r="AU571" s="205"/>
      <c r="AV571" s="205"/>
      <c r="AW571" s="205"/>
      <c r="AX571" s="205"/>
      <c r="AY571" s="205"/>
      <c r="AZ571" s="205"/>
      <c r="BA571" s="205"/>
      <c r="BB571" s="205"/>
      <c r="BC571" s="205"/>
      <c r="BD571" s="205"/>
      <c r="BE571" s="205"/>
      <c r="BF571" s="205"/>
      <c r="BG571" s="205"/>
      <c r="BH571" s="205"/>
      <c r="BI571" s="319"/>
    </row>
    <row r="572" spans="3:61" ht="15" customHeight="1">
      <c r="C572" s="325"/>
      <c r="D572" s="326"/>
      <c r="E572" s="311"/>
      <c r="F572" s="311"/>
      <c r="G572" s="311"/>
      <c r="H572" s="311"/>
      <c r="I572" s="311"/>
      <c r="J572" s="317"/>
      <c r="K572" s="312"/>
      <c r="L572" s="312"/>
      <c r="M572" s="312"/>
      <c r="N572" s="312"/>
      <c r="O572" s="312"/>
      <c r="P572" s="322" t="str">
        <f t="shared" si="26"/>
        <v/>
      </c>
      <c r="Q572" s="208" t="str">
        <f t="shared" si="24"/>
        <v/>
      </c>
      <c r="R572" s="208"/>
      <c r="S572" s="323" t="str">
        <f t="shared" si="25"/>
        <v/>
      </c>
      <c r="U572" s="322"/>
      <c r="V572" s="791"/>
      <c r="W572" s="792"/>
      <c r="X572" s="480"/>
      <c r="Y572" s="480"/>
      <c r="Z572" s="480"/>
      <c r="AA572" s="323"/>
      <c r="AB572" s="220"/>
      <c r="AC572" s="322"/>
      <c r="AD572" s="323"/>
      <c r="AE572" s="220"/>
      <c r="AF572" s="324"/>
      <c r="AG572" s="208"/>
      <c r="AH572" s="208"/>
      <c r="AI572" s="208"/>
      <c r="AJ572" s="208"/>
      <c r="AK572" s="208"/>
      <c r="AL572" s="208"/>
      <c r="AM572" s="208"/>
      <c r="AN572" s="208"/>
      <c r="AO572" s="208"/>
      <c r="AP572" s="208"/>
      <c r="AQ572" s="208"/>
      <c r="AR572" s="208"/>
      <c r="AS572" s="208"/>
      <c r="AT572" s="208"/>
      <c r="AU572" s="208"/>
      <c r="AV572" s="208"/>
      <c r="AW572" s="208"/>
      <c r="AX572" s="208"/>
      <c r="AY572" s="208"/>
      <c r="AZ572" s="208"/>
      <c r="BA572" s="208"/>
      <c r="BB572" s="208"/>
      <c r="BC572" s="208"/>
      <c r="BD572" s="208"/>
      <c r="BE572" s="208"/>
      <c r="BF572" s="208"/>
      <c r="BG572" s="208"/>
      <c r="BH572" s="208"/>
      <c r="BI572" s="323"/>
    </row>
    <row r="573" spans="3:61" ht="15" customHeight="1">
      <c r="C573" s="325"/>
      <c r="D573" s="326"/>
      <c r="E573" s="311"/>
      <c r="F573" s="311"/>
      <c r="G573" s="311"/>
      <c r="H573" s="311"/>
      <c r="I573" s="311"/>
      <c r="J573" s="317"/>
      <c r="K573" s="312"/>
      <c r="L573" s="312"/>
      <c r="M573" s="312"/>
      <c r="N573" s="312"/>
      <c r="O573" s="312"/>
      <c r="P573" s="318" t="str">
        <f t="shared" si="26"/>
        <v/>
      </c>
      <c r="Q573" s="205" t="str">
        <f t="shared" si="24"/>
        <v/>
      </c>
      <c r="R573" s="205"/>
      <c r="S573" s="319" t="str">
        <f t="shared" si="25"/>
        <v/>
      </c>
      <c r="U573" s="318"/>
      <c r="V573" s="794"/>
      <c r="W573" s="795"/>
      <c r="X573" s="482"/>
      <c r="Y573" s="482"/>
      <c r="Z573" s="482"/>
      <c r="AA573" s="319"/>
      <c r="AB573" s="220"/>
      <c r="AC573" s="318"/>
      <c r="AD573" s="319"/>
      <c r="AE573" s="220"/>
      <c r="AF573" s="320"/>
      <c r="AG573" s="205"/>
      <c r="AH573" s="205"/>
      <c r="AI573" s="205"/>
      <c r="AJ573" s="205"/>
      <c r="AK573" s="205"/>
      <c r="AL573" s="205"/>
      <c r="AM573" s="205"/>
      <c r="AN573" s="205"/>
      <c r="AO573" s="205"/>
      <c r="AP573" s="205"/>
      <c r="AQ573" s="205"/>
      <c r="AR573" s="205"/>
      <c r="AS573" s="205"/>
      <c r="AT573" s="205"/>
      <c r="AU573" s="205"/>
      <c r="AV573" s="205"/>
      <c r="AW573" s="205"/>
      <c r="AX573" s="205"/>
      <c r="AY573" s="205"/>
      <c r="AZ573" s="205"/>
      <c r="BA573" s="205"/>
      <c r="BB573" s="205"/>
      <c r="BC573" s="205"/>
      <c r="BD573" s="205"/>
      <c r="BE573" s="205"/>
      <c r="BF573" s="205"/>
      <c r="BG573" s="205"/>
      <c r="BH573" s="205"/>
      <c r="BI573" s="319"/>
    </row>
    <row r="574" spans="3:61" ht="15" customHeight="1">
      <c r="C574" s="325"/>
      <c r="D574" s="326"/>
      <c r="E574" s="311"/>
      <c r="F574" s="311"/>
      <c r="G574" s="311"/>
      <c r="H574" s="311"/>
      <c r="I574" s="311"/>
      <c r="J574" s="317"/>
      <c r="K574" s="312"/>
      <c r="L574" s="312"/>
      <c r="M574" s="312"/>
      <c r="N574" s="312"/>
      <c r="O574" s="312"/>
      <c r="P574" s="322" t="str">
        <f t="shared" si="26"/>
        <v/>
      </c>
      <c r="Q574" s="208" t="str">
        <f t="shared" si="24"/>
        <v/>
      </c>
      <c r="R574" s="208"/>
      <c r="S574" s="323" t="str">
        <f t="shared" si="25"/>
        <v/>
      </c>
      <c r="U574" s="322"/>
      <c r="V574" s="791"/>
      <c r="W574" s="792"/>
      <c r="X574" s="480"/>
      <c r="Y574" s="480"/>
      <c r="Z574" s="480"/>
      <c r="AA574" s="323"/>
      <c r="AB574" s="220"/>
      <c r="AC574" s="322"/>
      <c r="AD574" s="323"/>
      <c r="AE574" s="220"/>
      <c r="AF574" s="324"/>
      <c r="AG574" s="208"/>
      <c r="AH574" s="208"/>
      <c r="AI574" s="208"/>
      <c r="AJ574" s="208"/>
      <c r="AK574" s="208"/>
      <c r="AL574" s="208"/>
      <c r="AM574" s="208"/>
      <c r="AN574" s="208"/>
      <c r="AO574" s="208"/>
      <c r="AP574" s="208"/>
      <c r="AQ574" s="208"/>
      <c r="AR574" s="208"/>
      <c r="AS574" s="208"/>
      <c r="AT574" s="208"/>
      <c r="AU574" s="208"/>
      <c r="AV574" s="208"/>
      <c r="AW574" s="208"/>
      <c r="AX574" s="208"/>
      <c r="AY574" s="208"/>
      <c r="AZ574" s="208"/>
      <c r="BA574" s="208"/>
      <c r="BB574" s="208"/>
      <c r="BC574" s="208"/>
      <c r="BD574" s="208"/>
      <c r="BE574" s="208"/>
      <c r="BF574" s="208"/>
      <c r="BG574" s="208"/>
      <c r="BH574" s="208"/>
      <c r="BI574" s="323"/>
    </row>
    <row r="575" spans="3:61" ht="15" customHeight="1">
      <c r="C575" s="325"/>
      <c r="D575" s="326"/>
      <c r="E575" s="311"/>
      <c r="F575" s="311"/>
      <c r="G575" s="311"/>
      <c r="H575" s="311"/>
      <c r="I575" s="311"/>
      <c r="J575" s="317"/>
      <c r="K575" s="312"/>
      <c r="L575" s="312"/>
      <c r="M575" s="312"/>
      <c r="N575" s="312"/>
      <c r="O575" s="312"/>
      <c r="P575" s="318" t="str">
        <f t="shared" si="26"/>
        <v/>
      </c>
      <c r="Q575" s="205" t="str">
        <f t="shared" si="24"/>
        <v/>
      </c>
      <c r="R575" s="205"/>
      <c r="S575" s="319" t="str">
        <f t="shared" si="25"/>
        <v/>
      </c>
      <c r="U575" s="318"/>
      <c r="V575" s="794"/>
      <c r="W575" s="795"/>
      <c r="X575" s="482"/>
      <c r="Y575" s="482"/>
      <c r="Z575" s="482"/>
      <c r="AA575" s="319"/>
      <c r="AB575" s="220"/>
      <c r="AC575" s="318"/>
      <c r="AD575" s="319"/>
      <c r="AE575" s="220"/>
      <c r="AF575" s="320"/>
      <c r="AG575" s="205"/>
      <c r="AH575" s="205"/>
      <c r="AI575" s="205"/>
      <c r="AJ575" s="205"/>
      <c r="AK575" s="205"/>
      <c r="AL575" s="205"/>
      <c r="AM575" s="205"/>
      <c r="AN575" s="205"/>
      <c r="AO575" s="205"/>
      <c r="AP575" s="205"/>
      <c r="AQ575" s="205"/>
      <c r="AR575" s="205"/>
      <c r="AS575" s="205"/>
      <c r="AT575" s="205"/>
      <c r="AU575" s="205"/>
      <c r="AV575" s="205"/>
      <c r="AW575" s="205"/>
      <c r="AX575" s="205"/>
      <c r="AY575" s="205"/>
      <c r="AZ575" s="205"/>
      <c r="BA575" s="205"/>
      <c r="BB575" s="205"/>
      <c r="BC575" s="205"/>
      <c r="BD575" s="205"/>
      <c r="BE575" s="205"/>
      <c r="BF575" s="205"/>
      <c r="BG575" s="205"/>
      <c r="BH575" s="205"/>
      <c r="BI575" s="319"/>
    </row>
    <row r="576" spans="3:61" ht="15" customHeight="1">
      <c r="C576" s="325"/>
      <c r="D576" s="326"/>
      <c r="E576" s="311"/>
      <c r="F576" s="311"/>
      <c r="G576" s="311"/>
      <c r="H576" s="311"/>
      <c r="I576" s="311"/>
      <c r="J576" s="317"/>
      <c r="K576" s="312"/>
      <c r="L576" s="312"/>
      <c r="M576" s="312"/>
      <c r="N576" s="312"/>
      <c r="O576" s="312"/>
      <c r="P576" s="322" t="str">
        <f t="shared" si="26"/>
        <v/>
      </c>
      <c r="Q576" s="208" t="str">
        <f t="shared" si="24"/>
        <v/>
      </c>
      <c r="R576" s="208"/>
      <c r="S576" s="323" t="str">
        <f t="shared" si="25"/>
        <v/>
      </c>
      <c r="U576" s="322"/>
      <c r="V576" s="791"/>
      <c r="W576" s="792"/>
      <c r="X576" s="480"/>
      <c r="Y576" s="480"/>
      <c r="Z576" s="480"/>
      <c r="AA576" s="323"/>
      <c r="AB576" s="220"/>
      <c r="AC576" s="322"/>
      <c r="AD576" s="323"/>
      <c r="AE576" s="220"/>
      <c r="AF576" s="324"/>
      <c r="AG576" s="208"/>
      <c r="AH576" s="208"/>
      <c r="AI576" s="208"/>
      <c r="AJ576" s="208"/>
      <c r="AK576" s="208"/>
      <c r="AL576" s="208"/>
      <c r="AM576" s="208"/>
      <c r="AN576" s="208"/>
      <c r="AO576" s="208"/>
      <c r="AP576" s="208"/>
      <c r="AQ576" s="208"/>
      <c r="AR576" s="208"/>
      <c r="AS576" s="208"/>
      <c r="AT576" s="208"/>
      <c r="AU576" s="208"/>
      <c r="AV576" s="208"/>
      <c r="AW576" s="208"/>
      <c r="AX576" s="208"/>
      <c r="AY576" s="208"/>
      <c r="AZ576" s="208"/>
      <c r="BA576" s="208"/>
      <c r="BB576" s="208"/>
      <c r="BC576" s="208"/>
      <c r="BD576" s="208"/>
      <c r="BE576" s="208"/>
      <c r="BF576" s="208"/>
      <c r="BG576" s="208"/>
      <c r="BH576" s="208"/>
      <c r="BI576" s="323"/>
    </row>
    <row r="577" spans="3:61" ht="15" customHeight="1">
      <c r="C577" s="325"/>
      <c r="D577" s="326"/>
      <c r="E577" s="311"/>
      <c r="F577" s="311"/>
      <c r="G577" s="311"/>
      <c r="H577" s="311"/>
      <c r="I577" s="311"/>
      <c r="J577" s="317"/>
      <c r="K577" s="312"/>
      <c r="L577" s="312"/>
      <c r="M577" s="312"/>
      <c r="N577" s="312"/>
      <c r="O577" s="312"/>
      <c r="P577" s="318" t="str">
        <f t="shared" si="26"/>
        <v/>
      </c>
      <c r="Q577" s="205" t="str">
        <f t="shared" si="24"/>
        <v/>
      </c>
      <c r="R577" s="205"/>
      <c r="S577" s="319" t="str">
        <f t="shared" si="25"/>
        <v/>
      </c>
      <c r="U577" s="318"/>
      <c r="V577" s="794"/>
      <c r="W577" s="795"/>
      <c r="X577" s="482"/>
      <c r="Y577" s="482"/>
      <c r="Z577" s="482"/>
      <c r="AA577" s="319"/>
      <c r="AB577" s="220"/>
      <c r="AC577" s="318"/>
      <c r="AD577" s="319"/>
      <c r="AE577" s="220"/>
      <c r="AF577" s="320"/>
      <c r="AG577" s="205"/>
      <c r="AH577" s="205"/>
      <c r="AI577" s="205"/>
      <c r="AJ577" s="205"/>
      <c r="AK577" s="205"/>
      <c r="AL577" s="205"/>
      <c r="AM577" s="205"/>
      <c r="AN577" s="205"/>
      <c r="AO577" s="205"/>
      <c r="AP577" s="205"/>
      <c r="AQ577" s="205"/>
      <c r="AR577" s="205"/>
      <c r="AS577" s="205"/>
      <c r="AT577" s="205"/>
      <c r="AU577" s="205"/>
      <c r="AV577" s="205"/>
      <c r="AW577" s="205"/>
      <c r="AX577" s="205"/>
      <c r="AY577" s="205"/>
      <c r="AZ577" s="205"/>
      <c r="BA577" s="205"/>
      <c r="BB577" s="205"/>
      <c r="BC577" s="205"/>
      <c r="BD577" s="205"/>
      <c r="BE577" s="205"/>
      <c r="BF577" s="205"/>
      <c r="BG577" s="205"/>
      <c r="BH577" s="205"/>
      <c r="BI577" s="319"/>
    </row>
    <row r="578" spans="3:61" ht="15" customHeight="1">
      <c r="C578" s="325"/>
      <c r="D578" s="326"/>
      <c r="E578" s="311"/>
      <c r="F578" s="311"/>
      <c r="G578" s="311"/>
      <c r="H578" s="311"/>
      <c r="I578" s="311"/>
      <c r="J578" s="317"/>
      <c r="K578" s="312"/>
      <c r="L578" s="312"/>
      <c r="M578" s="312"/>
      <c r="N578" s="312"/>
      <c r="O578" s="312"/>
      <c r="P578" s="322" t="str">
        <f t="shared" si="26"/>
        <v/>
      </c>
      <c r="Q578" s="208" t="str">
        <f t="shared" si="24"/>
        <v/>
      </c>
      <c r="R578" s="208"/>
      <c r="S578" s="323" t="str">
        <f t="shared" si="25"/>
        <v/>
      </c>
      <c r="U578" s="322"/>
      <c r="V578" s="791"/>
      <c r="W578" s="792"/>
      <c r="X578" s="480"/>
      <c r="Y578" s="480"/>
      <c r="Z578" s="480"/>
      <c r="AA578" s="323"/>
      <c r="AB578" s="220"/>
      <c r="AC578" s="322"/>
      <c r="AD578" s="323"/>
      <c r="AE578" s="220"/>
      <c r="AF578" s="324"/>
      <c r="AG578" s="208"/>
      <c r="AH578" s="208"/>
      <c r="AI578" s="208"/>
      <c r="AJ578" s="208"/>
      <c r="AK578" s="208"/>
      <c r="AL578" s="208"/>
      <c r="AM578" s="208"/>
      <c r="AN578" s="208"/>
      <c r="AO578" s="208"/>
      <c r="AP578" s="208"/>
      <c r="AQ578" s="208"/>
      <c r="AR578" s="208"/>
      <c r="AS578" s="208"/>
      <c r="AT578" s="208"/>
      <c r="AU578" s="208"/>
      <c r="AV578" s="208"/>
      <c r="AW578" s="208"/>
      <c r="AX578" s="208"/>
      <c r="AY578" s="208"/>
      <c r="AZ578" s="208"/>
      <c r="BA578" s="208"/>
      <c r="BB578" s="208"/>
      <c r="BC578" s="208"/>
      <c r="BD578" s="208"/>
      <c r="BE578" s="208"/>
      <c r="BF578" s="208"/>
      <c r="BG578" s="208"/>
      <c r="BH578" s="208"/>
      <c r="BI578" s="323"/>
    </row>
    <row r="579" spans="3:61" ht="15" customHeight="1">
      <c r="C579" s="325"/>
      <c r="D579" s="326"/>
      <c r="E579" s="311"/>
      <c r="F579" s="311"/>
      <c r="G579" s="311"/>
      <c r="H579" s="311"/>
      <c r="I579" s="311"/>
      <c r="J579" s="317"/>
      <c r="K579" s="312"/>
      <c r="L579" s="312"/>
      <c r="M579" s="312"/>
      <c r="N579" s="312"/>
      <c r="O579" s="312"/>
      <c r="P579" s="318" t="str">
        <f t="shared" si="26"/>
        <v/>
      </c>
      <c r="Q579" s="205" t="str">
        <f t="shared" si="24"/>
        <v/>
      </c>
      <c r="R579" s="205"/>
      <c r="S579" s="319" t="str">
        <f t="shared" si="25"/>
        <v/>
      </c>
      <c r="U579" s="318"/>
      <c r="V579" s="794"/>
      <c r="W579" s="795"/>
      <c r="X579" s="482"/>
      <c r="Y579" s="482"/>
      <c r="Z579" s="482"/>
      <c r="AA579" s="319"/>
      <c r="AB579" s="220"/>
      <c r="AC579" s="318"/>
      <c r="AD579" s="319"/>
      <c r="AE579" s="220"/>
      <c r="AF579" s="320"/>
      <c r="AG579" s="205"/>
      <c r="AH579" s="205"/>
      <c r="AI579" s="205"/>
      <c r="AJ579" s="205"/>
      <c r="AK579" s="205"/>
      <c r="AL579" s="205"/>
      <c r="AM579" s="205"/>
      <c r="AN579" s="205"/>
      <c r="AO579" s="205"/>
      <c r="AP579" s="205"/>
      <c r="AQ579" s="205"/>
      <c r="AR579" s="205"/>
      <c r="AS579" s="205"/>
      <c r="AT579" s="205"/>
      <c r="AU579" s="205"/>
      <c r="AV579" s="205"/>
      <c r="AW579" s="205"/>
      <c r="AX579" s="205"/>
      <c r="AY579" s="205"/>
      <c r="AZ579" s="205"/>
      <c r="BA579" s="205"/>
      <c r="BB579" s="205"/>
      <c r="BC579" s="205"/>
      <c r="BD579" s="205"/>
      <c r="BE579" s="205"/>
      <c r="BF579" s="205"/>
      <c r="BG579" s="205"/>
      <c r="BH579" s="205"/>
      <c r="BI579" s="319"/>
    </row>
    <row r="580" spans="3:61" ht="15" customHeight="1">
      <c r="C580" s="325"/>
      <c r="D580" s="326"/>
      <c r="E580" s="311"/>
      <c r="F580" s="311"/>
      <c r="G580" s="311"/>
      <c r="H580" s="311"/>
      <c r="I580" s="311"/>
      <c r="J580" s="317"/>
      <c r="K580" s="312"/>
      <c r="L580" s="312"/>
      <c r="M580" s="312"/>
      <c r="N580" s="312"/>
      <c r="O580" s="312"/>
      <c r="P580" s="322" t="str">
        <f t="shared" si="26"/>
        <v/>
      </c>
      <c r="Q580" s="208" t="str">
        <f t="shared" si="24"/>
        <v/>
      </c>
      <c r="R580" s="208"/>
      <c r="S580" s="323" t="str">
        <f t="shared" si="25"/>
        <v/>
      </c>
      <c r="U580" s="322"/>
      <c r="V580" s="791"/>
      <c r="W580" s="792"/>
      <c r="X580" s="480"/>
      <c r="Y580" s="480"/>
      <c r="Z580" s="480"/>
      <c r="AA580" s="323"/>
      <c r="AB580" s="220"/>
      <c r="AC580" s="322"/>
      <c r="AD580" s="323"/>
      <c r="AE580" s="220"/>
      <c r="AF580" s="324"/>
      <c r="AG580" s="208"/>
      <c r="AH580" s="208"/>
      <c r="AI580" s="208"/>
      <c r="AJ580" s="208"/>
      <c r="AK580" s="208"/>
      <c r="AL580" s="208"/>
      <c r="AM580" s="208"/>
      <c r="AN580" s="208"/>
      <c r="AO580" s="208"/>
      <c r="AP580" s="208"/>
      <c r="AQ580" s="208"/>
      <c r="AR580" s="208"/>
      <c r="AS580" s="208"/>
      <c r="AT580" s="208"/>
      <c r="AU580" s="208"/>
      <c r="AV580" s="208"/>
      <c r="AW580" s="208"/>
      <c r="AX580" s="208"/>
      <c r="AY580" s="208"/>
      <c r="AZ580" s="208"/>
      <c r="BA580" s="208"/>
      <c r="BB580" s="208"/>
      <c r="BC580" s="208"/>
      <c r="BD580" s="208"/>
      <c r="BE580" s="208"/>
      <c r="BF580" s="208"/>
      <c r="BG580" s="208"/>
      <c r="BH580" s="208"/>
      <c r="BI580" s="323"/>
    </row>
    <row r="581" spans="3:61" ht="15" customHeight="1">
      <c r="C581" s="325"/>
      <c r="D581" s="326"/>
      <c r="E581" s="311"/>
      <c r="F581" s="311"/>
      <c r="G581" s="311"/>
      <c r="H581" s="311"/>
      <c r="I581" s="311"/>
      <c r="J581" s="317"/>
      <c r="K581" s="312"/>
      <c r="L581" s="312"/>
      <c r="M581" s="312"/>
      <c r="N581" s="312"/>
      <c r="O581" s="312"/>
      <c r="P581" s="318" t="str">
        <f t="shared" si="26"/>
        <v/>
      </c>
      <c r="Q581" s="205" t="str">
        <f t="shared" si="24"/>
        <v/>
      </c>
      <c r="R581" s="205"/>
      <c r="S581" s="319" t="str">
        <f t="shared" si="25"/>
        <v/>
      </c>
      <c r="U581" s="318"/>
      <c r="V581" s="794"/>
      <c r="W581" s="795"/>
      <c r="X581" s="482"/>
      <c r="Y581" s="482"/>
      <c r="Z581" s="482"/>
      <c r="AA581" s="319"/>
      <c r="AB581" s="220"/>
      <c r="AC581" s="318"/>
      <c r="AD581" s="319"/>
      <c r="AE581" s="220"/>
      <c r="AF581" s="320"/>
      <c r="AG581" s="205"/>
      <c r="AH581" s="205"/>
      <c r="AI581" s="205"/>
      <c r="AJ581" s="205"/>
      <c r="AK581" s="205"/>
      <c r="AL581" s="205"/>
      <c r="AM581" s="205"/>
      <c r="AN581" s="205"/>
      <c r="AO581" s="205"/>
      <c r="AP581" s="205"/>
      <c r="AQ581" s="205"/>
      <c r="AR581" s="205"/>
      <c r="AS581" s="205"/>
      <c r="AT581" s="205"/>
      <c r="AU581" s="205"/>
      <c r="AV581" s="205"/>
      <c r="AW581" s="205"/>
      <c r="AX581" s="205"/>
      <c r="AY581" s="205"/>
      <c r="AZ581" s="205"/>
      <c r="BA581" s="205"/>
      <c r="BB581" s="205"/>
      <c r="BC581" s="205"/>
      <c r="BD581" s="205"/>
      <c r="BE581" s="205"/>
      <c r="BF581" s="205"/>
      <c r="BG581" s="205"/>
      <c r="BH581" s="205"/>
      <c r="BI581" s="319"/>
    </row>
    <row r="582" spans="3:61" ht="15" customHeight="1">
      <c r="C582" s="325"/>
      <c r="D582" s="326"/>
      <c r="E582" s="311"/>
      <c r="F582" s="311"/>
      <c r="G582" s="311"/>
      <c r="H582" s="311"/>
      <c r="I582" s="311"/>
      <c r="J582" s="317"/>
      <c r="K582" s="312"/>
      <c r="L582" s="312"/>
      <c r="M582" s="312"/>
      <c r="N582" s="312"/>
      <c r="O582" s="312"/>
      <c r="P582" s="322" t="str">
        <f t="shared" si="26"/>
        <v/>
      </c>
      <c r="Q582" s="208" t="str">
        <f t="shared" si="24"/>
        <v/>
      </c>
      <c r="R582" s="208"/>
      <c r="S582" s="323" t="str">
        <f t="shared" si="25"/>
        <v/>
      </c>
      <c r="U582" s="322"/>
      <c r="V582" s="791"/>
      <c r="W582" s="792"/>
      <c r="X582" s="480"/>
      <c r="Y582" s="480"/>
      <c r="Z582" s="480"/>
      <c r="AA582" s="323"/>
      <c r="AB582" s="220"/>
      <c r="AC582" s="322"/>
      <c r="AD582" s="323"/>
      <c r="AE582" s="220"/>
      <c r="AF582" s="324"/>
      <c r="AG582" s="208"/>
      <c r="AH582" s="208"/>
      <c r="AI582" s="208"/>
      <c r="AJ582" s="208"/>
      <c r="AK582" s="208"/>
      <c r="AL582" s="208"/>
      <c r="AM582" s="208"/>
      <c r="AN582" s="208"/>
      <c r="AO582" s="208"/>
      <c r="AP582" s="208"/>
      <c r="AQ582" s="208"/>
      <c r="AR582" s="208"/>
      <c r="AS582" s="208"/>
      <c r="AT582" s="208"/>
      <c r="AU582" s="208"/>
      <c r="AV582" s="208"/>
      <c r="AW582" s="208"/>
      <c r="AX582" s="208"/>
      <c r="AY582" s="208"/>
      <c r="AZ582" s="208"/>
      <c r="BA582" s="208"/>
      <c r="BB582" s="208"/>
      <c r="BC582" s="208"/>
      <c r="BD582" s="208"/>
      <c r="BE582" s="208"/>
      <c r="BF582" s="208"/>
      <c r="BG582" s="208"/>
      <c r="BH582" s="208"/>
      <c r="BI582" s="323"/>
    </row>
    <row r="583" spans="3:61" ht="15" customHeight="1">
      <c r="C583" s="325"/>
      <c r="D583" s="326"/>
      <c r="E583" s="311"/>
      <c r="F583" s="311"/>
      <c r="G583" s="311"/>
      <c r="H583" s="311"/>
      <c r="I583" s="311"/>
      <c r="J583" s="317"/>
      <c r="K583" s="312"/>
      <c r="L583" s="312"/>
      <c r="M583" s="312"/>
      <c r="N583" s="312"/>
      <c r="O583" s="312"/>
      <c r="P583" s="318" t="str">
        <f t="shared" si="26"/>
        <v/>
      </c>
      <c r="Q583" s="205" t="str">
        <f t="shared" si="24"/>
        <v/>
      </c>
      <c r="R583" s="205"/>
      <c r="S583" s="319" t="str">
        <f t="shared" si="25"/>
        <v/>
      </c>
      <c r="U583" s="318"/>
      <c r="V583" s="794"/>
      <c r="W583" s="795"/>
      <c r="X583" s="482"/>
      <c r="Y583" s="482"/>
      <c r="Z583" s="482"/>
      <c r="AA583" s="319"/>
      <c r="AB583" s="220"/>
      <c r="AC583" s="318"/>
      <c r="AD583" s="319"/>
      <c r="AE583" s="220"/>
      <c r="AF583" s="320"/>
      <c r="AG583" s="205"/>
      <c r="AH583" s="205"/>
      <c r="AI583" s="205"/>
      <c r="AJ583" s="205"/>
      <c r="AK583" s="205"/>
      <c r="AL583" s="205"/>
      <c r="AM583" s="205"/>
      <c r="AN583" s="205"/>
      <c r="AO583" s="205"/>
      <c r="AP583" s="205"/>
      <c r="AQ583" s="205"/>
      <c r="AR583" s="205"/>
      <c r="AS583" s="205"/>
      <c r="AT583" s="205"/>
      <c r="AU583" s="205"/>
      <c r="AV583" s="205"/>
      <c r="AW583" s="205"/>
      <c r="AX583" s="205"/>
      <c r="AY583" s="205"/>
      <c r="AZ583" s="205"/>
      <c r="BA583" s="205"/>
      <c r="BB583" s="205"/>
      <c r="BC583" s="205"/>
      <c r="BD583" s="205"/>
      <c r="BE583" s="205"/>
      <c r="BF583" s="205"/>
      <c r="BG583" s="205"/>
      <c r="BH583" s="205"/>
      <c r="BI583" s="319"/>
    </row>
    <row r="584" spans="3:61" ht="15" customHeight="1">
      <c r="C584" s="325"/>
      <c r="D584" s="326"/>
      <c r="E584" s="311"/>
      <c r="F584" s="311"/>
      <c r="G584" s="311"/>
      <c r="H584" s="311"/>
      <c r="I584" s="311"/>
      <c r="J584" s="317"/>
      <c r="K584" s="312"/>
      <c r="L584" s="312"/>
      <c r="M584" s="312"/>
      <c r="N584" s="312"/>
      <c r="O584" s="312"/>
      <c r="P584" s="322" t="str">
        <f t="shared" si="26"/>
        <v/>
      </c>
      <c r="Q584" s="208" t="str">
        <f t="shared" si="24"/>
        <v/>
      </c>
      <c r="R584" s="208"/>
      <c r="S584" s="323" t="str">
        <f t="shared" si="25"/>
        <v/>
      </c>
      <c r="U584" s="322"/>
      <c r="V584" s="791"/>
      <c r="W584" s="792"/>
      <c r="X584" s="480"/>
      <c r="Y584" s="480"/>
      <c r="Z584" s="480"/>
      <c r="AA584" s="323"/>
      <c r="AB584" s="220"/>
      <c r="AC584" s="322"/>
      <c r="AD584" s="323"/>
      <c r="AE584" s="220"/>
      <c r="AF584" s="324"/>
      <c r="AG584" s="208"/>
      <c r="AH584" s="208"/>
      <c r="AI584" s="208"/>
      <c r="AJ584" s="208"/>
      <c r="AK584" s="208"/>
      <c r="AL584" s="208"/>
      <c r="AM584" s="208"/>
      <c r="AN584" s="208"/>
      <c r="AO584" s="208"/>
      <c r="AP584" s="208"/>
      <c r="AQ584" s="208"/>
      <c r="AR584" s="208"/>
      <c r="AS584" s="208"/>
      <c r="AT584" s="208"/>
      <c r="AU584" s="208"/>
      <c r="AV584" s="208"/>
      <c r="AW584" s="208"/>
      <c r="AX584" s="208"/>
      <c r="AY584" s="208"/>
      <c r="AZ584" s="208"/>
      <c r="BA584" s="208"/>
      <c r="BB584" s="208"/>
      <c r="BC584" s="208"/>
      <c r="BD584" s="208"/>
      <c r="BE584" s="208"/>
      <c r="BF584" s="208"/>
      <c r="BG584" s="208"/>
      <c r="BH584" s="208"/>
      <c r="BI584" s="323"/>
    </row>
    <row r="585" spans="3:61" ht="15" customHeight="1">
      <c r="C585" s="325"/>
      <c r="D585" s="326"/>
      <c r="E585" s="311"/>
      <c r="F585" s="311"/>
      <c r="G585" s="311"/>
      <c r="H585" s="311"/>
      <c r="I585" s="311"/>
      <c r="J585" s="317"/>
      <c r="K585" s="312"/>
      <c r="L585" s="312"/>
      <c r="M585" s="312"/>
      <c r="N585" s="312"/>
      <c r="O585" s="312"/>
      <c r="P585" s="318" t="str">
        <f t="shared" si="26"/>
        <v/>
      </c>
      <c r="Q585" s="205" t="str">
        <f t="shared" si="24"/>
        <v/>
      </c>
      <c r="R585" s="205"/>
      <c r="S585" s="319" t="str">
        <f t="shared" si="25"/>
        <v/>
      </c>
      <c r="U585" s="318"/>
      <c r="V585" s="794"/>
      <c r="W585" s="795"/>
      <c r="X585" s="482"/>
      <c r="Y585" s="482"/>
      <c r="Z585" s="482"/>
      <c r="AA585" s="319"/>
      <c r="AB585" s="220"/>
      <c r="AC585" s="318"/>
      <c r="AD585" s="319"/>
      <c r="AE585" s="220"/>
      <c r="AF585" s="320"/>
      <c r="AG585" s="205"/>
      <c r="AH585" s="205"/>
      <c r="AI585" s="205"/>
      <c r="AJ585" s="205"/>
      <c r="AK585" s="205"/>
      <c r="AL585" s="205"/>
      <c r="AM585" s="205"/>
      <c r="AN585" s="205"/>
      <c r="AO585" s="205"/>
      <c r="AP585" s="205"/>
      <c r="AQ585" s="205"/>
      <c r="AR585" s="205"/>
      <c r="AS585" s="205"/>
      <c r="AT585" s="205"/>
      <c r="AU585" s="205"/>
      <c r="AV585" s="205"/>
      <c r="AW585" s="205"/>
      <c r="AX585" s="205"/>
      <c r="AY585" s="205"/>
      <c r="AZ585" s="205"/>
      <c r="BA585" s="205"/>
      <c r="BB585" s="205"/>
      <c r="BC585" s="205"/>
      <c r="BD585" s="205"/>
      <c r="BE585" s="205"/>
      <c r="BF585" s="205"/>
      <c r="BG585" s="205"/>
      <c r="BH585" s="205"/>
      <c r="BI585" s="319"/>
    </row>
    <row r="586" spans="3:61" ht="15" customHeight="1">
      <c r="C586" s="325"/>
      <c r="D586" s="326"/>
      <c r="E586" s="311"/>
      <c r="F586" s="311"/>
      <c r="G586" s="311"/>
      <c r="H586" s="311"/>
      <c r="I586" s="311"/>
      <c r="J586" s="317"/>
      <c r="K586" s="312"/>
      <c r="L586" s="312"/>
      <c r="M586" s="312"/>
      <c r="N586" s="312"/>
      <c r="O586" s="312"/>
      <c r="P586" s="322" t="str">
        <f t="shared" si="26"/>
        <v/>
      </c>
      <c r="Q586" s="208" t="str">
        <f t="shared" si="24"/>
        <v/>
      </c>
      <c r="R586" s="208"/>
      <c r="S586" s="323" t="str">
        <f t="shared" si="25"/>
        <v/>
      </c>
      <c r="U586" s="322"/>
      <c r="V586" s="791"/>
      <c r="W586" s="792"/>
      <c r="X586" s="480"/>
      <c r="Y586" s="480"/>
      <c r="Z586" s="480"/>
      <c r="AA586" s="323"/>
      <c r="AB586" s="220"/>
      <c r="AC586" s="322"/>
      <c r="AD586" s="323"/>
      <c r="AE586" s="220"/>
      <c r="AF586" s="324"/>
      <c r="AG586" s="208"/>
      <c r="AH586" s="208"/>
      <c r="AI586" s="208"/>
      <c r="AJ586" s="208"/>
      <c r="AK586" s="208"/>
      <c r="AL586" s="208"/>
      <c r="AM586" s="208"/>
      <c r="AN586" s="208"/>
      <c r="AO586" s="208"/>
      <c r="AP586" s="208"/>
      <c r="AQ586" s="208"/>
      <c r="AR586" s="208"/>
      <c r="AS586" s="208"/>
      <c r="AT586" s="208"/>
      <c r="AU586" s="208"/>
      <c r="AV586" s="208"/>
      <c r="AW586" s="208"/>
      <c r="AX586" s="208"/>
      <c r="AY586" s="208"/>
      <c r="AZ586" s="208"/>
      <c r="BA586" s="208"/>
      <c r="BB586" s="208"/>
      <c r="BC586" s="208"/>
      <c r="BD586" s="208"/>
      <c r="BE586" s="208"/>
      <c r="BF586" s="208"/>
      <c r="BG586" s="208"/>
      <c r="BH586" s="208"/>
      <c r="BI586" s="323"/>
    </row>
    <row r="587" spans="3:61" ht="15" customHeight="1">
      <c r="C587" s="325"/>
      <c r="D587" s="326"/>
      <c r="E587" s="311"/>
      <c r="F587" s="311"/>
      <c r="G587" s="311"/>
      <c r="H587" s="311"/>
      <c r="I587" s="311"/>
      <c r="J587" s="317"/>
      <c r="K587" s="312"/>
      <c r="L587" s="312"/>
      <c r="M587" s="312"/>
      <c r="N587" s="312"/>
      <c r="O587" s="312"/>
      <c r="P587" s="318" t="str">
        <f t="shared" si="26"/>
        <v/>
      </c>
      <c r="Q587" s="205" t="str">
        <f t="shared" ref="Q587:Q650" si="27">IF($AA587 = "", "", $AA587/$AA$10*100)</f>
        <v/>
      </c>
      <c r="R587" s="205"/>
      <c r="S587" s="319" t="str">
        <f t="shared" ref="S587:S650" si="28">IF($AD587 = "", "", $AD587/$AD$10*100)</f>
        <v/>
      </c>
      <c r="U587" s="318"/>
      <c r="V587" s="794"/>
      <c r="W587" s="795"/>
      <c r="X587" s="482"/>
      <c r="Y587" s="482"/>
      <c r="Z587" s="482"/>
      <c r="AA587" s="319"/>
      <c r="AB587" s="220"/>
      <c r="AC587" s="318"/>
      <c r="AD587" s="319"/>
      <c r="AE587" s="220"/>
      <c r="AF587" s="320"/>
      <c r="AG587" s="205"/>
      <c r="AH587" s="205"/>
      <c r="AI587" s="205"/>
      <c r="AJ587" s="205"/>
      <c r="AK587" s="205"/>
      <c r="AL587" s="205"/>
      <c r="AM587" s="205"/>
      <c r="AN587" s="205"/>
      <c r="AO587" s="205"/>
      <c r="AP587" s="205"/>
      <c r="AQ587" s="205"/>
      <c r="AR587" s="205"/>
      <c r="AS587" s="205"/>
      <c r="AT587" s="205"/>
      <c r="AU587" s="205"/>
      <c r="AV587" s="205"/>
      <c r="AW587" s="205"/>
      <c r="AX587" s="205"/>
      <c r="AY587" s="205"/>
      <c r="AZ587" s="205"/>
      <c r="BA587" s="205"/>
      <c r="BB587" s="205"/>
      <c r="BC587" s="205"/>
      <c r="BD587" s="205"/>
      <c r="BE587" s="205"/>
      <c r="BF587" s="205"/>
      <c r="BG587" s="205"/>
      <c r="BH587" s="205"/>
      <c r="BI587" s="319"/>
    </row>
    <row r="588" spans="3:61" ht="15" customHeight="1">
      <c r="C588" s="325"/>
      <c r="D588" s="326"/>
      <c r="E588" s="311"/>
      <c r="F588" s="311"/>
      <c r="G588" s="311"/>
      <c r="H588" s="311"/>
      <c r="I588" s="311"/>
      <c r="J588" s="317"/>
      <c r="K588" s="312"/>
      <c r="L588" s="312"/>
      <c r="M588" s="312"/>
      <c r="N588" s="312"/>
      <c r="O588" s="312"/>
      <c r="P588" s="322" t="str">
        <f t="shared" ref="P588:P651" si="29">IF(U588="", "", U588)</f>
        <v/>
      </c>
      <c r="Q588" s="208" t="str">
        <f t="shared" si="27"/>
        <v/>
      </c>
      <c r="R588" s="208"/>
      <c r="S588" s="323" t="str">
        <f t="shared" si="28"/>
        <v/>
      </c>
      <c r="U588" s="322"/>
      <c r="V588" s="791"/>
      <c r="W588" s="792"/>
      <c r="X588" s="480"/>
      <c r="Y588" s="480"/>
      <c r="Z588" s="480"/>
      <c r="AA588" s="323"/>
      <c r="AB588" s="220"/>
      <c r="AC588" s="322"/>
      <c r="AD588" s="323"/>
      <c r="AE588" s="220"/>
      <c r="AF588" s="324"/>
      <c r="AG588" s="208"/>
      <c r="AH588" s="208"/>
      <c r="AI588" s="208"/>
      <c r="AJ588" s="208"/>
      <c r="AK588" s="208"/>
      <c r="AL588" s="208"/>
      <c r="AM588" s="208"/>
      <c r="AN588" s="208"/>
      <c r="AO588" s="208"/>
      <c r="AP588" s="208"/>
      <c r="AQ588" s="208"/>
      <c r="AR588" s="208"/>
      <c r="AS588" s="208"/>
      <c r="AT588" s="208"/>
      <c r="AU588" s="208"/>
      <c r="AV588" s="208"/>
      <c r="AW588" s="208"/>
      <c r="AX588" s="208"/>
      <c r="AY588" s="208"/>
      <c r="AZ588" s="208"/>
      <c r="BA588" s="208"/>
      <c r="BB588" s="208"/>
      <c r="BC588" s="208"/>
      <c r="BD588" s="208"/>
      <c r="BE588" s="208"/>
      <c r="BF588" s="208"/>
      <c r="BG588" s="208"/>
      <c r="BH588" s="208"/>
      <c r="BI588" s="323"/>
    </row>
    <row r="589" spans="3:61" ht="15" customHeight="1">
      <c r="C589" s="325"/>
      <c r="D589" s="326"/>
      <c r="E589" s="311"/>
      <c r="F589" s="311"/>
      <c r="G589" s="311"/>
      <c r="H589" s="311"/>
      <c r="I589" s="311"/>
      <c r="J589" s="317"/>
      <c r="K589" s="312"/>
      <c r="L589" s="312"/>
      <c r="M589" s="312"/>
      <c r="N589" s="312"/>
      <c r="O589" s="312"/>
      <c r="P589" s="318" t="str">
        <f t="shared" si="29"/>
        <v/>
      </c>
      <c r="Q589" s="205" t="str">
        <f t="shared" si="27"/>
        <v/>
      </c>
      <c r="R589" s="205"/>
      <c r="S589" s="319" t="str">
        <f t="shared" si="28"/>
        <v/>
      </c>
      <c r="U589" s="318"/>
      <c r="V589" s="794"/>
      <c r="W589" s="795"/>
      <c r="X589" s="482"/>
      <c r="Y589" s="482"/>
      <c r="Z589" s="482"/>
      <c r="AA589" s="319"/>
      <c r="AB589" s="220"/>
      <c r="AC589" s="318"/>
      <c r="AD589" s="319"/>
      <c r="AE589" s="220"/>
      <c r="AF589" s="320"/>
      <c r="AG589" s="205"/>
      <c r="AH589" s="205"/>
      <c r="AI589" s="205"/>
      <c r="AJ589" s="205"/>
      <c r="AK589" s="205"/>
      <c r="AL589" s="205"/>
      <c r="AM589" s="205"/>
      <c r="AN589" s="205"/>
      <c r="AO589" s="205"/>
      <c r="AP589" s="205"/>
      <c r="AQ589" s="205"/>
      <c r="AR589" s="205"/>
      <c r="AS589" s="205"/>
      <c r="AT589" s="205"/>
      <c r="AU589" s="205"/>
      <c r="AV589" s="205"/>
      <c r="AW589" s="205"/>
      <c r="AX589" s="205"/>
      <c r="AY589" s="205"/>
      <c r="AZ589" s="205"/>
      <c r="BA589" s="205"/>
      <c r="BB589" s="205"/>
      <c r="BC589" s="205"/>
      <c r="BD589" s="205"/>
      <c r="BE589" s="205"/>
      <c r="BF589" s="205"/>
      <c r="BG589" s="205"/>
      <c r="BH589" s="205"/>
      <c r="BI589" s="319"/>
    </row>
    <row r="590" spans="3:61" ht="15" customHeight="1">
      <c r="C590" s="325"/>
      <c r="D590" s="326"/>
      <c r="E590" s="311"/>
      <c r="F590" s="311"/>
      <c r="G590" s="311"/>
      <c r="H590" s="311"/>
      <c r="I590" s="311"/>
      <c r="J590" s="317"/>
      <c r="K590" s="312"/>
      <c r="L590" s="312"/>
      <c r="M590" s="312"/>
      <c r="N590" s="312"/>
      <c r="O590" s="312"/>
      <c r="P590" s="322" t="str">
        <f t="shared" si="29"/>
        <v/>
      </c>
      <c r="Q590" s="208" t="str">
        <f t="shared" si="27"/>
        <v/>
      </c>
      <c r="R590" s="208"/>
      <c r="S590" s="323" t="str">
        <f t="shared" si="28"/>
        <v/>
      </c>
      <c r="U590" s="322"/>
      <c r="V590" s="791"/>
      <c r="W590" s="792"/>
      <c r="X590" s="480"/>
      <c r="Y590" s="480"/>
      <c r="Z590" s="480"/>
      <c r="AA590" s="323"/>
      <c r="AB590" s="220"/>
      <c r="AC590" s="322"/>
      <c r="AD590" s="323"/>
      <c r="AE590" s="220"/>
      <c r="AF590" s="324"/>
      <c r="AG590" s="208"/>
      <c r="AH590" s="208"/>
      <c r="AI590" s="208"/>
      <c r="AJ590" s="208"/>
      <c r="AK590" s="208"/>
      <c r="AL590" s="208"/>
      <c r="AM590" s="208"/>
      <c r="AN590" s="208"/>
      <c r="AO590" s="208"/>
      <c r="AP590" s="208"/>
      <c r="AQ590" s="208"/>
      <c r="AR590" s="208"/>
      <c r="AS590" s="208"/>
      <c r="AT590" s="208"/>
      <c r="AU590" s="208"/>
      <c r="AV590" s="208"/>
      <c r="AW590" s="208"/>
      <c r="AX590" s="208"/>
      <c r="AY590" s="208"/>
      <c r="AZ590" s="208"/>
      <c r="BA590" s="208"/>
      <c r="BB590" s="208"/>
      <c r="BC590" s="208"/>
      <c r="BD590" s="208"/>
      <c r="BE590" s="208"/>
      <c r="BF590" s="208"/>
      <c r="BG590" s="208"/>
      <c r="BH590" s="208"/>
      <c r="BI590" s="323"/>
    </row>
    <row r="591" spans="3:61" ht="15" customHeight="1">
      <c r="C591" s="325"/>
      <c r="D591" s="326"/>
      <c r="E591" s="311"/>
      <c r="F591" s="311"/>
      <c r="G591" s="311"/>
      <c r="H591" s="311"/>
      <c r="I591" s="311"/>
      <c r="J591" s="317"/>
      <c r="K591" s="312"/>
      <c r="L591" s="312"/>
      <c r="M591" s="312"/>
      <c r="N591" s="312"/>
      <c r="O591" s="312"/>
      <c r="P591" s="318" t="str">
        <f t="shared" si="29"/>
        <v/>
      </c>
      <c r="Q591" s="205" t="str">
        <f t="shared" si="27"/>
        <v/>
      </c>
      <c r="R591" s="205"/>
      <c r="S591" s="319" t="str">
        <f t="shared" si="28"/>
        <v/>
      </c>
      <c r="U591" s="318"/>
      <c r="V591" s="794"/>
      <c r="W591" s="795"/>
      <c r="X591" s="482"/>
      <c r="Y591" s="482"/>
      <c r="Z591" s="482"/>
      <c r="AA591" s="319"/>
      <c r="AB591" s="220"/>
      <c r="AC591" s="318"/>
      <c r="AD591" s="319"/>
      <c r="AE591" s="220"/>
      <c r="AF591" s="320"/>
      <c r="AG591" s="205"/>
      <c r="AH591" s="205"/>
      <c r="AI591" s="205"/>
      <c r="AJ591" s="205"/>
      <c r="AK591" s="205"/>
      <c r="AL591" s="205"/>
      <c r="AM591" s="205"/>
      <c r="AN591" s="205"/>
      <c r="AO591" s="205"/>
      <c r="AP591" s="205"/>
      <c r="AQ591" s="205"/>
      <c r="AR591" s="205"/>
      <c r="AS591" s="205"/>
      <c r="AT591" s="205"/>
      <c r="AU591" s="205"/>
      <c r="AV591" s="205"/>
      <c r="AW591" s="205"/>
      <c r="AX591" s="205"/>
      <c r="AY591" s="205"/>
      <c r="AZ591" s="205"/>
      <c r="BA591" s="205"/>
      <c r="BB591" s="205"/>
      <c r="BC591" s="205"/>
      <c r="BD591" s="205"/>
      <c r="BE591" s="205"/>
      <c r="BF591" s="205"/>
      <c r="BG591" s="205"/>
      <c r="BH591" s="205"/>
      <c r="BI591" s="319"/>
    </row>
    <row r="592" spans="3:61" ht="15" customHeight="1">
      <c r="C592" s="325"/>
      <c r="D592" s="326"/>
      <c r="E592" s="311"/>
      <c r="F592" s="311"/>
      <c r="G592" s="311"/>
      <c r="H592" s="311"/>
      <c r="I592" s="311"/>
      <c r="J592" s="317"/>
      <c r="K592" s="312"/>
      <c r="L592" s="312"/>
      <c r="M592" s="312"/>
      <c r="N592" s="312"/>
      <c r="O592" s="312"/>
      <c r="P592" s="322" t="str">
        <f t="shared" si="29"/>
        <v/>
      </c>
      <c r="Q592" s="208" t="str">
        <f t="shared" si="27"/>
        <v/>
      </c>
      <c r="R592" s="208"/>
      <c r="S592" s="323" t="str">
        <f t="shared" si="28"/>
        <v/>
      </c>
      <c r="U592" s="322"/>
      <c r="V592" s="791"/>
      <c r="W592" s="792"/>
      <c r="X592" s="480"/>
      <c r="Y592" s="480"/>
      <c r="Z592" s="480"/>
      <c r="AA592" s="323"/>
      <c r="AB592" s="220"/>
      <c r="AC592" s="322"/>
      <c r="AD592" s="323"/>
      <c r="AE592" s="220"/>
      <c r="AF592" s="324"/>
      <c r="AG592" s="208"/>
      <c r="AH592" s="208"/>
      <c r="AI592" s="208"/>
      <c r="AJ592" s="208"/>
      <c r="AK592" s="208"/>
      <c r="AL592" s="208"/>
      <c r="AM592" s="208"/>
      <c r="AN592" s="208"/>
      <c r="AO592" s="208"/>
      <c r="AP592" s="208"/>
      <c r="AQ592" s="208"/>
      <c r="AR592" s="208"/>
      <c r="AS592" s="208"/>
      <c r="AT592" s="208"/>
      <c r="AU592" s="208"/>
      <c r="AV592" s="208"/>
      <c r="AW592" s="208"/>
      <c r="AX592" s="208"/>
      <c r="AY592" s="208"/>
      <c r="AZ592" s="208"/>
      <c r="BA592" s="208"/>
      <c r="BB592" s="208"/>
      <c r="BC592" s="208"/>
      <c r="BD592" s="208"/>
      <c r="BE592" s="208"/>
      <c r="BF592" s="208"/>
      <c r="BG592" s="208"/>
      <c r="BH592" s="208"/>
      <c r="BI592" s="323"/>
    </row>
    <row r="593" spans="3:61" ht="15" customHeight="1">
      <c r="C593" s="325"/>
      <c r="D593" s="326"/>
      <c r="E593" s="311"/>
      <c r="F593" s="311"/>
      <c r="G593" s="311"/>
      <c r="H593" s="311"/>
      <c r="I593" s="311"/>
      <c r="J593" s="317"/>
      <c r="K593" s="312"/>
      <c r="L593" s="312"/>
      <c r="M593" s="312"/>
      <c r="N593" s="312"/>
      <c r="O593" s="312"/>
      <c r="P593" s="318" t="str">
        <f t="shared" si="29"/>
        <v/>
      </c>
      <c r="Q593" s="205" t="str">
        <f t="shared" si="27"/>
        <v/>
      </c>
      <c r="R593" s="205"/>
      <c r="S593" s="319" t="str">
        <f t="shared" si="28"/>
        <v/>
      </c>
      <c r="U593" s="318"/>
      <c r="V593" s="794"/>
      <c r="W593" s="795"/>
      <c r="X593" s="482"/>
      <c r="Y593" s="482"/>
      <c r="Z593" s="482"/>
      <c r="AA593" s="319"/>
      <c r="AB593" s="220"/>
      <c r="AC593" s="318"/>
      <c r="AD593" s="319"/>
      <c r="AE593" s="220"/>
      <c r="AF593" s="320"/>
      <c r="AG593" s="205"/>
      <c r="AH593" s="205"/>
      <c r="AI593" s="205"/>
      <c r="AJ593" s="205"/>
      <c r="AK593" s="205"/>
      <c r="AL593" s="205"/>
      <c r="AM593" s="205"/>
      <c r="AN593" s="205"/>
      <c r="AO593" s="205"/>
      <c r="AP593" s="205"/>
      <c r="AQ593" s="205"/>
      <c r="AR593" s="205"/>
      <c r="AS593" s="205"/>
      <c r="AT593" s="205"/>
      <c r="AU593" s="205"/>
      <c r="AV593" s="205"/>
      <c r="AW593" s="205"/>
      <c r="AX593" s="205"/>
      <c r="AY593" s="205"/>
      <c r="AZ593" s="205"/>
      <c r="BA593" s="205"/>
      <c r="BB593" s="205"/>
      <c r="BC593" s="205"/>
      <c r="BD593" s="205"/>
      <c r="BE593" s="205"/>
      <c r="BF593" s="205"/>
      <c r="BG593" s="205"/>
      <c r="BH593" s="205"/>
      <c r="BI593" s="319"/>
    </row>
    <row r="594" spans="3:61" ht="15" customHeight="1">
      <c r="C594" s="325"/>
      <c r="D594" s="326"/>
      <c r="E594" s="311"/>
      <c r="F594" s="311"/>
      <c r="G594" s="311"/>
      <c r="H594" s="311"/>
      <c r="I594" s="311"/>
      <c r="J594" s="317"/>
      <c r="K594" s="312"/>
      <c r="L594" s="312"/>
      <c r="M594" s="312"/>
      <c r="N594" s="312"/>
      <c r="O594" s="312"/>
      <c r="P594" s="322" t="str">
        <f t="shared" si="29"/>
        <v/>
      </c>
      <c r="Q594" s="208" t="str">
        <f t="shared" si="27"/>
        <v/>
      </c>
      <c r="R594" s="208"/>
      <c r="S594" s="323" t="str">
        <f t="shared" si="28"/>
        <v/>
      </c>
      <c r="U594" s="322"/>
      <c r="V594" s="791"/>
      <c r="W594" s="792"/>
      <c r="X594" s="480"/>
      <c r="Y594" s="480"/>
      <c r="Z594" s="480"/>
      <c r="AA594" s="323"/>
      <c r="AB594" s="220"/>
      <c r="AC594" s="322"/>
      <c r="AD594" s="323"/>
      <c r="AE594" s="220"/>
      <c r="AF594" s="324"/>
      <c r="AG594" s="208"/>
      <c r="AH594" s="208"/>
      <c r="AI594" s="208"/>
      <c r="AJ594" s="208"/>
      <c r="AK594" s="208"/>
      <c r="AL594" s="208"/>
      <c r="AM594" s="208"/>
      <c r="AN594" s="208"/>
      <c r="AO594" s="208"/>
      <c r="AP594" s="208"/>
      <c r="AQ594" s="208"/>
      <c r="AR594" s="208"/>
      <c r="AS594" s="208"/>
      <c r="AT594" s="208"/>
      <c r="AU594" s="208"/>
      <c r="AV594" s="208"/>
      <c r="AW594" s="208"/>
      <c r="AX594" s="208"/>
      <c r="AY594" s="208"/>
      <c r="AZ594" s="208"/>
      <c r="BA594" s="208"/>
      <c r="BB594" s="208"/>
      <c r="BC594" s="208"/>
      <c r="BD594" s="208"/>
      <c r="BE594" s="208"/>
      <c r="BF594" s="208"/>
      <c r="BG594" s="208"/>
      <c r="BH594" s="208"/>
      <c r="BI594" s="323"/>
    </row>
    <row r="595" spans="3:61" ht="15" customHeight="1">
      <c r="C595" s="325"/>
      <c r="D595" s="326"/>
      <c r="E595" s="311"/>
      <c r="F595" s="311"/>
      <c r="G595" s="311"/>
      <c r="H595" s="311"/>
      <c r="I595" s="311"/>
      <c r="J595" s="317"/>
      <c r="K595" s="312"/>
      <c r="L595" s="312"/>
      <c r="M595" s="312"/>
      <c r="N595" s="312"/>
      <c r="O595" s="312"/>
      <c r="P595" s="318" t="str">
        <f t="shared" si="29"/>
        <v/>
      </c>
      <c r="Q595" s="205" t="str">
        <f t="shared" si="27"/>
        <v/>
      </c>
      <c r="R595" s="205"/>
      <c r="S595" s="319" t="str">
        <f t="shared" si="28"/>
        <v/>
      </c>
      <c r="U595" s="318"/>
      <c r="V595" s="794"/>
      <c r="W595" s="795"/>
      <c r="X595" s="482"/>
      <c r="Y595" s="482"/>
      <c r="Z595" s="482"/>
      <c r="AA595" s="319"/>
      <c r="AB595" s="220"/>
      <c r="AC595" s="318"/>
      <c r="AD595" s="319"/>
      <c r="AE595" s="220"/>
      <c r="AF595" s="320"/>
      <c r="AG595" s="205"/>
      <c r="AH595" s="205"/>
      <c r="AI595" s="205"/>
      <c r="AJ595" s="205"/>
      <c r="AK595" s="205"/>
      <c r="AL595" s="205"/>
      <c r="AM595" s="205"/>
      <c r="AN595" s="205"/>
      <c r="AO595" s="205"/>
      <c r="AP595" s="205"/>
      <c r="AQ595" s="205"/>
      <c r="AR595" s="205"/>
      <c r="AS595" s="205"/>
      <c r="AT595" s="205"/>
      <c r="AU595" s="205"/>
      <c r="AV595" s="205"/>
      <c r="AW595" s="205"/>
      <c r="AX595" s="205"/>
      <c r="AY595" s="205"/>
      <c r="AZ595" s="205"/>
      <c r="BA595" s="205"/>
      <c r="BB595" s="205"/>
      <c r="BC595" s="205"/>
      <c r="BD595" s="205"/>
      <c r="BE595" s="205"/>
      <c r="BF595" s="205"/>
      <c r="BG595" s="205"/>
      <c r="BH595" s="205"/>
      <c r="BI595" s="319"/>
    </row>
    <row r="596" spans="3:61" ht="15" customHeight="1">
      <c r="C596" s="325"/>
      <c r="D596" s="326"/>
      <c r="E596" s="311"/>
      <c r="F596" s="311"/>
      <c r="G596" s="311"/>
      <c r="H596" s="311"/>
      <c r="I596" s="311"/>
      <c r="J596" s="317"/>
      <c r="K596" s="312"/>
      <c r="L596" s="312"/>
      <c r="M596" s="312"/>
      <c r="N596" s="312"/>
      <c r="O596" s="312"/>
      <c r="P596" s="322" t="str">
        <f t="shared" si="29"/>
        <v/>
      </c>
      <c r="Q596" s="208" t="str">
        <f t="shared" si="27"/>
        <v/>
      </c>
      <c r="R596" s="208"/>
      <c r="S596" s="323" t="str">
        <f t="shared" si="28"/>
        <v/>
      </c>
      <c r="U596" s="322"/>
      <c r="V596" s="791"/>
      <c r="W596" s="792"/>
      <c r="X596" s="480"/>
      <c r="Y596" s="480"/>
      <c r="Z596" s="480"/>
      <c r="AA596" s="323"/>
      <c r="AB596" s="220"/>
      <c r="AC596" s="322"/>
      <c r="AD596" s="323"/>
      <c r="AE596" s="220"/>
      <c r="AF596" s="324"/>
      <c r="AG596" s="208"/>
      <c r="AH596" s="208"/>
      <c r="AI596" s="208"/>
      <c r="AJ596" s="208"/>
      <c r="AK596" s="208"/>
      <c r="AL596" s="208"/>
      <c r="AM596" s="208"/>
      <c r="AN596" s="208"/>
      <c r="AO596" s="208"/>
      <c r="AP596" s="208"/>
      <c r="AQ596" s="208"/>
      <c r="AR596" s="208"/>
      <c r="AS596" s="208"/>
      <c r="AT596" s="208"/>
      <c r="AU596" s="208"/>
      <c r="AV596" s="208"/>
      <c r="AW596" s="208"/>
      <c r="AX596" s="208"/>
      <c r="AY596" s="208"/>
      <c r="AZ596" s="208"/>
      <c r="BA596" s="208"/>
      <c r="BB596" s="208"/>
      <c r="BC596" s="208"/>
      <c r="BD596" s="208"/>
      <c r="BE596" s="208"/>
      <c r="BF596" s="208"/>
      <c r="BG596" s="208"/>
      <c r="BH596" s="208"/>
      <c r="BI596" s="323"/>
    </row>
    <row r="597" spans="3:61" ht="15" customHeight="1">
      <c r="C597" s="325"/>
      <c r="D597" s="326"/>
      <c r="E597" s="311"/>
      <c r="F597" s="311"/>
      <c r="G597" s="311"/>
      <c r="H597" s="311"/>
      <c r="I597" s="311"/>
      <c r="J597" s="317"/>
      <c r="K597" s="312"/>
      <c r="L597" s="312"/>
      <c r="M597" s="312"/>
      <c r="N597" s="312"/>
      <c r="O597" s="312"/>
      <c r="P597" s="318" t="str">
        <f t="shared" si="29"/>
        <v/>
      </c>
      <c r="Q597" s="205" t="str">
        <f t="shared" si="27"/>
        <v/>
      </c>
      <c r="R597" s="205"/>
      <c r="S597" s="319" t="str">
        <f t="shared" si="28"/>
        <v/>
      </c>
      <c r="U597" s="318"/>
      <c r="V597" s="794"/>
      <c r="W597" s="795"/>
      <c r="X597" s="482"/>
      <c r="Y597" s="482"/>
      <c r="Z597" s="482"/>
      <c r="AA597" s="319"/>
      <c r="AB597" s="220"/>
      <c r="AC597" s="318"/>
      <c r="AD597" s="319"/>
      <c r="AE597" s="220"/>
      <c r="AF597" s="320"/>
      <c r="AG597" s="205"/>
      <c r="AH597" s="205"/>
      <c r="AI597" s="205"/>
      <c r="AJ597" s="205"/>
      <c r="AK597" s="205"/>
      <c r="AL597" s="205"/>
      <c r="AM597" s="205"/>
      <c r="AN597" s="205"/>
      <c r="AO597" s="205"/>
      <c r="AP597" s="205"/>
      <c r="AQ597" s="205"/>
      <c r="AR597" s="205"/>
      <c r="AS597" s="205"/>
      <c r="AT597" s="205"/>
      <c r="AU597" s="205"/>
      <c r="AV597" s="205"/>
      <c r="AW597" s="205"/>
      <c r="AX597" s="205"/>
      <c r="AY597" s="205"/>
      <c r="AZ597" s="205"/>
      <c r="BA597" s="205"/>
      <c r="BB597" s="205"/>
      <c r="BC597" s="205"/>
      <c r="BD597" s="205"/>
      <c r="BE597" s="205"/>
      <c r="BF597" s="205"/>
      <c r="BG597" s="205"/>
      <c r="BH597" s="205"/>
      <c r="BI597" s="319"/>
    </row>
    <row r="598" spans="3:61" ht="15" customHeight="1">
      <c r="C598" s="325"/>
      <c r="D598" s="326"/>
      <c r="E598" s="311"/>
      <c r="F598" s="311"/>
      <c r="G598" s="311"/>
      <c r="H598" s="311"/>
      <c r="I598" s="311"/>
      <c r="J598" s="317"/>
      <c r="K598" s="312"/>
      <c r="L598" s="312"/>
      <c r="M598" s="312"/>
      <c r="N598" s="312"/>
      <c r="O598" s="312"/>
      <c r="P598" s="322" t="str">
        <f t="shared" si="29"/>
        <v/>
      </c>
      <c r="Q598" s="208" t="str">
        <f t="shared" si="27"/>
        <v/>
      </c>
      <c r="R598" s="208"/>
      <c r="S598" s="323" t="str">
        <f t="shared" si="28"/>
        <v/>
      </c>
      <c r="U598" s="322"/>
      <c r="V598" s="791"/>
      <c r="W598" s="792"/>
      <c r="X598" s="480"/>
      <c r="Y598" s="480"/>
      <c r="Z598" s="480"/>
      <c r="AA598" s="323"/>
      <c r="AB598" s="220"/>
      <c r="AC598" s="322"/>
      <c r="AD598" s="323"/>
      <c r="AE598" s="220"/>
      <c r="AF598" s="324"/>
      <c r="AG598" s="208"/>
      <c r="AH598" s="208"/>
      <c r="AI598" s="208"/>
      <c r="AJ598" s="208"/>
      <c r="AK598" s="208"/>
      <c r="AL598" s="208"/>
      <c r="AM598" s="208"/>
      <c r="AN598" s="208"/>
      <c r="AO598" s="208"/>
      <c r="AP598" s="208"/>
      <c r="AQ598" s="208"/>
      <c r="AR598" s="208"/>
      <c r="AS598" s="208"/>
      <c r="AT598" s="208"/>
      <c r="AU598" s="208"/>
      <c r="AV598" s="208"/>
      <c r="AW598" s="208"/>
      <c r="AX598" s="208"/>
      <c r="AY598" s="208"/>
      <c r="AZ598" s="208"/>
      <c r="BA598" s="208"/>
      <c r="BB598" s="208"/>
      <c r="BC598" s="208"/>
      <c r="BD598" s="208"/>
      <c r="BE598" s="208"/>
      <c r="BF598" s="208"/>
      <c r="BG598" s="208"/>
      <c r="BH598" s="208"/>
      <c r="BI598" s="323"/>
    </row>
    <row r="599" spans="3:61" ht="15" customHeight="1">
      <c r="C599" s="325"/>
      <c r="D599" s="326"/>
      <c r="E599" s="311"/>
      <c r="F599" s="311"/>
      <c r="G599" s="311"/>
      <c r="H599" s="311"/>
      <c r="I599" s="311"/>
      <c r="J599" s="317"/>
      <c r="K599" s="312"/>
      <c r="L599" s="312"/>
      <c r="M599" s="312"/>
      <c r="N599" s="312"/>
      <c r="O599" s="312"/>
      <c r="P599" s="318" t="str">
        <f t="shared" si="29"/>
        <v/>
      </c>
      <c r="Q599" s="205" t="str">
        <f t="shared" si="27"/>
        <v/>
      </c>
      <c r="R599" s="205"/>
      <c r="S599" s="319" t="str">
        <f t="shared" si="28"/>
        <v/>
      </c>
      <c r="U599" s="318"/>
      <c r="V599" s="794"/>
      <c r="W599" s="795"/>
      <c r="X599" s="482"/>
      <c r="Y599" s="482"/>
      <c r="Z599" s="482"/>
      <c r="AA599" s="319"/>
      <c r="AB599" s="220"/>
      <c r="AC599" s="318"/>
      <c r="AD599" s="319"/>
      <c r="AE599" s="220"/>
      <c r="AF599" s="320"/>
      <c r="AG599" s="205"/>
      <c r="AH599" s="205"/>
      <c r="AI599" s="205"/>
      <c r="AJ599" s="205"/>
      <c r="AK599" s="205"/>
      <c r="AL599" s="205"/>
      <c r="AM599" s="205"/>
      <c r="AN599" s="205"/>
      <c r="AO599" s="205"/>
      <c r="AP599" s="205"/>
      <c r="AQ599" s="205"/>
      <c r="AR599" s="205"/>
      <c r="AS599" s="205"/>
      <c r="AT599" s="205"/>
      <c r="AU599" s="205"/>
      <c r="AV599" s="205"/>
      <c r="AW599" s="205"/>
      <c r="AX599" s="205"/>
      <c r="AY599" s="205"/>
      <c r="AZ599" s="205"/>
      <c r="BA599" s="205"/>
      <c r="BB599" s="205"/>
      <c r="BC599" s="205"/>
      <c r="BD599" s="205"/>
      <c r="BE599" s="205"/>
      <c r="BF599" s="205"/>
      <c r="BG599" s="205"/>
      <c r="BH599" s="205"/>
      <c r="BI599" s="319"/>
    </row>
    <row r="600" spans="3:61" ht="15" customHeight="1">
      <c r="C600" s="325"/>
      <c r="D600" s="326"/>
      <c r="E600" s="311"/>
      <c r="F600" s="311"/>
      <c r="G600" s="311"/>
      <c r="H600" s="311"/>
      <c r="I600" s="311"/>
      <c r="J600" s="317"/>
      <c r="K600" s="312"/>
      <c r="L600" s="312"/>
      <c r="M600" s="312"/>
      <c r="N600" s="312"/>
      <c r="O600" s="312"/>
      <c r="P600" s="322" t="str">
        <f t="shared" si="29"/>
        <v/>
      </c>
      <c r="Q600" s="208" t="str">
        <f t="shared" si="27"/>
        <v/>
      </c>
      <c r="R600" s="208"/>
      <c r="S600" s="323" t="str">
        <f t="shared" si="28"/>
        <v/>
      </c>
      <c r="U600" s="322"/>
      <c r="V600" s="791"/>
      <c r="W600" s="792"/>
      <c r="X600" s="480"/>
      <c r="Y600" s="480"/>
      <c r="Z600" s="480"/>
      <c r="AA600" s="323"/>
      <c r="AB600" s="220"/>
      <c r="AC600" s="322"/>
      <c r="AD600" s="323"/>
      <c r="AE600" s="220"/>
      <c r="AF600" s="324"/>
      <c r="AG600" s="208"/>
      <c r="AH600" s="208"/>
      <c r="AI600" s="208"/>
      <c r="AJ600" s="208"/>
      <c r="AK600" s="208"/>
      <c r="AL600" s="208"/>
      <c r="AM600" s="208"/>
      <c r="AN600" s="208"/>
      <c r="AO600" s="208"/>
      <c r="AP600" s="208"/>
      <c r="AQ600" s="208"/>
      <c r="AR600" s="208"/>
      <c r="AS600" s="208"/>
      <c r="AT600" s="208"/>
      <c r="AU600" s="208"/>
      <c r="AV600" s="208"/>
      <c r="AW600" s="208"/>
      <c r="AX600" s="208"/>
      <c r="AY600" s="208"/>
      <c r="AZ600" s="208"/>
      <c r="BA600" s="208"/>
      <c r="BB600" s="208"/>
      <c r="BC600" s="208"/>
      <c r="BD600" s="208"/>
      <c r="BE600" s="208"/>
      <c r="BF600" s="208"/>
      <c r="BG600" s="208"/>
      <c r="BH600" s="208"/>
      <c r="BI600" s="323"/>
    </row>
    <row r="601" spans="3:61" ht="15" customHeight="1">
      <c r="C601" s="325"/>
      <c r="D601" s="326"/>
      <c r="E601" s="311"/>
      <c r="F601" s="311"/>
      <c r="G601" s="311"/>
      <c r="H601" s="311"/>
      <c r="I601" s="311"/>
      <c r="J601" s="317"/>
      <c r="K601" s="312"/>
      <c r="L601" s="312"/>
      <c r="M601" s="312"/>
      <c r="N601" s="312"/>
      <c r="O601" s="312"/>
      <c r="P601" s="318" t="str">
        <f t="shared" si="29"/>
        <v/>
      </c>
      <c r="Q601" s="205" t="str">
        <f t="shared" si="27"/>
        <v/>
      </c>
      <c r="R601" s="205"/>
      <c r="S601" s="319" t="str">
        <f t="shared" si="28"/>
        <v/>
      </c>
      <c r="U601" s="318"/>
      <c r="V601" s="794"/>
      <c r="W601" s="795"/>
      <c r="X601" s="482"/>
      <c r="Y601" s="482"/>
      <c r="Z601" s="482"/>
      <c r="AA601" s="319"/>
      <c r="AB601" s="220"/>
      <c r="AC601" s="318"/>
      <c r="AD601" s="319"/>
      <c r="AE601" s="220"/>
      <c r="AF601" s="320"/>
      <c r="AG601" s="205"/>
      <c r="AH601" s="205"/>
      <c r="AI601" s="205"/>
      <c r="AJ601" s="205"/>
      <c r="AK601" s="205"/>
      <c r="AL601" s="205"/>
      <c r="AM601" s="205"/>
      <c r="AN601" s="205"/>
      <c r="AO601" s="205"/>
      <c r="AP601" s="205"/>
      <c r="AQ601" s="205"/>
      <c r="AR601" s="205"/>
      <c r="AS601" s="205"/>
      <c r="AT601" s="205"/>
      <c r="AU601" s="205"/>
      <c r="AV601" s="205"/>
      <c r="AW601" s="205"/>
      <c r="AX601" s="205"/>
      <c r="AY601" s="205"/>
      <c r="AZ601" s="205"/>
      <c r="BA601" s="205"/>
      <c r="BB601" s="205"/>
      <c r="BC601" s="205"/>
      <c r="BD601" s="205"/>
      <c r="BE601" s="205"/>
      <c r="BF601" s="205"/>
      <c r="BG601" s="205"/>
      <c r="BH601" s="205"/>
      <c r="BI601" s="319"/>
    </row>
    <row r="602" spans="3:61" ht="15" customHeight="1">
      <c r="C602" s="325"/>
      <c r="D602" s="326"/>
      <c r="E602" s="311"/>
      <c r="F602" s="311"/>
      <c r="G602" s="311"/>
      <c r="H602" s="311"/>
      <c r="I602" s="311"/>
      <c r="J602" s="317"/>
      <c r="K602" s="312"/>
      <c r="L602" s="312"/>
      <c r="M602" s="312"/>
      <c r="N602" s="312"/>
      <c r="O602" s="312"/>
      <c r="P602" s="322" t="str">
        <f t="shared" si="29"/>
        <v/>
      </c>
      <c r="Q602" s="208" t="str">
        <f t="shared" si="27"/>
        <v/>
      </c>
      <c r="R602" s="208"/>
      <c r="S602" s="323" t="str">
        <f t="shared" si="28"/>
        <v/>
      </c>
      <c r="U602" s="322"/>
      <c r="V602" s="791"/>
      <c r="W602" s="792"/>
      <c r="X602" s="480"/>
      <c r="Y602" s="480"/>
      <c r="Z602" s="480"/>
      <c r="AA602" s="323"/>
      <c r="AB602" s="220"/>
      <c r="AC602" s="322"/>
      <c r="AD602" s="323"/>
      <c r="AE602" s="220"/>
      <c r="AF602" s="324"/>
      <c r="AG602" s="208"/>
      <c r="AH602" s="208"/>
      <c r="AI602" s="208"/>
      <c r="AJ602" s="208"/>
      <c r="AK602" s="208"/>
      <c r="AL602" s="208"/>
      <c r="AM602" s="208"/>
      <c r="AN602" s="208"/>
      <c r="AO602" s="208"/>
      <c r="AP602" s="208"/>
      <c r="AQ602" s="208"/>
      <c r="AR602" s="208"/>
      <c r="AS602" s="208"/>
      <c r="AT602" s="208"/>
      <c r="AU602" s="208"/>
      <c r="AV602" s="208"/>
      <c r="AW602" s="208"/>
      <c r="AX602" s="208"/>
      <c r="AY602" s="208"/>
      <c r="AZ602" s="208"/>
      <c r="BA602" s="208"/>
      <c r="BB602" s="208"/>
      <c r="BC602" s="208"/>
      <c r="BD602" s="208"/>
      <c r="BE602" s="208"/>
      <c r="BF602" s="208"/>
      <c r="BG602" s="208"/>
      <c r="BH602" s="208"/>
      <c r="BI602" s="323"/>
    </row>
    <row r="603" spans="3:61" ht="15" customHeight="1">
      <c r="C603" s="325"/>
      <c r="D603" s="326"/>
      <c r="E603" s="311"/>
      <c r="F603" s="311"/>
      <c r="G603" s="311"/>
      <c r="H603" s="311"/>
      <c r="I603" s="311"/>
      <c r="J603" s="317"/>
      <c r="K603" s="312"/>
      <c r="L603" s="312"/>
      <c r="M603" s="312"/>
      <c r="N603" s="312"/>
      <c r="O603" s="312"/>
      <c r="P603" s="318" t="str">
        <f t="shared" si="29"/>
        <v/>
      </c>
      <c r="Q603" s="205" t="str">
        <f t="shared" si="27"/>
        <v/>
      </c>
      <c r="R603" s="205"/>
      <c r="S603" s="319" t="str">
        <f t="shared" si="28"/>
        <v/>
      </c>
      <c r="U603" s="318"/>
      <c r="V603" s="794"/>
      <c r="W603" s="795"/>
      <c r="X603" s="482"/>
      <c r="Y603" s="482"/>
      <c r="Z603" s="482"/>
      <c r="AA603" s="319"/>
      <c r="AB603" s="220"/>
      <c r="AC603" s="318"/>
      <c r="AD603" s="319"/>
      <c r="AE603" s="220"/>
      <c r="AF603" s="320"/>
      <c r="AG603" s="205"/>
      <c r="AH603" s="205"/>
      <c r="AI603" s="205"/>
      <c r="AJ603" s="205"/>
      <c r="AK603" s="205"/>
      <c r="AL603" s="205"/>
      <c r="AM603" s="205"/>
      <c r="AN603" s="205"/>
      <c r="AO603" s="205"/>
      <c r="AP603" s="205"/>
      <c r="AQ603" s="205"/>
      <c r="AR603" s="205"/>
      <c r="AS603" s="205"/>
      <c r="AT603" s="205"/>
      <c r="AU603" s="205"/>
      <c r="AV603" s="205"/>
      <c r="AW603" s="205"/>
      <c r="AX603" s="205"/>
      <c r="AY603" s="205"/>
      <c r="AZ603" s="205"/>
      <c r="BA603" s="205"/>
      <c r="BB603" s="205"/>
      <c r="BC603" s="205"/>
      <c r="BD603" s="205"/>
      <c r="BE603" s="205"/>
      <c r="BF603" s="205"/>
      <c r="BG603" s="205"/>
      <c r="BH603" s="205"/>
      <c r="BI603" s="319"/>
    </row>
    <row r="604" spans="3:61" ht="15" customHeight="1">
      <c r="C604" s="325"/>
      <c r="D604" s="326"/>
      <c r="E604" s="311"/>
      <c r="F604" s="311"/>
      <c r="G604" s="311"/>
      <c r="H604" s="311"/>
      <c r="I604" s="311"/>
      <c r="J604" s="317"/>
      <c r="K604" s="312"/>
      <c r="L604" s="312"/>
      <c r="M604" s="312"/>
      <c r="N604" s="312"/>
      <c r="O604" s="312"/>
      <c r="P604" s="322" t="str">
        <f t="shared" si="29"/>
        <v/>
      </c>
      <c r="Q604" s="208" t="str">
        <f t="shared" si="27"/>
        <v/>
      </c>
      <c r="R604" s="208"/>
      <c r="S604" s="323" t="str">
        <f t="shared" si="28"/>
        <v/>
      </c>
      <c r="U604" s="322"/>
      <c r="V604" s="791"/>
      <c r="W604" s="792"/>
      <c r="X604" s="480"/>
      <c r="Y604" s="480"/>
      <c r="Z604" s="480"/>
      <c r="AA604" s="323"/>
      <c r="AB604" s="220"/>
      <c r="AC604" s="322"/>
      <c r="AD604" s="323"/>
      <c r="AE604" s="220"/>
      <c r="AF604" s="324"/>
      <c r="AG604" s="208"/>
      <c r="AH604" s="208"/>
      <c r="AI604" s="208"/>
      <c r="AJ604" s="208"/>
      <c r="AK604" s="208"/>
      <c r="AL604" s="208"/>
      <c r="AM604" s="208"/>
      <c r="AN604" s="208"/>
      <c r="AO604" s="208"/>
      <c r="AP604" s="208"/>
      <c r="AQ604" s="208"/>
      <c r="AR604" s="208"/>
      <c r="AS604" s="208"/>
      <c r="AT604" s="208"/>
      <c r="AU604" s="208"/>
      <c r="AV604" s="208"/>
      <c r="AW604" s="208"/>
      <c r="AX604" s="208"/>
      <c r="AY604" s="208"/>
      <c r="AZ604" s="208"/>
      <c r="BA604" s="208"/>
      <c r="BB604" s="208"/>
      <c r="BC604" s="208"/>
      <c r="BD604" s="208"/>
      <c r="BE604" s="208"/>
      <c r="BF604" s="208"/>
      <c r="BG604" s="208"/>
      <c r="BH604" s="208"/>
      <c r="BI604" s="323"/>
    </row>
    <row r="605" spans="3:61" ht="15" customHeight="1">
      <c r="C605" s="325"/>
      <c r="D605" s="326"/>
      <c r="E605" s="311"/>
      <c r="F605" s="311"/>
      <c r="G605" s="311"/>
      <c r="H605" s="311"/>
      <c r="I605" s="311"/>
      <c r="J605" s="317"/>
      <c r="K605" s="312"/>
      <c r="L605" s="312"/>
      <c r="M605" s="312"/>
      <c r="N605" s="312"/>
      <c r="O605" s="312"/>
      <c r="P605" s="318" t="str">
        <f t="shared" si="29"/>
        <v/>
      </c>
      <c r="Q605" s="205" t="str">
        <f t="shared" si="27"/>
        <v/>
      </c>
      <c r="R605" s="205"/>
      <c r="S605" s="319" t="str">
        <f t="shared" si="28"/>
        <v/>
      </c>
      <c r="U605" s="318"/>
      <c r="V605" s="794"/>
      <c r="W605" s="795"/>
      <c r="X605" s="482"/>
      <c r="Y605" s="482"/>
      <c r="Z605" s="482"/>
      <c r="AA605" s="319"/>
      <c r="AB605" s="220"/>
      <c r="AC605" s="318"/>
      <c r="AD605" s="319"/>
      <c r="AE605" s="220"/>
      <c r="AF605" s="320"/>
      <c r="AG605" s="205"/>
      <c r="AH605" s="205"/>
      <c r="AI605" s="205"/>
      <c r="AJ605" s="205"/>
      <c r="AK605" s="205"/>
      <c r="AL605" s="205"/>
      <c r="AM605" s="205"/>
      <c r="AN605" s="205"/>
      <c r="AO605" s="205"/>
      <c r="AP605" s="205"/>
      <c r="AQ605" s="205"/>
      <c r="AR605" s="205"/>
      <c r="AS605" s="205"/>
      <c r="AT605" s="205"/>
      <c r="AU605" s="205"/>
      <c r="AV605" s="205"/>
      <c r="AW605" s="205"/>
      <c r="AX605" s="205"/>
      <c r="AY605" s="205"/>
      <c r="AZ605" s="205"/>
      <c r="BA605" s="205"/>
      <c r="BB605" s="205"/>
      <c r="BC605" s="205"/>
      <c r="BD605" s="205"/>
      <c r="BE605" s="205"/>
      <c r="BF605" s="205"/>
      <c r="BG605" s="205"/>
      <c r="BH605" s="205"/>
      <c r="BI605" s="319"/>
    </row>
    <row r="606" spans="3:61" ht="15" customHeight="1">
      <c r="C606" s="325"/>
      <c r="D606" s="326"/>
      <c r="E606" s="311"/>
      <c r="F606" s="311"/>
      <c r="G606" s="311"/>
      <c r="H606" s="311"/>
      <c r="I606" s="311"/>
      <c r="J606" s="317"/>
      <c r="K606" s="312"/>
      <c r="L606" s="312"/>
      <c r="M606" s="312"/>
      <c r="N606" s="312"/>
      <c r="O606" s="312"/>
      <c r="P606" s="322" t="str">
        <f t="shared" si="29"/>
        <v/>
      </c>
      <c r="Q606" s="208" t="str">
        <f t="shared" si="27"/>
        <v/>
      </c>
      <c r="R606" s="208"/>
      <c r="S606" s="323" t="str">
        <f t="shared" si="28"/>
        <v/>
      </c>
      <c r="U606" s="322"/>
      <c r="V606" s="791"/>
      <c r="W606" s="792"/>
      <c r="X606" s="480"/>
      <c r="Y606" s="480"/>
      <c r="Z606" s="480"/>
      <c r="AA606" s="323"/>
      <c r="AB606" s="220"/>
      <c r="AC606" s="322"/>
      <c r="AD606" s="323"/>
      <c r="AE606" s="220"/>
      <c r="AF606" s="324"/>
      <c r="AG606" s="208"/>
      <c r="AH606" s="208"/>
      <c r="AI606" s="208"/>
      <c r="AJ606" s="208"/>
      <c r="AK606" s="208"/>
      <c r="AL606" s="208"/>
      <c r="AM606" s="208"/>
      <c r="AN606" s="208"/>
      <c r="AO606" s="208"/>
      <c r="AP606" s="208"/>
      <c r="AQ606" s="208"/>
      <c r="AR606" s="208"/>
      <c r="AS606" s="208"/>
      <c r="AT606" s="208"/>
      <c r="AU606" s="208"/>
      <c r="AV606" s="208"/>
      <c r="AW606" s="208"/>
      <c r="AX606" s="208"/>
      <c r="AY606" s="208"/>
      <c r="AZ606" s="208"/>
      <c r="BA606" s="208"/>
      <c r="BB606" s="208"/>
      <c r="BC606" s="208"/>
      <c r="BD606" s="208"/>
      <c r="BE606" s="208"/>
      <c r="BF606" s="208"/>
      <c r="BG606" s="208"/>
      <c r="BH606" s="208"/>
      <c r="BI606" s="323"/>
    </row>
    <row r="607" spans="3:61" ht="15" customHeight="1">
      <c r="C607" s="325"/>
      <c r="D607" s="326"/>
      <c r="E607" s="311"/>
      <c r="F607" s="311"/>
      <c r="G607" s="311"/>
      <c r="H607" s="311"/>
      <c r="I607" s="311"/>
      <c r="J607" s="317"/>
      <c r="K607" s="312"/>
      <c r="L607" s="312"/>
      <c r="M607" s="312"/>
      <c r="N607" s="312"/>
      <c r="O607" s="312"/>
      <c r="P607" s="318" t="str">
        <f t="shared" si="29"/>
        <v/>
      </c>
      <c r="Q607" s="205" t="str">
        <f t="shared" si="27"/>
        <v/>
      </c>
      <c r="R607" s="205"/>
      <c r="S607" s="319" t="str">
        <f t="shared" si="28"/>
        <v/>
      </c>
      <c r="U607" s="318"/>
      <c r="V607" s="794"/>
      <c r="W607" s="795"/>
      <c r="X607" s="482"/>
      <c r="Y607" s="482"/>
      <c r="Z607" s="482"/>
      <c r="AA607" s="319"/>
      <c r="AB607" s="220"/>
      <c r="AC607" s="318"/>
      <c r="AD607" s="319"/>
      <c r="AE607" s="220"/>
      <c r="AF607" s="320"/>
      <c r="AG607" s="205"/>
      <c r="AH607" s="205"/>
      <c r="AI607" s="205"/>
      <c r="AJ607" s="205"/>
      <c r="AK607" s="205"/>
      <c r="AL607" s="205"/>
      <c r="AM607" s="205"/>
      <c r="AN607" s="205"/>
      <c r="AO607" s="205"/>
      <c r="AP607" s="205"/>
      <c r="AQ607" s="205"/>
      <c r="AR607" s="205"/>
      <c r="AS607" s="205"/>
      <c r="AT607" s="205"/>
      <c r="AU607" s="205"/>
      <c r="AV607" s="205"/>
      <c r="AW607" s="205"/>
      <c r="AX607" s="205"/>
      <c r="AY607" s="205"/>
      <c r="AZ607" s="205"/>
      <c r="BA607" s="205"/>
      <c r="BB607" s="205"/>
      <c r="BC607" s="205"/>
      <c r="BD607" s="205"/>
      <c r="BE607" s="205"/>
      <c r="BF607" s="205"/>
      <c r="BG607" s="205"/>
      <c r="BH607" s="205"/>
      <c r="BI607" s="319"/>
    </row>
    <row r="608" spans="3:61" ht="15" customHeight="1">
      <c r="C608" s="325"/>
      <c r="D608" s="326"/>
      <c r="E608" s="311"/>
      <c r="F608" s="311"/>
      <c r="G608" s="311"/>
      <c r="H608" s="311"/>
      <c r="I608" s="311"/>
      <c r="J608" s="317"/>
      <c r="K608" s="312"/>
      <c r="L608" s="312"/>
      <c r="M608" s="312"/>
      <c r="N608" s="312"/>
      <c r="O608" s="312"/>
      <c r="P608" s="322" t="str">
        <f t="shared" si="29"/>
        <v/>
      </c>
      <c r="Q608" s="208" t="str">
        <f t="shared" si="27"/>
        <v/>
      </c>
      <c r="R608" s="208"/>
      <c r="S608" s="323" t="str">
        <f t="shared" si="28"/>
        <v/>
      </c>
      <c r="U608" s="322"/>
      <c r="V608" s="791"/>
      <c r="W608" s="792"/>
      <c r="X608" s="480"/>
      <c r="Y608" s="480"/>
      <c r="Z608" s="480"/>
      <c r="AA608" s="323"/>
      <c r="AB608" s="220"/>
      <c r="AC608" s="322"/>
      <c r="AD608" s="323"/>
      <c r="AE608" s="220"/>
      <c r="AF608" s="324"/>
      <c r="AG608" s="208"/>
      <c r="AH608" s="208"/>
      <c r="AI608" s="208"/>
      <c r="AJ608" s="208"/>
      <c r="AK608" s="208"/>
      <c r="AL608" s="208"/>
      <c r="AM608" s="208"/>
      <c r="AN608" s="208"/>
      <c r="AO608" s="208"/>
      <c r="AP608" s="208"/>
      <c r="AQ608" s="208"/>
      <c r="AR608" s="208"/>
      <c r="AS608" s="208"/>
      <c r="AT608" s="208"/>
      <c r="AU608" s="208"/>
      <c r="AV608" s="208"/>
      <c r="AW608" s="208"/>
      <c r="AX608" s="208"/>
      <c r="AY608" s="208"/>
      <c r="AZ608" s="208"/>
      <c r="BA608" s="208"/>
      <c r="BB608" s="208"/>
      <c r="BC608" s="208"/>
      <c r="BD608" s="208"/>
      <c r="BE608" s="208"/>
      <c r="BF608" s="208"/>
      <c r="BG608" s="208"/>
      <c r="BH608" s="208"/>
      <c r="BI608" s="323"/>
    </row>
    <row r="609" spans="3:61" ht="15" customHeight="1">
      <c r="C609" s="325"/>
      <c r="D609" s="326"/>
      <c r="E609" s="311"/>
      <c r="F609" s="311"/>
      <c r="G609" s="311"/>
      <c r="H609" s="311"/>
      <c r="I609" s="311"/>
      <c r="J609" s="317"/>
      <c r="K609" s="312"/>
      <c r="L609" s="312"/>
      <c r="M609" s="312"/>
      <c r="N609" s="312"/>
      <c r="O609" s="312"/>
      <c r="P609" s="318" t="str">
        <f t="shared" si="29"/>
        <v/>
      </c>
      <c r="Q609" s="205" t="str">
        <f t="shared" si="27"/>
        <v/>
      </c>
      <c r="R609" s="205"/>
      <c r="S609" s="319" t="str">
        <f t="shared" si="28"/>
        <v/>
      </c>
      <c r="U609" s="318"/>
      <c r="V609" s="794"/>
      <c r="W609" s="795"/>
      <c r="X609" s="482"/>
      <c r="Y609" s="482"/>
      <c r="Z609" s="482"/>
      <c r="AA609" s="319"/>
      <c r="AB609" s="220"/>
      <c r="AC609" s="318"/>
      <c r="AD609" s="319"/>
      <c r="AE609" s="220"/>
      <c r="AF609" s="320"/>
      <c r="AG609" s="205"/>
      <c r="AH609" s="205"/>
      <c r="AI609" s="205"/>
      <c r="AJ609" s="205"/>
      <c r="AK609" s="205"/>
      <c r="AL609" s="205"/>
      <c r="AM609" s="205"/>
      <c r="AN609" s="205"/>
      <c r="AO609" s="205"/>
      <c r="AP609" s="205"/>
      <c r="AQ609" s="205"/>
      <c r="AR609" s="205"/>
      <c r="AS609" s="205"/>
      <c r="AT609" s="205"/>
      <c r="AU609" s="205"/>
      <c r="AV609" s="205"/>
      <c r="AW609" s="205"/>
      <c r="AX609" s="205"/>
      <c r="AY609" s="205"/>
      <c r="AZ609" s="205"/>
      <c r="BA609" s="205"/>
      <c r="BB609" s="205"/>
      <c r="BC609" s="205"/>
      <c r="BD609" s="205"/>
      <c r="BE609" s="205"/>
      <c r="BF609" s="205"/>
      <c r="BG609" s="205"/>
      <c r="BH609" s="205"/>
      <c r="BI609" s="319"/>
    </row>
    <row r="610" spans="3:61" ht="15" customHeight="1">
      <c r="C610" s="325"/>
      <c r="D610" s="326"/>
      <c r="E610" s="311"/>
      <c r="F610" s="311"/>
      <c r="G610" s="311"/>
      <c r="H610" s="311"/>
      <c r="I610" s="311"/>
      <c r="J610" s="317"/>
      <c r="K610" s="312"/>
      <c r="L610" s="312"/>
      <c r="M610" s="312"/>
      <c r="N610" s="312"/>
      <c r="O610" s="312"/>
      <c r="P610" s="322" t="str">
        <f t="shared" si="29"/>
        <v/>
      </c>
      <c r="Q610" s="208" t="str">
        <f t="shared" si="27"/>
        <v/>
      </c>
      <c r="R610" s="208"/>
      <c r="S610" s="323" t="str">
        <f t="shared" si="28"/>
        <v/>
      </c>
      <c r="U610" s="322"/>
      <c r="V610" s="791"/>
      <c r="W610" s="792"/>
      <c r="X610" s="480"/>
      <c r="Y610" s="480"/>
      <c r="Z610" s="480"/>
      <c r="AA610" s="323"/>
      <c r="AB610" s="220"/>
      <c r="AC610" s="322"/>
      <c r="AD610" s="323"/>
      <c r="AE610" s="220"/>
      <c r="AF610" s="324"/>
      <c r="AG610" s="208"/>
      <c r="AH610" s="208"/>
      <c r="AI610" s="208"/>
      <c r="AJ610" s="208"/>
      <c r="AK610" s="208"/>
      <c r="AL610" s="208"/>
      <c r="AM610" s="208"/>
      <c r="AN610" s="208"/>
      <c r="AO610" s="208"/>
      <c r="AP610" s="208"/>
      <c r="AQ610" s="208"/>
      <c r="AR610" s="208"/>
      <c r="AS610" s="208"/>
      <c r="AT610" s="208"/>
      <c r="AU610" s="208"/>
      <c r="AV610" s="208"/>
      <c r="AW610" s="208"/>
      <c r="AX610" s="208"/>
      <c r="AY610" s="208"/>
      <c r="AZ610" s="208"/>
      <c r="BA610" s="208"/>
      <c r="BB610" s="208"/>
      <c r="BC610" s="208"/>
      <c r="BD610" s="208"/>
      <c r="BE610" s="208"/>
      <c r="BF610" s="208"/>
      <c r="BG610" s="208"/>
      <c r="BH610" s="208"/>
      <c r="BI610" s="323"/>
    </row>
    <row r="611" spans="3:61" ht="15" customHeight="1">
      <c r="C611" s="325"/>
      <c r="D611" s="326"/>
      <c r="E611" s="311"/>
      <c r="F611" s="311"/>
      <c r="G611" s="311"/>
      <c r="H611" s="311"/>
      <c r="I611" s="311"/>
      <c r="J611" s="317"/>
      <c r="K611" s="312"/>
      <c r="L611" s="312"/>
      <c r="M611" s="312"/>
      <c r="N611" s="312"/>
      <c r="O611" s="312"/>
      <c r="P611" s="318" t="str">
        <f t="shared" si="29"/>
        <v/>
      </c>
      <c r="Q611" s="205" t="str">
        <f t="shared" si="27"/>
        <v/>
      </c>
      <c r="R611" s="205"/>
      <c r="S611" s="319" t="str">
        <f t="shared" si="28"/>
        <v/>
      </c>
      <c r="U611" s="318"/>
      <c r="V611" s="794"/>
      <c r="W611" s="795"/>
      <c r="X611" s="482"/>
      <c r="Y611" s="482"/>
      <c r="Z611" s="482"/>
      <c r="AA611" s="319"/>
      <c r="AB611" s="220"/>
      <c r="AC611" s="318"/>
      <c r="AD611" s="319"/>
      <c r="AE611" s="220"/>
      <c r="AF611" s="320"/>
      <c r="AG611" s="205"/>
      <c r="AH611" s="205"/>
      <c r="AI611" s="205"/>
      <c r="AJ611" s="205"/>
      <c r="AK611" s="205"/>
      <c r="AL611" s="205"/>
      <c r="AM611" s="205"/>
      <c r="AN611" s="205"/>
      <c r="AO611" s="205"/>
      <c r="AP611" s="205"/>
      <c r="AQ611" s="205"/>
      <c r="AR611" s="205"/>
      <c r="AS611" s="205"/>
      <c r="AT611" s="205"/>
      <c r="AU611" s="205"/>
      <c r="AV611" s="205"/>
      <c r="AW611" s="205"/>
      <c r="AX611" s="205"/>
      <c r="AY611" s="205"/>
      <c r="AZ611" s="205"/>
      <c r="BA611" s="205"/>
      <c r="BB611" s="205"/>
      <c r="BC611" s="205"/>
      <c r="BD611" s="205"/>
      <c r="BE611" s="205"/>
      <c r="BF611" s="205"/>
      <c r="BG611" s="205"/>
      <c r="BH611" s="205"/>
      <c r="BI611" s="319"/>
    </row>
    <row r="612" spans="3:61" ht="15" customHeight="1">
      <c r="C612" s="325"/>
      <c r="D612" s="326"/>
      <c r="E612" s="311"/>
      <c r="F612" s="311"/>
      <c r="G612" s="311"/>
      <c r="H612" s="311"/>
      <c r="I612" s="311"/>
      <c r="J612" s="317"/>
      <c r="K612" s="312"/>
      <c r="L612" s="312"/>
      <c r="M612" s="312"/>
      <c r="N612" s="312"/>
      <c r="O612" s="312"/>
      <c r="P612" s="322" t="str">
        <f t="shared" si="29"/>
        <v/>
      </c>
      <c r="Q612" s="208" t="str">
        <f t="shared" si="27"/>
        <v/>
      </c>
      <c r="R612" s="208"/>
      <c r="S612" s="323" t="str">
        <f t="shared" si="28"/>
        <v/>
      </c>
      <c r="U612" s="322"/>
      <c r="V612" s="791"/>
      <c r="W612" s="792"/>
      <c r="X612" s="480"/>
      <c r="Y612" s="480"/>
      <c r="Z612" s="480"/>
      <c r="AA612" s="323"/>
      <c r="AB612" s="220"/>
      <c r="AC612" s="322"/>
      <c r="AD612" s="323"/>
      <c r="AE612" s="220"/>
      <c r="AF612" s="324"/>
      <c r="AG612" s="208"/>
      <c r="AH612" s="208"/>
      <c r="AI612" s="208"/>
      <c r="AJ612" s="208"/>
      <c r="AK612" s="208"/>
      <c r="AL612" s="208"/>
      <c r="AM612" s="208"/>
      <c r="AN612" s="208"/>
      <c r="AO612" s="208"/>
      <c r="AP612" s="208"/>
      <c r="AQ612" s="208"/>
      <c r="AR612" s="208"/>
      <c r="AS612" s="208"/>
      <c r="AT612" s="208"/>
      <c r="AU612" s="208"/>
      <c r="AV612" s="208"/>
      <c r="AW612" s="208"/>
      <c r="AX612" s="208"/>
      <c r="AY612" s="208"/>
      <c r="AZ612" s="208"/>
      <c r="BA612" s="208"/>
      <c r="BB612" s="208"/>
      <c r="BC612" s="208"/>
      <c r="BD612" s="208"/>
      <c r="BE612" s="208"/>
      <c r="BF612" s="208"/>
      <c r="BG612" s="208"/>
      <c r="BH612" s="208"/>
      <c r="BI612" s="323"/>
    </row>
    <row r="613" spans="3:61" ht="15" customHeight="1">
      <c r="C613" s="325"/>
      <c r="D613" s="326"/>
      <c r="E613" s="311"/>
      <c r="F613" s="311"/>
      <c r="G613" s="311"/>
      <c r="H613" s="311"/>
      <c r="I613" s="311"/>
      <c r="J613" s="317"/>
      <c r="K613" s="312"/>
      <c r="L613" s="312"/>
      <c r="M613" s="312"/>
      <c r="N613" s="312"/>
      <c r="O613" s="312"/>
      <c r="P613" s="318" t="str">
        <f t="shared" si="29"/>
        <v/>
      </c>
      <c r="Q613" s="205" t="str">
        <f t="shared" si="27"/>
        <v/>
      </c>
      <c r="R613" s="205"/>
      <c r="S613" s="319" t="str">
        <f t="shared" si="28"/>
        <v/>
      </c>
      <c r="U613" s="318"/>
      <c r="V613" s="794"/>
      <c r="W613" s="795"/>
      <c r="X613" s="482"/>
      <c r="Y613" s="482"/>
      <c r="Z613" s="482"/>
      <c r="AA613" s="319"/>
      <c r="AB613" s="220"/>
      <c r="AC613" s="318"/>
      <c r="AD613" s="319"/>
      <c r="AE613" s="220"/>
      <c r="AF613" s="320"/>
      <c r="AG613" s="205"/>
      <c r="AH613" s="205"/>
      <c r="AI613" s="205"/>
      <c r="AJ613" s="205"/>
      <c r="AK613" s="205"/>
      <c r="AL613" s="205"/>
      <c r="AM613" s="205"/>
      <c r="AN613" s="205"/>
      <c r="AO613" s="205"/>
      <c r="AP613" s="205"/>
      <c r="AQ613" s="205"/>
      <c r="AR613" s="205"/>
      <c r="AS613" s="205"/>
      <c r="AT613" s="205"/>
      <c r="AU613" s="205"/>
      <c r="AV613" s="205"/>
      <c r="AW613" s="205"/>
      <c r="AX613" s="205"/>
      <c r="AY613" s="205"/>
      <c r="AZ613" s="205"/>
      <c r="BA613" s="205"/>
      <c r="BB613" s="205"/>
      <c r="BC613" s="205"/>
      <c r="BD613" s="205"/>
      <c r="BE613" s="205"/>
      <c r="BF613" s="205"/>
      <c r="BG613" s="205"/>
      <c r="BH613" s="205"/>
      <c r="BI613" s="319"/>
    </row>
    <row r="614" spans="3:61" ht="15" customHeight="1">
      <c r="C614" s="325"/>
      <c r="D614" s="326"/>
      <c r="E614" s="311"/>
      <c r="F614" s="311"/>
      <c r="G614" s="311"/>
      <c r="H614" s="311"/>
      <c r="I614" s="311"/>
      <c r="J614" s="317"/>
      <c r="K614" s="312"/>
      <c r="L614" s="312"/>
      <c r="M614" s="312"/>
      <c r="N614" s="312"/>
      <c r="O614" s="312"/>
      <c r="P614" s="322" t="str">
        <f t="shared" si="29"/>
        <v/>
      </c>
      <c r="Q614" s="208" t="str">
        <f t="shared" si="27"/>
        <v/>
      </c>
      <c r="R614" s="208"/>
      <c r="S614" s="323" t="str">
        <f t="shared" si="28"/>
        <v/>
      </c>
      <c r="U614" s="322"/>
      <c r="V614" s="791"/>
      <c r="W614" s="792"/>
      <c r="X614" s="480"/>
      <c r="Y614" s="480"/>
      <c r="Z614" s="480"/>
      <c r="AA614" s="323"/>
      <c r="AB614" s="220"/>
      <c r="AC614" s="322"/>
      <c r="AD614" s="323"/>
      <c r="AE614" s="220"/>
      <c r="AF614" s="324"/>
      <c r="AG614" s="208"/>
      <c r="AH614" s="208"/>
      <c r="AI614" s="208"/>
      <c r="AJ614" s="208"/>
      <c r="AK614" s="208"/>
      <c r="AL614" s="208"/>
      <c r="AM614" s="208"/>
      <c r="AN614" s="208"/>
      <c r="AO614" s="208"/>
      <c r="AP614" s="208"/>
      <c r="AQ614" s="208"/>
      <c r="AR614" s="208"/>
      <c r="AS614" s="208"/>
      <c r="AT614" s="208"/>
      <c r="AU614" s="208"/>
      <c r="AV614" s="208"/>
      <c r="AW614" s="208"/>
      <c r="AX614" s="208"/>
      <c r="AY614" s="208"/>
      <c r="AZ614" s="208"/>
      <c r="BA614" s="208"/>
      <c r="BB614" s="208"/>
      <c r="BC614" s="208"/>
      <c r="BD614" s="208"/>
      <c r="BE614" s="208"/>
      <c r="BF614" s="208"/>
      <c r="BG614" s="208"/>
      <c r="BH614" s="208"/>
      <c r="BI614" s="323"/>
    </row>
    <row r="615" spans="3:61" ht="15" customHeight="1">
      <c r="C615" s="325"/>
      <c r="D615" s="326"/>
      <c r="E615" s="311"/>
      <c r="F615" s="311"/>
      <c r="G615" s="311"/>
      <c r="H615" s="311"/>
      <c r="I615" s="311"/>
      <c r="J615" s="317"/>
      <c r="K615" s="312"/>
      <c r="L615" s="312"/>
      <c r="M615" s="312"/>
      <c r="N615" s="312"/>
      <c r="O615" s="312"/>
      <c r="P615" s="318" t="str">
        <f t="shared" si="29"/>
        <v/>
      </c>
      <c r="Q615" s="205" t="str">
        <f t="shared" si="27"/>
        <v/>
      </c>
      <c r="R615" s="205"/>
      <c r="S615" s="319" t="str">
        <f t="shared" si="28"/>
        <v/>
      </c>
      <c r="U615" s="318"/>
      <c r="V615" s="794"/>
      <c r="W615" s="795"/>
      <c r="X615" s="482"/>
      <c r="Y615" s="482"/>
      <c r="Z615" s="482"/>
      <c r="AA615" s="319"/>
      <c r="AB615" s="220"/>
      <c r="AC615" s="318"/>
      <c r="AD615" s="319"/>
      <c r="AE615" s="220"/>
      <c r="AF615" s="320"/>
      <c r="AG615" s="205"/>
      <c r="AH615" s="205"/>
      <c r="AI615" s="205"/>
      <c r="AJ615" s="205"/>
      <c r="AK615" s="205"/>
      <c r="AL615" s="205"/>
      <c r="AM615" s="205"/>
      <c r="AN615" s="205"/>
      <c r="AO615" s="205"/>
      <c r="AP615" s="205"/>
      <c r="AQ615" s="205"/>
      <c r="AR615" s="205"/>
      <c r="AS615" s="205"/>
      <c r="AT615" s="205"/>
      <c r="AU615" s="205"/>
      <c r="AV615" s="205"/>
      <c r="AW615" s="205"/>
      <c r="AX615" s="205"/>
      <c r="AY615" s="205"/>
      <c r="AZ615" s="205"/>
      <c r="BA615" s="205"/>
      <c r="BB615" s="205"/>
      <c r="BC615" s="205"/>
      <c r="BD615" s="205"/>
      <c r="BE615" s="205"/>
      <c r="BF615" s="205"/>
      <c r="BG615" s="205"/>
      <c r="BH615" s="205"/>
      <c r="BI615" s="319"/>
    </row>
    <row r="616" spans="3:61" ht="15" customHeight="1">
      <c r="C616" s="325"/>
      <c r="D616" s="326"/>
      <c r="E616" s="311"/>
      <c r="F616" s="311"/>
      <c r="G616" s="311"/>
      <c r="H616" s="311"/>
      <c r="I616" s="311"/>
      <c r="J616" s="317"/>
      <c r="K616" s="312"/>
      <c r="L616" s="312"/>
      <c r="M616" s="312"/>
      <c r="N616" s="312"/>
      <c r="O616" s="312"/>
      <c r="P616" s="322" t="str">
        <f t="shared" si="29"/>
        <v/>
      </c>
      <c r="Q616" s="208" t="str">
        <f t="shared" si="27"/>
        <v/>
      </c>
      <c r="R616" s="208"/>
      <c r="S616" s="323" t="str">
        <f t="shared" si="28"/>
        <v/>
      </c>
      <c r="U616" s="322"/>
      <c r="V616" s="791"/>
      <c r="W616" s="792"/>
      <c r="X616" s="480"/>
      <c r="Y616" s="480"/>
      <c r="Z616" s="480"/>
      <c r="AA616" s="323"/>
      <c r="AB616" s="220"/>
      <c r="AC616" s="322"/>
      <c r="AD616" s="323"/>
      <c r="AE616" s="220"/>
      <c r="AF616" s="324"/>
      <c r="AG616" s="208"/>
      <c r="AH616" s="208"/>
      <c r="AI616" s="208"/>
      <c r="AJ616" s="208"/>
      <c r="AK616" s="208"/>
      <c r="AL616" s="208"/>
      <c r="AM616" s="208"/>
      <c r="AN616" s="208"/>
      <c r="AO616" s="208"/>
      <c r="AP616" s="208"/>
      <c r="AQ616" s="208"/>
      <c r="AR616" s="208"/>
      <c r="AS616" s="208"/>
      <c r="AT616" s="208"/>
      <c r="AU616" s="208"/>
      <c r="AV616" s="208"/>
      <c r="AW616" s="208"/>
      <c r="AX616" s="208"/>
      <c r="AY616" s="208"/>
      <c r="AZ616" s="208"/>
      <c r="BA616" s="208"/>
      <c r="BB616" s="208"/>
      <c r="BC616" s="208"/>
      <c r="BD616" s="208"/>
      <c r="BE616" s="208"/>
      <c r="BF616" s="208"/>
      <c r="BG616" s="208"/>
      <c r="BH616" s="208"/>
      <c r="BI616" s="323"/>
    </row>
    <row r="617" spans="3:61" ht="15" customHeight="1">
      <c r="C617" s="325"/>
      <c r="D617" s="326"/>
      <c r="E617" s="311"/>
      <c r="F617" s="311"/>
      <c r="G617" s="311"/>
      <c r="H617" s="311"/>
      <c r="I617" s="311"/>
      <c r="J617" s="317"/>
      <c r="K617" s="312"/>
      <c r="L617" s="312"/>
      <c r="M617" s="312"/>
      <c r="N617" s="312"/>
      <c r="O617" s="312"/>
      <c r="P617" s="318" t="str">
        <f t="shared" si="29"/>
        <v/>
      </c>
      <c r="Q617" s="205" t="str">
        <f t="shared" si="27"/>
        <v/>
      </c>
      <c r="R617" s="205"/>
      <c r="S617" s="319" t="str">
        <f t="shared" si="28"/>
        <v/>
      </c>
      <c r="U617" s="318"/>
      <c r="V617" s="794"/>
      <c r="W617" s="795"/>
      <c r="X617" s="482"/>
      <c r="Y617" s="482"/>
      <c r="Z617" s="482"/>
      <c r="AA617" s="319"/>
      <c r="AB617" s="220"/>
      <c r="AC617" s="318"/>
      <c r="AD617" s="319"/>
      <c r="AE617" s="220"/>
      <c r="AF617" s="320"/>
      <c r="AG617" s="205"/>
      <c r="AH617" s="205"/>
      <c r="AI617" s="205"/>
      <c r="AJ617" s="205"/>
      <c r="AK617" s="205"/>
      <c r="AL617" s="205"/>
      <c r="AM617" s="205"/>
      <c r="AN617" s="205"/>
      <c r="AO617" s="205"/>
      <c r="AP617" s="205"/>
      <c r="AQ617" s="205"/>
      <c r="AR617" s="205"/>
      <c r="AS617" s="205"/>
      <c r="AT617" s="205"/>
      <c r="AU617" s="205"/>
      <c r="AV617" s="205"/>
      <c r="AW617" s="205"/>
      <c r="AX617" s="205"/>
      <c r="AY617" s="205"/>
      <c r="AZ617" s="205"/>
      <c r="BA617" s="205"/>
      <c r="BB617" s="205"/>
      <c r="BC617" s="205"/>
      <c r="BD617" s="205"/>
      <c r="BE617" s="205"/>
      <c r="BF617" s="205"/>
      <c r="BG617" s="205"/>
      <c r="BH617" s="205"/>
      <c r="BI617" s="319"/>
    </row>
    <row r="618" spans="3:61" ht="15" customHeight="1">
      <c r="C618" s="325"/>
      <c r="D618" s="326"/>
      <c r="E618" s="311"/>
      <c r="F618" s="311"/>
      <c r="G618" s="311"/>
      <c r="H618" s="311"/>
      <c r="I618" s="311"/>
      <c r="J618" s="317"/>
      <c r="K618" s="312"/>
      <c r="L618" s="312"/>
      <c r="M618" s="312"/>
      <c r="N618" s="312"/>
      <c r="O618" s="312"/>
      <c r="P618" s="322" t="str">
        <f t="shared" si="29"/>
        <v/>
      </c>
      <c r="Q618" s="208" t="str">
        <f t="shared" si="27"/>
        <v/>
      </c>
      <c r="R618" s="208"/>
      <c r="S618" s="323" t="str">
        <f t="shared" si="28"/>
        <v/>
      </c>
      <c r="U618" s="322"/>
      <c r="V618" s="791"/>
      <c r="W618" s="792"/>
      <c r="X618" s="480"/>
      <c r="Y618" s="480"/>
      <c r="Z618" s="480"/>
      <c r="AA618" s="323"/>
      <c r="AB618" s="220"/>
      <c r="AC618" s="322"/>
      <c r="AD618" s="323"/>
      <c r="AE618" s="220"/>
      <c r="AF618" s="324"/>
      <c r="AG618" s="208"/>
      <c r="AH618" s="208"/>
      <c r="AI618" s="208"/>
      <c r="AJ618" s="208"/>
      <c r="AK618" s="208"/>
      <c r="AL618" s="208"/>
      <c r="AM618" s="208"/>
      <c r="AN618" s="208"/>
      <c r="AO618" s="208"/>
      <c r="AP618" s="208"/>
      <c r="AQ618" s="208"/>
      <c r="AR618" s="208"/>
      <c r="AS618" s="208"/>
      <c r="AT618" s="208"/>
      <c r="AU618" s="208"/>
      <c r="AV618" s="208"/>
      <c r="AW618" s="208"/>
      <c r="AX618" s="208"/>
      <c r="AY618" s="208"/>
      <c r="AZ618" s="208"/>
      <c r="BA618" s="208"/>
      <c r="BB618" s="208"/>
      <c r="BC618" s="208"/>
      <c r="BD618" s="208"/>
      <c r="BE618" s="208"/>
      <c r="BF618" s="208"/>
      <c r="BG618" s="208"/>
      <c r="BH618" s="208"/>
      <c r="BI618" s="323"/>
    </row>
    <row r="619" spans="3:61" ht="15" customHeight="1">
      <c r="C619" s="325"/>
      <c r="D619" s="326"/>
      <c r="E619" s="311"/>
      <c r="F619" s="311"/>
      <c r="G619" s="311"/>
      <c r="H619" s="311"/>
      <c r="I619" s="311"/>
      <c r="J619" s="317"/>
      <c r="K619" s="312"/>
      <c r="L619" s="312"/>
      <c r="M619" s="312"/>
      <c r="N619" s="312"/>
      <c r="O619" s="312"/>
      <c r="P619" s="318" t="str">
        <f t="shared" si="29"/>
        <v/>
      </c>
      <c r="Q619" s="205" t="str">
        <f t="shared" si="27"/>
        <v/>
      </c>
      <c r="R619" s="205"/>
      <c r="S619" s="319" t="str">
        <f t="shared" si="28"/>
        <v/>
      </c>
      <c r="U619" s="318"/>
      <c r="V619" s="794"/>
      <c r="W619" s="795"/>
      <c r="X619" s="482"/>
      <c r="Y619" s="482"/>
      <c r="Z619" s="482"/>
      <c r="AA619" s="319"/>
      <c r="AB619" s="220"/>
      <c r="AC619" s="318"/>
      <c r="AD619" s="319"/>
      <c r="AE619" s="220"/>
      <c r="AF619" s="320"/>
      <c r="AG619" s="205"/>
      <c r="AH619" s="205"/>
      <c r="AI619" s="205"/>
      <c r="AJ619" s="205"/>
      <c r="AK619" s="205"/>
      <c r="AL619" s="205"/>
      <c r="AM619" s="205"/>
      <c r="AN619" s="205"/>
      <c r="AO619" s="205"/>
      <c r="AP619" s="205"/>
      <c r="AQ619" s="205"/>
      <c r="AR619" s="205"/>
      <c r="AS619" s="205"/>
      <c r="AT619" s="205"/>
      <c r="AU619" s="205"/>
      <c r="AV619" s="205"/>
      <c r="AW619" s="205"/>
      <c r="AX619" s="205"/>
      <c r="AY619" s="205"/>
      <c r="AZ619" s="205"/>
      <c r="BA619" s="205"/>
      <c r="BB619" s="205"/>
      <c r="BC619" s="205"/>
      <c r="BD619" s="205"/>
      <c r="BE619" s="205"/>
      <c r="BF619" s="205"/>
      <c r="BG619" s="205"/>
      <c r="BH619" s="205"/>
      <c r="BI619" s="319"/>
    </row>
    <row r="620" spans="3:61" ht="15" customHeight="1">
      <c r="C620" s="325"/>
      <c r="D620" s="326"/>
      <c r="E620" s="311"/>
      <c r="F620" s="311"/>
      <c r="G620" s="311"/>
      <c r="H620" s="311"/>
      <c r="I620" s="311"/>
      <c r="J620" s="317"/>
      <c r="K620" s="312"/>
      <c r="L620" s="312"/>
      <c r="M620" s="312"/>
      <c r="N620" s="312"/>
      <c r="O620" s="312"/>
      <c r="P620" s="322" t="str">
        <f t="shared" si="29"/>
        <v/>
      </c>
      <c r="Q620" s="208" t="str">
        <f t="shared" si="27"/>
        <v/>
      </c>
      <c r="R620" s="208"/>
      <c r="S620" s="323" t="str">
        <f t="shared" si="28"/>
        <v/>
      </c>
      <c r="U620" s="322"/>
      <c r="V620" s="791"/>
      <c r="W620" s="792"/>
      <c r="X620" s="480"/>
      <c r="Y620" s="480"/>
      <c r="Z620" s="480"/>
      <c r="AA620" s="323"/>
      <c r="AB620" s="220"/>
      <c r="AC620" s="322"/>
      <c r="AD620" s="323"/>
      <c r="AE620" s="220"/>
      <c r="AF620" s="324"/>
      <c r="AG620" s="208"/>
      <c r="AH620" s="208"/>
      <c r="AI620" s="208"/>
      <c r="AJ620" s="208"/>
      <c r="AK620" s="208"/>
      <c r="AL620" s="208"/>
      <c r="AM620" s="208"/>
      <c r="AN620" s="208"/>
      <c r="AO620" s="208"/>
      <c r="AP620" s="208"/>
      <c r="AQ620" s="208"/>
      <c r="AR620" s="208"/>
      <c r="AS620" s="208"/>
      <c r="AT620" s="208"/>
      <c r="AU620" s="208"/>
      <c r="AV620" s="208"/>
      <c r="AW620" s="208"/>
      <c r="AX620" s="208"/>
      <c r="AY620" s="208"/>
      <c r="AZ620" s="208"/>
      <c r="BA620" s="208"/>
      <c r="BB620" s="208"/>
      <c r="BC620" s="208"/>
      <c r="BD620" s="208"/>
      <c r="BE620" s="208"/>
      <c r="BF620" s="208"/>
      <c r="BG620" s="208"/>
      <c r="BH620" s="208"/>
      <c r="BI620" s="323"/>
    </row>
    <row r="621" spans="3:61" ht="15" customHeight="1">
      <c r="C621" s="325"/>
      <c r="D621" s="326"/>
      <c r="E621" s="311"/>
      <c r="F621" s="311"/>
      <c r="G621" s="311"/>
      <c r="H621" s="311"/>
      <c r="I621" s="311"/>
      <c r="J621" s="317"/>
      <c r="K621" s="312"/>
      <c r="L621" s="312"/>
      <c r="M621" s="312"/>
      <c r="N621" s="312"/>
      <c r="O621" s="312"/>
      <c r="P621" s="318" t="str">
        <f t="shared" si="29"/>
        <v/>
      </c>
      <c r="Q621" s="205" t="str">
        <f t="shared" si="27"/>
        <v/>
      </c>
      <c r="R621" s="205"/>
      <c r="S621" s="319" t="str">
        <f t="shared" si="28"/>
        <v/>
      </c>
      <c r="U621" s="318"/>
      <c r="V621" s="794"/>
      <c r="W621" s="795"/>
      <c r="X621" s="482"/>
      <c r="Y621" s="482"/>
      <c r="Z621" s="482"/>
      <c r="AA621" s="319"/>
      <c r="AB621" s="220"/>
      <c r="AC621" s="318"/>
      <c r="AD621" s="319"/>
      <c r="AE621" s="220"/>
      <c r="AF621" s="320"/>
      <c r="AG621" s="205"/>
      <c r="AH621" s="205"/>
      <c r="AI621" s="205"/>
      <c r="AJ621" s="205"/>
      <c r="AK621" s="205"/>
      <c r="AL621" s="205"/>
      <c r="AM621" s="205"/>
      <c r="AN621" s="205"/>
      <c r="AO621" s="205"/>
      <c r="AP621" s="205"/>
      <c r="AQ621" s="205"/>
      <c r="AR621" s="205"/>
      <c r="AS621" s="205"/>
      <c r="AT621" s="205"/>
      <c r="AU621" s="205"/>
      <c r="AV621" s="205"/>
      <c r="AW621" s="205"/>
      <c r="AX621" s="205"/>
      <c r="AY621" s="205"/>
      <c r="AZ621" s="205"/>
      <c r="BA621" s="205"/>
      <c r="BB621" s="205"/>
      <c r="BC621" s="205"/>
      <c r="BD621" s="205"/>
      <c r="BE621" s="205"/>
      <c r="BF621" s="205"/>
      <c r="BG621" s="205"/>
      <c r="BH621" s="205"/>
      <c r="BI621" s="319"/>
    </row>
    <row r="622" spans="3:61" ht="15" customHeight="1">
      <c r="C622" s="325"/>
      <c r="D622" s="326"/>
      <c r="E622" s="311"/>
      <c r="F622" s="311"/>
      <c r="G622" s="311"/>
      <c r="H622" s="311"/>
      <c r="I622" s="311"/>
      <c r="J622" s="317"/>
      <c r="K622" s="312"/>
      <c r="L622" s="312"/>
      <c r="M622" s="312"/>
      <c r="N622" s="312"/>
      <c r="O622" s="312"/>
      <c r="P622" s="322" t="str">
        <f t="shared" si="29"/>
        <v/>
      </c>
      <c r="Q622" s="208" t="str">
        <f t="shared" si="27"/>
        <v/>
      </c>
      <c r="R622" s="208"/>
      <c r="S622" s="323" t="str">
        <f t="shared" si="28"/>
        <v/>
      </c>
      <c r="U622" s="322"/>
      <c r="V622" s="791"/>
      <c r="W622" s="792"/>
      <c r="X622" s="480"/>
      <c r="Y622" s="480"/>
      <c r="Z622" s="480"/>
      <c r="AA622" s="323"/>
      <c r="AB622" s="220"/>
      <c r="AC622" s="322"/>
      <c r="AD622" s="323"/>
      <c r="AE622" s="220"/>
      <c r="AF622" s="324"/>
      <c r="AG622" s="208"/>
      <c r="AH622" s="208"/>
      <c r="AI622" s="208"/>
      <c r="AJ622" s="208"/>
      <c r="AK622" s="208"/>
      <c r="AL622" s="208"/>
      <c r="AM622" s="208"/>
      <c r="AN622" s="208"/>
      <c r="AO622" s="208"/>
      <c r="AP622" s="208"/>
      <c r="AQ622" s="208"/>
      <c r="AR622" s="208"/>
      <c r="AS622" s="208"/>
      <c r="AT622" s="208"/>
      <c r="AU622" s="208"/>
      <c r="AV622" s="208"/>
      <c r="AW622" s="208"/>
      <c r="AX622" s="208"/>
      <c r="AY622" s="208"/>
      <c r="AZ622" s="208"/>
      <c r="BA622" s="208"/>
      <c r="BB622" s="208"/>
      <c r="BC622" s="208"/>
      <c r="BD622" s="208"/>
      <c r="BE622" s="208"/>
      <c r="BF622" s="208"/>
      <c r="BG622" s="208"/>
      <c r="BH622" s="208"/>
      <c r="BI622" s="323"/>
    </row>
    <row r="623" spans="3:61" ht="15" customHeight="1">
      <c r="C623" s="325"/>
      <c r="D623" s="326"/>
      <c r="E623" s="311"/>
      <c r="F623" s="311"/>
      <c r="G623" s="311"/>
      <c r="H623" s="311"/>
      <c r="I623" s="311"/>
      <c r="J623" s="317"/>
      <c r="K623" s="312"/>
      <c r="L623" s="312"/>
      <c r="M623" s="312"/>
      <c r="N623" s="312"/>
      <c r="O623" s="312"/>
      <c r="P623" s="318" t="str">
        <f t="shared" si="29"/>
        <v/>
      </c>
      <c r="Q623" s="205" t="str">
        <f t="shared" si="27"/>
        <v/>
      </c>
      <c r="R623" s="205"/>
      <c r="S623" s="319" t="str">
        <f t="shared" si="28"/>
        <v/>
      </c>
      <c r="U623" s="318"/>
      <c r="V623" s="794"/>
      <c r="W623" s="795"/>
      <c r="X623" s="482"/>
      <c r="Y623" s="482"/>
      <c r="Z623" s="482"/>
      <c r="AA623" s="319"/>
      <c r="AB623" s="220"/>
      <c r="AC623" s="318"/>
      <c r="AD623" s="319"/>
      <c r="AE623" s="220"/>
      <c r="AF623" s="320"/>
      <c r="AG623" s="205"/>
      <c r="AH623" s="205"/>
      <c r="AI623" s="205"/>
      <c r="AJ623" s="205"/>
      <c r="AK623" s="205"/>
      <c r="AL623" s="205"/>
      <c r="AM623" s="205"/>
      <c r="AN623" s="205"/>
      <c r="AO623" s="205"/>
      <c r="AP623" s="205"/>
      <c r="AQ623" s="205"/>
      <c r="AR623" s="205"/>
      <c r="AS623" s="205"/>
      <c r="AT623" s="205"/>
      <c r="AU623" s="205"/>
      <c r="AV623" s="205"/>
      <c r="AW623" s="205"/>
      <c r="AX623" s="205"/>
      <c r="AY623" s="205"/>
      <c r="AZ623" s="205"/>
      <c r="BA623" s="205"/>
      <c r="BB623" s="205"/>
      <c r="BC623" s="205"/>
      <c r="BD623" s="205"/>
      <c r="BE623" s="205"/>
      <c r="BF623" s="205"/>
      <c r="BG623" s="205"/>
      <c r="BH623" s="205"/>
      <c r="BI623" s="319"/>
    </row>
    <row r="624" spans="3:61" ht="15" customHeight="1">
      <c r="C624" s="325"/>
      <c r="D624" s="326"/>
      <c r="E624" s="311"/>
      <c r="F624" s="311"/>
      <c r="G624" s="311"/>
      <c r="H624" s="311"/>
      <c r="I624" s="311"/>
      <c r="J624" s="317"/>
      <c r="K624" s="312"/>
      <c r="L624" s="312"/>
      <c r="M624" s="312"/>
      <c r="N624" s="312"/>
      <c r="O624" s="312"/>
      <c r="P624" s="322" t="str">
        <f t="shared" si="29"/>
        <v/>
      </c>
      <c r="Q624" s="208" t="str">
        <f t="shared" si="27"/>
        <v/>
      </c>
      <c r="R624" s="208"/>
      <c r="S624" s="323" t="str">
        <f t="shared" si="28"/>
        <v/>
      </c>
      <c r="U624" s="322"/>
      <c r="V624" s="791"/>
      <c r="W624" s="792"/>
      <c r="X624" s="480"/>
      <c r="Y624" s="480"/>
      <c r="Z624" s="480"/>
      <c r="AA624" s="323"/>
      <c r="AB624" s="220"/>
      <c r="AC624" s="322"/>
      <c r="AD624" s="323"/>
      <c r="AE624" s="220"/>
      <c r="AF624" s="324"/>
      <c r="AG624" s="208"/>
      <c r="AH624" s="208"/>
      <c r="AI624" s="208"/>
      <c r="AJ624" s="208"/>
      <c r="AK624" s="208"/>
      <c r="AL624" s="208"/>
      <c r="AM624" s="208"/>
      <c r="AN624" s="208"/>
      <c r="AO624" s="208"/>
      <c r="AP624" s="208"/>
      <c r="AQ624" s="208"/>
      <c r="AR624" s="208"/>
      <c r="AS624" s="208"/>
      <c r="AT624" s="208"/>
      <c r="AU624" s="208"/>
      <c r="AV624" s="208"/>
      <c r="AW624" s="208"/>
      <c r="AX624" s="208"/>
      <c r="AY624" s="208"/>
      <c r="AZ624" s="208"/>
      <c r="BA624" s="208"/>
      <c r="BB624" s="208"/>
      <c r="BC624" s="208"/>
      <c r="BD624" s="208"/>
      <c r="BE624" s="208"/>
      <c r="BF624" s="208"/>
      <c r="BG624" s="208"/>
      <c r="BH624" s="208"/>
      <c r="BI624" s="323"/>
    </row>
    <row r="625" spans="3:61" ht="15" customHeight="1">
      <c r="C625" s="325"/>
      <c r="D625" s="326"/>
      <c r="E625" s="311"/>
      <c r="F625" s="311"/>
      <c r="G625" s="311"/>
      <c r="H625" s="311"/>
      <c r="I625" s="311"/>
      <c r="J625" s="317"/>
      <c r="K625" s="312"/>
      <c r="L625" s="312"/>
      <c r="M625" s="312"/>
      <c r="N625" s="312"/>
      <c r="O625" s="312"/>
      <c r="P625" s="318" t="str">
        <f t="shared" si="29"/>
        <v/>
      </c>
      <c r="Q625" s="205" t="str">
        <f t="shared" si="27"/>
        <v/>
      </c>
      <c r="R625" s="205"/>
      <c r="S625" s="319" t="str">
        <f t="shared" si="28"/>
        <v/>
      </c>
      <c r="U625" s="318"/>
      <c r="V625" s="794"/>
      <c r="W625" s="795"/>
      <c r="X625" s="482"/>
      <c r="Y625" s="482"/>
      <c r="Z625" s="482"/>
      <c r="AA625" s="319"/>
      <c r="AB625" s="220"/>
      <c r="AC625" s="318"/>
      <c r="AD625" s="319"/>
      <c r="AE625" s="220"/>
      <c r="AF625" s="320"/>
      <c r="AG625" s="205"/>
      <c r="AH625" s="205"/>
      <c r="AI625" s="205"/>
      <c r="AJ625" s="205"/>
      <c r="AK625" s="205"/>
      <c r="AL625" s="205"/>
      <c r="AM625" s="205"/>
      <c r="AN625" s="205"/>
      <c r="AO625" s="205"/>
      <c r="AP625" s="205"/>
      <c r="AQ625" s="205"/>
      <c r="AR625" s="205"/>
      <c r="AS625" s="205"/>
      <c r="AT625" s="205"/>
      <c r="AU625" s="205"/>
      <c r="AV625" s="205"/>
      <c r="AW625" s="205"/>
      <c r="AX625" s="205"/>
      <c r="AY625" s="205"/>
      <c r="AZ625" s="205"/>
      <c r="BA625" s="205"/>
      <c r="BB625" s="205"/>
      <c r="BC625" s="205"/>
      <c r="BD625" s="205"/>
      <c r="BE625" s="205"/>
      <c r="BF625" s="205"/>
      <c r="BG625" s="205"/>
      <c r="BH625" s="205"/>
      <c r="BI625" s="319"/>
    </row>
    <row r="626" spans="3:61" ht="15" customHeight="1">
      <c r="C626" s="325"/>
      <c r="D626" s="326"/>
      <c r="E626" s="311"/>
      <c r="F626" s="311"/>
      <c r="G626" s="311"/>
      <c r="H626" s="311"/>
      <c r="I626" s="311"/>
      <c r="J626" s="317"/>
      <c r="K626" s="312"/>
      <c r="L626" s="312"/>
      <c r="M626" s="312"/>
      <c r="N626" s="312"/>
      <c r="O626" s="312"/>
      <c r="P626" s="322" t="str">
        <f t="shared" si="29"/>
        <v/>
      </c>
      <c r="Q626" s="208" t="str">
        <f t="shared" si="27"/>
        <v/>
      </c>
      <c r="R626" s="208"/>
      <c r="S626" s="323" t="str">
        <f t="shared" si="28"/>
        <v/>
      </c>
      <c r="U626" s="322"/>
      <c r="V626" s="791"/>
      <c r="W626" s="792"/>
      <c r="X626" s="480"/>
      <c r="Y626" s="480"/>
      <c r="Z626" s="480"/>
      <c r="AA626" s="323"/>
      <c r="AB626" s="220"/>
      <c r="AC626" s="322"/>
      <c r="AD626" s="323"/>
      <c r="AE626" s="220"/>
      <c r="AF626" s="324"/>
      <c r="AG626" s="208"/>
      <c r="AH626" s="208"/>
      <c r="AI626" s="208"/>
      <c r="AJ626" s="208"/>
      <c r="AK626" s="208"/>
      <c r="AL626" s="208"/>
      <c r="AM626" s="208"/>
      <c r="AN626" s="208"/>
      <c r="AO626" s="208"/>
      <c r="AP626" s="208"/>
      <c r="AQ626" s="208"/>
      <c r="AR626" s="208"/>
      <c r="AS626" s="208"/>
      <c r="AT626" s="208"/>
      <c r="AU626" s="208"/>
      <c r="AV626" s="208"/>
      <c r="AW626" s="208"/>
      <c r="AX626" s="208"/>
      <c r="AY626" s="208"/>
      <c r="AZ626" s="208"/>
      <c r="BA626" s="208"/>
      <c r="BB626" s="208"/>
      <c r="BC626" s="208"/>
      <c r="BD626" s="208"/>
      <c r="BE626" s="208"/>
      <c r="BF626" s="208"/>
      <c r="BG626" s="208"/>
      <c r="BH626" s="208"/>
      <c r="BI626" s="323"/>
    </row>
    <row r="627" spans="3:61" ht="15" customHeight="1">
      <c r="C627" s="325"/>
      <c r="D627" s="326"/>
      <c r="E627" s="311"/>
      <c r="F627" s="311"/>
      <c r="G627" s="311"/>
      <c r="H627" s="311"/>
      <c r="I627" s="311"/>
      <c r="J627" s="317"/>
      <c r="K627" s="312"/>
      <c r="L627" s="312"/>
      <c r="M627" s="312"/>
      <c r="N627" s="312"/>
      <c r="O627" s="312"/>
      <c r="P627" s="318" t="str">
        <f t="shared" si="29"/>
        <v/>
      </c>
      <c r="Q627" s="205" t="str">
        <f t="shared" si="27"/>
        <v/>
      </c>
      <c r="R627" s="205"/>
      <c r="S627" s="319" t="str">
        <f t="shared" si="28"/>
        <v/>
      </c>
      <c r="U627" s="318"/>
      <c r="V627" s="794"/>
      <c r="W627" s="795"/>
      <c r="X627" s="482"/>
      <c r="Y627" s="482"/>
      <c r="Z627" s="482"/>
      <c r="AA627" s="319"/>
      <c r="AB627" s="220"/>
      <c r="AC627" s="318"/>
      <c r="AD627" s="319"/>
      <c r="AE627" s="220"/>
      <c r="AF627" s="320"/>
      <c r="AG627" s="205"/>
      <c r="AH627" s="205"/>
      <c r="AI627" s="205"/>
      <c r="AJ627" s="205"/>
      <c r="AK627" s="205"/>
      <c r="AL627" s="205"/>
      <c r="AM627" s="205"/>
      <c r="AN627" s="205"/>
      <c r="AO627" s="205"/>
      <c r="AP627" s="205"/>
      <c r="AQ627" s="205"/>
      <c r="AR627" s="205"/>
      <c r="AS627" s="205"/>
      <c r="AT627" s="205"/>
      <c r="AU627" s="205"/>
      <c r="AV627" s="205"/>
      <c r="AW627" s="205"/>
      <c r="AX627" s="205"/>
      <c r="AY627" s="205"/>
      <c r="AZ627" s="205"/>
      <c r="BA627" s="205"/>
      <c r="BB627" s="205"/>
      <c r="BC627" s="205"/>
      <c r="BD627" s="205"/>
      <c r="BE627" s="205"/>
      <c r="BF627" s="205"/>
      <c r="BG627" s="205"/>
      <c r="BH627" s="205"/>
      <c r="BI627" s="319"/>
    </row>
    <row r="628" spans="3:61" ht="15" customHeight="1">
      <c r="C628" s="325"/>
      <c r="D628" s="326"/>
      <c r="E628" s="311"/>
      <c r="F628" s="311"/>
      <c r="G628" s="311"/>
      <c r="H628" s="311"/>
      <c r="I628" s="311"/>
      <c r="J628" s="317"/>
      <c r="K628" s="312"/>
      <c r="L628" s="312"/>
      <c r="M628" s="312"/>
      <c r="N628" s="312"/>
      <c r="O628" s="312"/>
      <c r="P628" s="322" t="str">
        <f t="shared" si="29"/>
        <v/>
      </c>
      <c r="Q628" s="208" t="str">
        <f t="shared" si="27"/>
        <v/>
      </c>
      <c r="R628" s="208"/>
      <c r="S628" s="323" t="str">
        <f t="shared" si="28"/>
        <v/>
      </c>
      <c r="U628" s="322"/>
      <c r="V628" s="791"/>
      <c r="W628" s="792"/>
      <c r="X628" s="480"/>
      <c r="Y628" s="480"/>
      <c r="Z628" s="480"/>
      <c r="AA628" s="323"/>
      <c r="AB628" s="220"/>
      <c r="AC628" s="322"/>
      <c r="AD628" s="323"/>
      <c r="AE628" s="220"/>
      <c r="AF628" s="324"/>
      <c r="AG628" s="208"/>
      <c r="AH628" s="208"/>
      <c r="AI628" s="208"/>
      <c r="AJ628" s="208"/>
      <c r="AK628" s="208"/>
      <c r="AL628" s="208"/>
      <c r="AM628" s="208"/>
      <c r="AN628" s="208"/>
      <c r="AO628" s="208"/>
      <c r="AP628" s="208"/>
      <c r="AQ628" s="208"/>
      <c r="AR628" s="208"/>
      <c r="AS628" s="208"/>
      <c r="AT628" s="208"/>
      <c r="AU628" s="208"/>
      <c r="AV628" s="208"/>
      <c r="AW628" s="208"/>
      <c r="AX628" s="208"/>
      <c r="AY628" s="208"/>
      <c r="AZ628" s="208"/>
      <c r="BA628" s="208"/>
      <c r="BB628" s="208"/>
      <c r="BC628" s="208"/>
      <c r="BD628" s="208"/>
      <c r="BE628" s="208"/>
      <c r="BF628" s="208"/>
      <c r="BG628" s="208"/>
      <c r="BH628" s="208"/>
      <c r="BI628" s="323"/>
    </row>
    <row r="629" spans="3:61" ht="15" customHeight="1">
      <c r="C629" s="325"/>
      <c r="D629" s="326"/>
      <c r="E629" s="311"/>
      <c r="F629" s="311"/>
      <c r="G629" s="311"/>
      <c r="H629" s="311"/>
      <c r="I629" s="311"/>
      <c r="J629" s="317"/>
      <c r="K629" s="312"/>
      <c r="L629" s="312"/>
      <c r="M629" s="312"/>
      <c r="N629" s="312"/>
      <c r="O629" s="312"/>
      <c r="P629" s="318" t="str">
        <f t="shared" si="29"/>
        <v/>
      </c>
      <c r="Q629" s="205" t="str">
        <f t="shared" si="27"/>
        <v/>
      </c>
      <c r="R629" s="205"/>
      <c r="S629" s="319" t="str">
        <f t="shared" si="28"/>
        <v/>
      </c>
      <c r="U629" s="318"/>
      <c r="V629" s="794"/>
      <c r="W629" s="795"/>
      <c r="X629" s="482"/>
      <c r="Y629" s="482"/>
      <c r="Z629" s="482"/>
      <c r="AA629" s="319"/>
      <c r="AB629" s="220"/>
      <c r="AC629" s="318"/>
      <c r="AD629" s="319"/>
      <c r="AE629" s="220"/>
      <c r="AF629" s="320"/>
      <c r="AG629" s="205"/>
      <c r="AH629" s="205"/>
      <c r="AI629" s="205"/>
      <c r="AJ629" s="205"/>
      <c r="AK629" s="205"/>
      <c r="AL629" s="205"/>
      <c r="AM629" s="205"/>
      <c r="AN629" s="205"/>
      <c r="AO629" s="205"/>
      <c r="AP629" s="205"/>
      <c r="AQ629" s="205"/>
      <c r="AR629" s="205"/>
      <c r="AS629" s="205"/>
      <c r="AT629" s="205"/>
      <c r="AU629" s="205"/>
      <c r="AV629" s="205"/>
      <c r="AW629" s="205"/>
      <c r="AX629" s="205"/>
      <c r="AY629" s="205"/>
      <c r="AZ629" s="205"/>
      <c r="BA629" s="205"/>
      <c r="BB629" s="205"/>
      <c r="BC629" s="205"/>
      <c r="BD629" s="205"/>
      <c r="BE629" s="205"/>
      <c r="BF629" s="205"/>
      <c r="BG629" s="205"/>
      <c r="BH629" s="205"/>
      <c r="BI629" s="319"/>
    </row>
    <row r="630" spans="3:61" ht="15" customHeight="1">
      <c r="C630" s="325"/>
      <c r="D630" s="326"/>
      <c r="E630" s="311"/>
      <c r="F630" s="311"/>
      <c r="G630" s="311"/>
      <c r="H630" s="311"/>
      <c r="I630" s="311"/>
      <c r="J630" s="317"/>
      <c r="K630" s="312"/>
      <c r="L630" s="312"/>
      <c r="M630" s="312"/>
      <c r="N630" s="312"/>
      <c r="O630" s="312"/>
      <c r="P630" s="322" t="str">
        <f t="shared" si="29"/>
        <v/>
      </c>
      <c r="Q630" s="208" t="str">
        <f t="shared" si="27"/>
        <v/>
      </c>
      <c r="R630" s="208"/>
      <c r="S630" s="323" t="str">
        <f t="shared" si="28"/>
        <v/>
      </c>
      <c r="U630" s="322"/>
      <c r="V630" s="791"/>
      <c r="W630" s="792"/>
      <c r="X630" s="480"/>
      <c r="Y630" s="480"/>
      <c r="Z630" s="480"/>
      <c r="AA630" s="323"/>
      <c r="AB630" s="220"/>
      <c r="AC630" s="322"/>
      <c r="AD630" s="323"/>
      <c r="AE630" s="220"/>
      <c r="AF630" s="324"/>
      <c r="AG630" s="208"/>
      <c r="AH630" s="208"/>
      <c r="AI630" s="208"/>
      <c r="AJ630" s="208"/>
      <c r="AK630" s="208"/>
      <c r="AL630" s="208"/>
      <c r="AM630" s="208"/>
      <c r="AN630" s="208"/>
      <c r="AO630" s="208"/>
      <c r="AP630" s="208"/>
      <c r="AQ630" s="208"/>
      <c r="AR630" s="208"/>
      <c r="AS630" s="208"/>
      <c r="AT630" s="208"/>
      <c r="AU630" s="208"/>
      <c r="AV630" s="208"/>
      <c r="AW630" s="208"/>
      <c r="AX630" s="208"/>
      <c r="AY630" s="208"/>
      <c r="AZ630" s="208"/>
      <c r="BA630" s="208"/>
      <c r="BB630" s="208"/>
      <c r="BC630" s="208"/>
      <c r="BD630" s="208"/>
      <c r="BE630" s="208"/>
      <c r="BF630" s="208"/>
      <c r="BG630" s="208"/>
      <c r="BH630" s="208"/>
      <c r="BI630" s="323"/>
    </row>
    <row r="631" spans="3:61" ht="15" customHeight="1">
      <c r="C631" s="325"/>
      <c r="D631" s="326"/>
      <c r="E631" s="311"/>
      <c r="F631" s="311"/>
      <c r="G631" s="311"/>
      <c r="H631" s="311"/>
      <c r="I631" s="311"/>
      <c r="J631" s="317"/>
      <c r="K631" s="312"/>
      <c r="L631" s="312"/>
      <c r="M631" s="312"/>
      <c r="N631" s="312"/>
      <c r="O631" s="312"/>
      <c r="P631" s="318" t="str">
        <f t="shared" si="29"/>
        <v/>
      </c>
      <c r="Q631" s="205" t="str">
        <f t="shared" si="27"/>
        <v/>
      </c>
      <c r="R631" s="205"/>
      <c r="S631" s="319" t="str">
        <f t="shared" si="28"/>
        <v/>
      </c>
      <c r="U631" s="318"/>
      <c r="V631" s="794"/>
      <c r="W631" s="795"/>
      <c r="X631" s="482"/>
      <c r="Y631" s="482"/>
      <c r="Z631" s="482"/>
      <c r="AA631" s="319"/>
      <c r="AB631" s="220"/>
      <c r="AC631" s="318"/>
      <c r="AD631" s="319"/>
      <c r="AE631" s="220"/>
      <c r="AF631" s="320"/>
      <c r="AG631" s="205"/>
      <c r="AH631" s="205"/>
      <c r="AI631" s="205"/>
      <c r="AJ631" s="205"/>
      <c r="AK631" s="205"/>
      <c r="AL631" s="205"/>
      <c r="AM631" s="205"/>
      <c r="AN631" s="205"/>
      <c r="AO631" s="205"/>
      <c r="AP631" s="205"/>
      <c r="AQ631" s="205"/>
      <c r="AR631" s="205"/>
      <c r="AS631" s="205"/>
      <c r="AT631" s="205"/>
      <c r="AU631" s="205"/>
      <c r="AV631" s="205"/>
      <c r="AW631" s="205"/>
      <c r="AX631" s="205"/>
      <c r="AY631" s="205"/>
      <c r="AZ631" s="205"/>
      <c r="BA631" s="205"/>
      <c r="BB631" s="205"/>
      <c r="BC631" s="205"/>
      <c r="BD631" s="205"/>
      <c r="BE631" s="205"/>
      <c r="BF631" s="205"/>
      <c r="BG631" s="205"/>
      <c r="BH631" s="205"/>
      <c r="BI631" s="319"/>
    </row>
    <row r="632" spans="3:61" ht="15" customHeight="1">
      <c r="C632" s="325"/>
      <c r="D632" s="326"/>
      <c r="E632" s="311"/>
      <c r="F632" s="311"/>
      <c r="G632" s="311"/>
      <c r="H632" s="311"/>
      <c r="I632" s="311"/>
      <c r="J632" s="317"/>
      <c r="K632" s="312"/>
      <c r="L632" s="312"/>
      <c r="M632" s="312"/>
      <c r="N632" s="312"/>
      <c r="O632" s="312"/>
      <c r="P632" s="322" t="str">
        <f t="shared" si="29"/>
        <v/>
      </c>
      <c r="Q632" s="208" t="str">
        <f t="shared" si="27"/>
        <v/>
      </c>
      <c r="R632" s="208"/>
      <c r="S632" s="323" t="str">
        <f t="shared" si="28"/>
        <v/>
      </c>
      <c r="U632" s="322"/>
      <c r="V632" s="791"/>
      <c r="W632" s="792"/>
      <c r="X632" s="480"/>
      <c r="Y632" s="480"/>
      <c r="Z632" s="480"/>
      <c r="AA632" s="323"/>
      <c r="AB632" s="220"/>
      <c r="AC632" s="322"/>
      <c r="AD632" s="323"/>
      <c r="AE632" s="220"/>
      <c r="AF632" s="324"/>
      <c r="AG632" s="208"/>
      <c r="AH632" s="208"/>
      <c r="AI632" s="208"/>
      <c r="AJ632" s="208"/>
      <c r="AK632" s="208"/>
      <c r="AL632" s="208"/>
      <c r="AM632" s="208"/>
      <c r="AN632" s="208"/>
      <c r="AO632" s="208"/>
      <c r="AP632" s="208"/>
      <c r="AQ632" s="208"/>
      <c r="AR632" s="208"/>
      <c r="AS632" s="208"/>
      <c r="AT632" s="208"/>
      <c r="AU632" s="208"/>
      <c r="AV632" s="208"/>
      <c r="AW632" s="208"/>
      <c r="AX632" s="208"/>
      <c r="AY632" s="208"/>
      <c r="AZ632" s="208"/>
      <c r="BA632" s="208"/>
      <c r="BB632" s="208"/>
      <c r="BC632" s="208"/>
      <c r="BD632" s="208"/>
      <c r="BE632" s="208"/>
      <c r="BF632" s="208"/>
      <c r="BG632" s="208"/>
      <c r="BH632" s="208"/>
      <c r="BI632" s="323"/>
    </row>
    <row r="633" spans="3:61" ht="15" customHeight="1">
      <c r="C633" s="325"/>
      <c r="D633" s="326"/>
      <c r="E633" s="311"/>
      <c r="F633" s="311"/>
      <c r="G633" s="311"/>
      <c r="H633" s="311"/>
      <c r="I633" s="311"/>
      <c r="J633" s="317"/>
      <c r="K633" s="312"/>
      <c r="L633" s="312"/>
      <c r="M633" s="312"/>
      <c r="N633" s="312"/>
      <c r="O633" s="312"/>
      <c r="P633" s="318" t="str">
        <f t="shared" si="29"/>
        <v/>
      </c>
      <c r="Q633" s="205" t="str">
        <f t="shared" si="27"/>
        <v/>
      </c>
      <c r="R633" s="205"/>
      <c r="S633" s="319" t="str">
        <f t="shared" si="28"/>
        <v/>
      </c>
      <c r="U633" s="318"/>
      <c r="V633" s="794"/>
      <c r="W633" s="795"/>
      <c r="X633" s="482"/>
      <c r="Y633" s="482"/>
      <c r="Z633" s="482"/>
      <c r="AA633" s="319"/>
      <c r="AB633" s="220"/>
      <c r="AC633" s="318"/>
      <c r="AD633" s="319"/>
      <c r="AE633" s="220"/>
      <c r="AF633" s="320"/>
      <c r="AG633" s="205"/>
      <c r="AH633" s="205"/>
      <c r="AI633" s="205"/>
      <c r="AJ633" s="205"/>
      <c r="AK633" s="205"/>
      <c r="AL633" s="205"/>
      <c r="AM633" s="205"/>
      <c r="AN633" s="205"/>
      <c r="AO633" s="205"/>
      <c r="AP633" s="205"/>
      <c r="AQ633" s="205"/>
      <c r="AR633" s="205"/>
      <c r="AS633" s="205"/>
      <c r="AT633" s="205"/>
      <c r="AU633" s="205"/>
      <c r="AV633" s="205"/>
      <c r="AW633" s="205"/>
      <c r="AX633" s="205"/>
      <c r="AY633" s="205"/>
      <c r="AZ633" s="205"/>
      <c r="BA633" s="205"/>
      <c r="BB633" s="205"/>
      <c r="BC633" s="205"/>
      <c r="BD633" s="205"/>
      <c r="BE633" s="205"/>
      <c r="BF633" s="205"/>
      <c r="BG633" s="205"/>
      <c r="BH633" s="205"/>
      <c r="BI633" s="319"/>
    </row>
    <row r="634" spans="3:61" ht="15" customHeight="1">
      <c r="C634" s="325"/>
      <c r="D634" s="326"/>
      <c r="E634" s="311"/>
      <c r="F634" s="311"/>
      <c r="G634" s="311"/>
      <c r="H634" s="311"/>
      <c r="I634" s="311"/>
      <c r="J634" s="317"/>
      <c r="K634" s="312"/>
      <c r="L634" s="312"/>
      <c r="M634" s="312"/>
      <c r="N634" s="312"/>
      <c r="O634" s="312"/>
      <c r="P634" s="322" t="str">
        <f t="shared" si="29"/>
        <v/>
      </c>
      <c r="Q634" s="208" t="str">
        <f t="shared" si="27"/>
        <v/>
      </c>
      <c r="R634" s="208"/>
      <c r="S634" s="323" t="str">
        <f t="shared" si="28"/>
        <v/>
      </c>
      <c r="U634" s="322"/>
      <c r="V634" s="791"/>
      <c r="W634" s="792"/>
      <c r="X634" s="480"/>
      <c r="Y634" s="480"/>
      <c r="Z634" s="480"/>
      <c r="AA634" s="323"/>
      <c r="AB634" s="220"/>
      <c r="AC634" s="322"/>
      <c r="AD634" s="323"/>
      <c r="AE634" s="220"/>
      <c r="AF634" s="324"/>
      <c r="AG634" s="208"/>
      <c r="AH634" s="208"/>
      <c r="AI634" s="208"/>
      <c r="AJ634" s="208"/>
      <c r="AK634" s="208"/>
      <c r="AL634" s="208"/>
      <c r="AM634" s="208"/>
      <c r="AN634" s="208"/>
      <c r="AO634" s="208"/>
      <c r="AP634" s="208"/>
      <c r="AQ634" s="208"/>
      <c r="AR634" s="208"/>
      <c r="AS634" s="208"/>
      <c r="AT634" s="208"/>
      <c r="AU634" s="208"/>
      <c r="AV634" s="208"/>
      <c r="AW634" s="208"/>
      <c r="AX634" s="208"/>
      <c r="AY634" s="208"/>
      <c r="AZ634" s="208"/>
      <c r="BA634" s="208"/>
      <c r="BB634" s="208"/>
      <c r="BC634" s="208"/>
      <c r="BD634" s="208"/>
      <c r="BE634" s="208"/>
      <c r="BF634" s="208"/>
      <c r="BG634" s="208"/>
      <c r="BH634" s="208"/>
      <c r="BI634" s="323"/>
    </row>
    <row r="635" spans="3:61" ht="15" customHeight="1">
      <c r="C635" s="325"/>
      <c r="D635" s="326"/>
      <c r="E635" s="311"/>
      <c r="F635" s="311"/>
      <c r="G635" s="311"/>
      <c r="H635" s="311"/>
      <c r="I635" s="311"/>
      <c r="J635" s="317"/>
      <c r="K635" s="312"/>
      <c r="L635" s="312"/>
      <c r="M635" s="312"/>
      <c r="N635" s="312"/>
      <c r="O635" s="312"/>
      <c r="P635" s="318" t="str">
        <f t="shared" si="29"/>
        <v/>
      </c>
      <c r="Q635" s="205" t="str">
        <f t="shared" si="27"/>
        <v/>
      </c>
      <c r="R635" s="205"/>
      <c r="S635" s="319" t="str">
        <f t="shared" si="28"/>
        <v/>
      </c>
      <c r="U635" s="318"/>
      <c r="V635" s="794"/>
      <c r="W635" s="795"/>
      <c r="X635" s="482"/>
      <c r="Y635" s="482"/>
      <c r="Z635" s="482"/>
      <c r="AA635" s="319"/>
      <c r="AB635" s="220"/>
      <c r="AC635" s="318"/>
      <c r="AD635" s="319"/>
      <c r="AE635" s="220"/>
      <c r="AF635" s="320"/>
      <c r="AG635" s="205"/>
      <c r="AH635" s="205"/>
      <c r="AI635" s="205"/>
      <c r="AJ635" s="205"/>
      <c r="AK635" s="205"/>
      <c r="AL635" s="205"/>
      <c r="AM635" s="205"/>
      <c r="AN635" s="205"/>
      <c r="AO635" s="205"/>
      <c r="AP635" s="205"/>
      <c r="AQ635" s="205"/>
      <c r="AR635" s="205"/>
      <c r="AS635" s="205"/>
      <c r="AT635" s="205"/>
      <c r="AU635" s="205"/>
      <c r="AV635" s="205"/>
      <c r="AW635" s="205"/>
      <c r="AX635" s="205"/>
      <c r="AY635" s="205"/>
      <c r="AZ635" s="205"/>
      <c r="BA635" s="205"/>
      <c r="BB635" s="205"/>
      <c r="BC635" s="205"/>
      <c r="BD635" s="205"/>
      <c r="BE635" s="205"/>
      <c r="BF635" s="205"/>
      <c r="BG635" s="205"/>
      <c r="BH635" s="205"/>
      <c r="BI635" s="319"/>
    </row>
    <row r="636" spans="3:61" ht="15" customHeight="1">
      <c r="C636" s="325"/>
      <c r="D636" s="326"/>
      <c r="E636" s="311"/>
      <c r="F636" s="311"/>
      <c r="G636" s="311"/>
      <c r="H636" s="311"/>
      <c r="I636" s="311"/>
      <c r="J636" s="317"/>
      <c r="K636" s="312"/>
      <c r="L636" s="312"/>
      <c r="M636" s="312"/>
      <c r="N636" s="312"/>
      <c r="O636" s="312"/>
      <c r="P636" s="322" t="str">
        <f t="shared" si="29"/>
        <v/>
      </c>
      <c r="Q636" s="208" t="str">
        <f t="shared" si="27"/>
        <v/>
      </c>
      <c r="R636" s="208"/>
      <c r="S636" s="323" t="str">
        <f t="shared" si="28"/>
        <v/>
      </c>
      <c r="U636" s="322"/>
      <c r="V636" s="791"/>
      <c r="W636" s="792"/>
      <c r="X636" s="480"/>
      <c r="Y636" s="480"/>
      <c r="Z636" s="480"/>
      <c r="AA636" s="323"/>
      <c r="AB636" s="220"/>
      <c r="AC636" s="322"/>
      <c r="AD636" s="323"/>
      <c r="AE636" s="220"/>
      <c r="AF636" s="324"/>
      <c r="AG636" s="208"/>
      <c r="AH636" s="208"/>
      <c r="AI636" s="208"/>
      <c r="AJ636" s="208"/>
      <c r="AK636" s="208"/>
      <c r="AL636" s="208"/>
      <c r="AM636" s="208"/>
      <c r="AN636" s="208"/>
      <c r="AO636" s="208"/>
      <c r="AP636" s="208"/>
      <c r="AQ636" s="208"/>
      <c r="AR636" s="208"/>
      <c r="AS636" s="208"/>
      <c r="AT636" s="208"/>
      <c r="AU636" s="208"/>
      <c r="AV636" s="208"/>
      <c r="AW636" s="208"/>
      <c r="AX636" s="208"/>
      <c r="AY636" s="208"/>
      <c r="AZ636" s="208"/>
      <c r="BA636" s="208"/>
      <c r="BB636" s="208"/>
      <c r="BC636" s="208"/>
      <c r="BD636" s="208"/>
      <c r="BE636" s="208"/>
      <c r="BF636" s="208"/>
      <c r="BG636" s="208"/>
      <c r="BH636" s="208"/>
      <c r="BI636" s="323"/>
    </row>
    <row r="637" spans="3:61" ht="15" customHeight="1">
      <c r="C637" s="325"/>
      <c r="D637" s="326"/>
      <c r="E637" s="311"/>
      <c r="F637" s="311"/>
      <c r="G637" s="311"/>
      <c r="H637" s="311"/>
      <c r="I637" s="311"/>
      <c r="J637" s="317"/>
      <c r="K637" s="312"/>
      <c r="L637" s="312"/>
      <c r="M637" s="312"/>
      <c r="N637" s="312"/>
      <c r="O637" s="312"/>
      <c r="P637" s="318" t="str">
        <f t="shared" si="29"/>
        <v/>
      </c>
      <c r="Q637" s="205" t="str">
        <f t="shared" si="27"/>
        <v/>
      </c>
      <c r="R637" s="205"/>
      <c r="S637" s="319" t="str">
        <f t="shared" si="28"/>
        <v/>
      </c>
      <c r="U637" s="318"/>
      <c r="V637" s="794"/>
      <c r="W637" s="795"/>
      <c r="X637" s="482"/>
      <c r="Y637" s="482"/>
      <c r="Z637" s="482"/>
      <c r="AA637" s="319"/>
      <c r="AB637" s="220"/>
      <c r="AC637" s="318"/>
      <c r="AD637" s="319"/>
      <c r="AE637" s="220"/>
      <c r="AF637" s="320"/>
      <c r="AG637" s="205"/>
      <c r="AH637" s="205"/>
      <c r="AI637" s="205"/>
      <c r="AJ637" s="205"/>
      <c r="AK637" s="205"/>
      <c r="AL637" s="205"/>
      <c r="AM637" s="205"/>
      <c r="AN637" s="205"/>
      <c r="AO637" s="205"/>
      <c r="AP637" s="205"/>
      <c r="AQ637" s="205"/>
      <c r="AR637" s="205"/>
      <c r="AS637" s="205"/>
      <c r="AT637" s="205"/>
      <c r="AU637" s="205"/>
      <c r="AV637" s="205"/>
      <c r="AW637" s="205"/>
      <c r="AX637" s="205"/>
      <c r="AY637" s="205"/>
      <c r="AZ637" s="205"/>
      <c r="BA637" s="205"/>
      <c r="BB637" s="205"/>
      <c r="BC637" s="205"/>
      <c r="BD637" s="205"/>
      <c r="BE637" s="205"/>
      <c r="BF637" s="205"/>
      <c r="BG637" s="205"/>
      <c r="BH637" s="205"/>
      <c r="BI637" s="319"/>
    </row>
    <row r="638" spans="3:61" ht="15" customHeight="1">
      <c r="C638" s="325"/>
      <c r="D638" s="326"/>
      <c r="E638" s="311"/>
      <c r="F638" s="311"/>
      <c r="G638" s="311"/>
      <c r="H638" s="311"/>
      <c r="I638" s="311"/>
      <c r="J638" s="317"/>
      <c r="K638" s="312"/>
      <c r="L638" s="312"/>
      <c r="M638" s="312"/>
      <c r="N638" s="312"/>
      <c r="O638" s="312"/>
      <c r="P638" s="322" t="str">
        <f t="shared" si="29"/>
        <v/>
      </c>
      <c r="Q638" s="208" t="str">
        <f t="shared" si="27"/>
        <v/>
      </c>
      <c r="R638" s="208"/>
      <c r="S638" s="323" t="str">
        <f t="shared" si="28"/>
        <v/>
      </c>
      <c r="U638" s="322"/>
      <c r="V638" s="791"/>
      <c r="W638" s="792"/>
      <c r="X638" s="480"/>
      <c r="Y638" s="480"/>
      <c r="Z638" s="480"/>
      <c r="AA638" s="323"/>
      <c r="AB638" s="220"/>
      <c r="AC638" s="322"/>
      <c r="AD638" s="323"/>
      <c r="AE638" s="220"/>
      <c r="AF638" s="324"/>
      <c r="AG638" s="208"/>
      <c r="AH638" s="208"/>
      <c r="AI638" s="208"/>
      <c r="AJ638" s="208"/>
      <c r="AK638" s="208"/>
      <c r="AL638" s="208"/>
      <c r="AM638" s="208"/>
      <c r="AN638" s="208"/>
      <c r="AO638" s="208"/>
      <c r="AP638" s="208"/>
      <c r="AQ638" s="208"/>
      <c r="AR638" s="208"/>
      <c r="AS638" s="208"/>
      <c r="AT638" s="208"/>
      <c r="AU638" s="208"/>
      <c r="AV638" s="208"/>
      <c r="AW638" s="208"/>
      <c r="AX638" s="208"/>
      <c r="AY638" s="208"/>
      <c r="AZ638" s="208"/>
      <c r="BA638" s="208"/>
      <c r="BB638" s="208"/>
      <c r="BC638" s="208"/>
      <c r="BD638" s="208"/>
      <c r="BE638" s="208"/>
      <c r="BF638" s="208"/>
      <c r="BG638" s="208"/>
      <c r="BH638" s="208"/>
      <c r="BI638" s="323"/>
    </row>
    <row r="639" spans="3:61" ht="15" customHeight="1">
      <c r="C639" s="325"/>
      <c r="D639" s="326"/>
      <c r="E639" s="311"/>
      <c r="F639" s="311"/>
      <c r="G639" s="311"/>
      <c r="H639" s="311"/>
      <c r="I639" s="311"/>
      <c r="J639" s="317"/>
      <c r="K639" s="312"/>
      <c r="L639" s="312"/>
      <c r="M639" s="312"/>
      <c r="N639" s="312"/>
      <c r="O639" s="312"/>
      <c r="P639" s="318" t="str">
        <f t="shared" si="29"/>
        <v/>
      </c>
      <c r="Q639" s="205" t="str">
        <f t="shared" si="27"/>
        <v/>
      </c>
      <c r="R639" s="205"/>
      <c r="S639" s="319" t="str">
        <f t="shared" si="28"/>
        <v/>
      </c>
      <c r="U639" s="318"/>
      <c r="V639" s="794"/>
      <c r="W639" s="795"/>
      <c r="X639" s="482"/>
      <c r="Y639" s="482"/>
      <c r="Z639" s="482"/>
      <c r="AA639" s="319"/>
      <c r="AB639" s="220"/>
      <c r="AC639" s="318"/>
      <c r="AD639" s="319"/>
      <c r="AE639" s="220"/>
      <c r="AF639" s="320"/>
      <c r="AG639" s="205"/>
      <c r="AH639" s="205"/>
      <c r="AI639" s="205"/>
      <c r="AJ639" s="205"/>
      <c r="AK639" s="205"/>
      <c r="AL639" s="205"/>
      <c r="AM639" s="205"/>
      <c r="AN639" s="205"/>
      <c r="AO639" s="205"/>
      <c r="AP639" s="205"/>
      <c r="AQ639" s="205"/>
      <c r="AR639" s="205"/>
      <c r="AS639" s="205"/>
      <c r="AT639" s="205"/>
      <c r="AU639" s="205"/>
      <c r="AV639" s="205"/>
      <c r="AW639" s="205"/>
      <c r="AX639" s="205"/>
      <c r="AY639" s="205"/>
      <c r="AZ639" s="205"/>
      <c r="BA639" s="205"/>
      <c r="BB639" s="205"/>
      <c r="BC639" s="205"/>
      <c r="BD639" s="205"/>
      <c r="BE639" s="205"/>
      <c r="BF639" s="205"/>
      <c r="BG639" s="205"/>
      <c r="BH639" s="205"/>
      <c r="BI639" s="319"/>
    </row>
    <row r="640" spans="3:61" ht="15" customHeight="1">
      <c r="C640" s="325"/>
      <c r="D640" s="326"/>
      <c r="E640" s="311"/>
      <c r="F640" s="311"/>
      <c r="G640" s="311"/>
      <c r="H640" s="311"/>
      <c r="I640" s="311"/>
      <c r="J640" s="317"/>
      <c r="K640" s="312"/>
      <c r="L640" s="312"/>
      <c r="M640" s="312"/>
      <c r="N640" s="312"/>
      <c r="O640" s="312"/>
      <c r="P640" s="322" t="str">
        <f t="shared" si="29"/>
        <v/>
      </c>
      <c r="Q640" s="208" t="str">
        <f t="shared" si="27"/>
        <v/>
      </c>
      <c r="R640" s="208"/>
      <c r="S640" s="323" t="str">
        <f t="shared" si="28"/>
        <v/>
      </c>
      <c r="U640" s="322"/>
      <c r="V640" s="791"/>
      <c r="W640" s="792"/>
      <c r="X640" s="480"/>
      <c r="Y640" s="480"/>
      <c r="Z640" s="480"/>
      <c r="AA640" s="323"/>
      <c r="AB640" s="220"/>
      <c r="AC640" s="322"/>
      <c r="AD640" s="323"/>
      <c r="AE640" s="220"/>
      <c r="AF640" s="324"/>
      <c r="AG640" s="208"/>
      <c r="AH640" s="208"/>
      <c r="AI640" s="208"/>
      <c r="AJ640" s="208"/>
      <c r="AK640" s="208"/>
      <c r="AL640" s="208"/>
      <c r="AM640" s="208"/>
      <c r="AN640" s="208"/>
      <c r="AO640" s="208"/>
      <c r="AP640" s="208"/>
      <c r="AQ640" s="208"/>
      <c r="AR640" s="208"/>
      <c r="AS640" s="208"/>
      <c r="AT640" s="208"/>
      <c r="AU640" s="208"/>
      <c r="AV640" s="208"/>
      <c r="AW640" s="208"/>
      <c r="AX640" s="208"/>
      <c r="AY640" s="208"/>
      <c r="AZ640" s="208"/>
      <c r="BA640" s="208"/>
      <c r="BB640" s="208"/>
      <c r="BC640" s="208"/>
      <c r="BD640" s="208"/>
      <c r="BE640" s="208"/>
      <c r="BF640" s="208"/>
      <c r="BG640" s="208"/>
      <c r="BH640" s="208"/>
      <c r="BI640" s="323"/>
    </row>
    <row r="641" spans="3:61" ht="15" customHeight="1">
      <c r="C641" s="325"/>
      <c r="D641" s="326"/>
      <c r="E641" s="311"/>
      <c r="F641" s="311"/>
      <c r="G641" s="311"/>
      <c r="H641" s="311"/>
      <c r="I641" s="311"/>
      <c r="J641" s="317"/>
      <c r="K641" s="312"/>
      <c r="L641" s="312"/>
      <c r="M641" s="312"/>
      <c r="N641" s="312"/>
      <c r="O641" s="312"/>
      <c r="P641" s="318" t="str">
        <f t="shared" si="29"/>
        <v/>
      </c>
      <c r="Q641" s="205" t="str">
        <f t="shared" si="27"/>
        <v/>
      </c>
      <c r="R641" s="205"/>
      <c r="S641" s="319" t="str">
        <f t="shared" si="28"/>
        <v/>
      </c>
      <c r="U641" s="318"/>
      <c r="V641" s="794"/>
      <c r="W641" s="795"/>
      <c r="X641" s="482"/>
      <c r="Y641" s="482"/>
      <c r="Z641" s="482"/>
      <c r="AA641" s="319"/>
      <c r="AB641" s="220"/>
      <c r="AC641" s="318"/>
      <c r="AD641" s="319"/>
      <c r="AE641" s="220"/>
      <c r="AF641" s="320"/>
      <c r="AG641" s="205"/>
      <c r="AH641" s="205"/>
      <c r="AI641" s="205"/>
      <c r="AJ641" s="205"/>
      <c r="AK641" s="205"/>
      <c r="AL641" s="205"/>
      <c r="AM641" s="205"/>
      <c r="AN641" s="205"/>
      <c r="AO641" s="205"/>
      <c r="AP641" s="205"/>
      <c r="AQ641" s="205"/>
      <c r="AR641" s="205"/>
      <c r="AS641" s="205"/>
      <c r="AT641" s="205"/>
      <c r="AU641" s="205"/>
      <c r="AV641" s="205"/>
      <c r="AW641" s="205"/>
      <c r="AX641" s="205"/>
      <c r="AY641" s="205"/>
      <c r="AZ641" s="205"/>
      <c r="BA641" s="205"/>
      <c r="BB641" s="205"/>
      <c r="BC641" s="205"/>
      <c r="BD641" s="205"/>
      <c r="BE641" s="205"/>
      <c r="BF641" s="205"/>
      <c r="BG641" s="205"/>
      <c r="BH641" s="205"/>
      <c r="BI641" s="319"/>
    </row>
    <row r="642" spans="3:61" ht="15" customHeight="1">
      <c r="C642" s="325"/>
      <c r="D642" s="326"/>
      <c r="E642" s="311"/>
      <c r="F642" s="311"/>
      <c r="G642" s="311"/>
      <c r="H642" s="311"/>
      <c r="I642" s="311"/>
      <c r="J642" s="317"/>
      <c r="K642" s="312"/>
      <c r="L642" s="312"/>
      <c r="M642" s="312"/>
      <c r="N642" s="312"/>
      <c r="O642" s="312"/>
      <c r="P642" s="322" t="str">
        <f t="shared" si="29"/>
        <v/>
      </c>
      <c r="Q642" s="208" t="str">
        <f t="shared" si="27"/>
        <v/>
      </c>
      <c r="R642" s="208"/>
      <c r="S642" s="323" t="str">
        <f t="shared" si="28"/>
        <v/>
      </c>
      <c r="U642" s="322"/>
      <c r="V642" s="791"/>
      <c r="W642" s="792"/>
      <c r="X642" s="480"/>
      <c r="Y642" s="480"/>
      <c r="Z642" s="480"/>
      <c r="AA642" s="323"/>
      <c r="AB642" s="220"/>
      <c r="AC642" s="322"/>
      <c r="AD642" s="323"/>
      <c r="AE642" s="220"/>
      <c r="AF642" s="324"/>
      <c r="AG642" s="208"/>
      <c r="AH642" s="208"/>
      <c r="AI642" s="208"/>
      <c r="AJ642" s="208"/>
      <c r="AK642" s="208"/>
      <c r="AL642" s="208"/>
      <c r="AM642" s="208"/>
      <c r="AN642" s="208"/>
      <c r="AO642" s="208"/>
      <c r="AP642" s="208"/>
      <c r="AQ642" s="208"/>
      <c r="AR642" s="208"/>
      <c r="AS642" s="208"/>
      <c r="AT642" s="208"/>
      <c r="AU642" s="208"/>
      <c r="AV642" s="208"/>
      <c r="AW642" s="208"/>
      <c r="AX642" s="208"/>
      <c r="AY642" s="208"/>
      <c r="AZ642" s="208"/>
      <c r="BA642" s="208"/>
      <c r="BB642" s="208"/>
      <c r="BC642" s="208"/>
      <c r="BD642" s="208"/>
      <c r="BE642" s="208"/>
      <c r="BF642" s="208"/>
      <c r="BG642" s="208"/>
      <c r="BH642" s="208"/>
      <c r="BI642" s="323"/>
    </row>
    <row r="643" spans="3:61" ht="15" customHeight="1">
      <c r="C643" s="325"/>
      <c r="D643" s="326"/>
      <c r="E643" s="311"/>
      <c r="F643" s="311"/>
      <c r="G643" s="311"/>
      <c r="H643" s="311"/>
      <c r="I643" s="311"/>
      <c r="J643" s="317"/>
      <c r="K643" s="312"/>
      <c r="L643" s="312"/>
      <c r="M643" s="312"/>
      <c r="N643" s="312"/>
      <c r="O643" s="312"/>
      <c r="P643" s="318" t="str">
        <f t="shared" si="29"/>
        <v/>
      </c>
      <c r="Q643" s="205" t="str">
        <f t="shared" si="27"/>
        <v/>
      </c>
      <c r="R643" s="205"/>
      <c r="S643" s="319" t="str">
        <f t="shared" si="28"/>
        <v/>
      </c>
      <c r="U643" s="318"/>
      <c r="V643" s="794"/>
      <c r="W643" s="795"/>
      <c r="X643" s="482"/>
      <c r="Y643" s="482"/>
      <c r="Z643" s="482"/>
      <c r="AA643" s="319"/>
      <c r="AB643" s="220"/>
      <c r="AC643" s="318"/>
      <c r="AD643" s="319"/>
      <c r="AE643" s="220"/>
      <c r="AF643" s="320"/>
      <c r="AG643" s="205"/>
      <c r="AH643" s="205"/>
      <c r="AI643" s="205"/>
      <c r="AJ643" s="205"/>
      <c r="AK643" s="205"/>
      <c r="AL643" s="205"/>
      <c r="AM643" s="205"/>
      <c r="AN643" s="205"/>
      <c r="AO643" s="205"/>
      <c r="AP643" s="205"/>
      <c r="AQ643" s="205"/>
      <c r="AR643" s="205"/>
      <c r="AS643" s="205"/>
      <c r="AT643" s="205"/>
      <c r="AU643" s="205"/>
      <c r="AV643" s="205"/>
      <c r="AW643" s="205"/>
      <c r="AX643" s="205"/>
      <c r="AY643" s="205"/>
      <c r="AZ643" s="205"/>
      <c r="BA643" s="205"/>
      <c r="BB643" s="205"/>
      <c r="BC643" s="205"/>
      <c r="BD643" s="205"/>
      <c r="BE643" s="205"/>
      <c r="BF643" s="205"/>
      <c r="BG643" s="205"/>
      <c r="BH643" s="205"/>
      <c r="BI643" s="319"/>
    </row>
    <row r="644" spans="3:61" ht="15" customHeight="1">
      <c r="C644" s="325"/>
      <c r="D644" s="326"/>
      <c r="E644" s="311"/>
      <c r="F644" s="311"/>
      <c r="G644" s="311"/>
      <c r="H644" s="311"/>
      <c r="I644" s="311"/>
      <c r="J644" s="317"/>
      <c r="K644" s="312"/>
      <c r="L644" s="312"/>
      <c r="M644" s="312"/>
      <c r="N644" s="312"/>
      <c r="O644" s="312"/>
      <c r="P644" s="322" t="str">
        <f t="shared" si="29"/>
        <v/>
      </c>
      <c r="Q644" s="208" t="str">
        <f t="shared" si="27"/>
        <v/>
      </c>
      <c r="R644" s="208"/>
      <c r="S644" s="323" t="str">
        <f t="shared" si="28"/>
        <v/>
      </c>
      <c r="U644" s="322"/>
      <c r="V644" s="791"/>
      <c r="W644" s="792"/>
      <c r="X644" s="480"/>
      <c r="Y644" s="480"/>
      <c r="Z644" s="480"/>
      <c r="AA644" s="323"/>
      <c r="AB644" s="220"/>
      <c r="AC644" s="322"/>
      <c r="AD644" s="323"/>
      <c r="AE644" s="220"/>
      <c r="AF644" s="324"/>
      <c r="AG644" s="208"/>
      <c r="AH644" s="208"/>
      <c r="AI644" s="208"/>
      <c r="AJ644" s="208"/>
      <c r="AK644" s="208"/>
      <c r="AL644" s="208"/>
      <c r="AM644" s="208"/>
      <c r="AN644" s="208"/>
      <c r="AO644" s="208"/>
      <c r="AP644" s="208"/>
      <c r="AQ644" s="208"/>
      <c r="AR644" s="208"/>
      <c r="AS644" s="208"/>
      <c r="AT644" s="208"/>
      <c r="AU644" s="208"/>
      <c r="AV644" s="208"/>
      <c r="AW644" s="208"/>
      <c r="AX644" s="208"/>
      <c r="AY644" s="208"/>
      <c r="AZ644" s="208"/>
      <c r="BA644" s="208"/>
      <c r="BB644" s="208"/>
      <c r="BC644" s="208"/>
      <c r="BD644" s="208"/>
      <c r="BE644" s="208"/>
      <c r="BF644" s="208"/>
      <c r="BG644" s="208"/>
      <c r="BH644" s="208"/>
      <c r="BI644" s="323"/>
    </row>
    <row r="645" spans="3:61" ht="15" customHeight="1">
      <c r="C645" s="325"/>
      <c r="D645" s="326"/>
      <c r="E645" s="311"/>
      <c r="F645" s="311"/>
      <c r="G645" s="311"/>
      <c r="H645" s="311"/>
      <c r="I645" s="311"/>
      <c r="J645" s="317"/>
      <c r="K645" s="312"/>
      <c r="L645" s="312"/>
      <c r="M645" s="312"/>
      <c r="N645" s="312"/>
      <c r="O645" s="312"/>
      <c r="P645" s="318" t="str">
        <f t="shared" si="29"/>
        <v/>
      </c>
      <c r="Q645" s="205" t="str">
        <f t="shared" si="27"/>
        <v/>
      </c>
      <c r="R645" s="205"/>
      <c r="S645" s="319" t="str">
        <f t="shared" si="28"/>
        <v/>
      </c>
      <c r="U645" s="318"/>
      <c r="V645" s="794"/>
      <c r="W645" s="795"/>
      <c r="X645" s="482"/>
      <c r="Y645" s="482"/>
      <c r="Z645" s="482"/>
      <c r="AA645" s="319"/>
      <c r="AB645" s="220"/>
      <c r="AC645" s="318"/>
      <c r="AD645" s="319"/>
      <c r="AE645" s="220"/>
      <c r="AF645" s="320"/>
      <c r="AG645" s="205"/>
      <c r="AH645" s="205"/>
      <c r="AI645" s="205"/>
      <c r="AJ645" s="205"/>
      <c r="AK645" s="205"/>
      <c r="AL645" s="205"/>
      <c r="AM645" s="205"/>
      <c r="AN645" s="205"/>
      <c r="AO645" s="205"/>
      <c r="AP645" s="205"/>
      <c r="AQ645" s="205"/>
      <c r="AR645" s="205"/>
      <c r="AS645" s="205"/>
      <c r="AT645" s="205"/>
      <c r="AU645" s="205"/>
      <c r="AV645" s="205"/>
      <c r="AW645" s="205"/>
      <c r="AX645" s="205"/>
      <c r="AY645" s="205"/>
      <c r="AZ645" s="205"/>
      <c r="BA645" s="205"/>
      <c r="BB645" s="205"/>
      <c r="BC645" s="205"/>
      <c r="BD645" s="205"/>
      <c r="BE645" s="205"/>
      <c r="BF645" s="205"/>
      <c r="BG645" s="205"/>
      <c r="BH645" s="205"/>
      <c r="BI645" s="319"/>
    </row>
    <row r="646" spans="3:61" ht="15" customHeight="1">
      <c r="C646" s="325"/>
      <c r="D646" s="326"/>
      <c r="E646" s="311"/>
      <c r="F646" s="311"/>
      <c r="G646" s="311"/>
      <c r="H646" s="311"/>
      <c r="I646" s="311"/>
      <c r="J646" s="317"/>
      <c r="K646" s="312"/>
      <c r="L646" s="312"/>
      <c r="M646" s="312"/>
      <c r="N646" s="312"/>
      <c r="O646" s="312"/>
      <c r="P646" s="322" t="str">
        <f t="shared" si="29"/>
        <v/>
      </c>
      <c r="Q646" s="208" t="str">
        <f t="shared" si="27"/>
        <v/>
      </c>
      <c r="R646" s="208"/>
      <c r="S646" s="323" t="str">
        <f t="shared" si="28"/>
        <v/>
      </c>
      <c r="U646" s="322"/>
      <c r="V646" s="791"/>
      <c r="W646" s="792"/>
      <c r="X646" s="480"/>
      <c r="Y646" s="480"/>
      <c r="Z646" s="480"/>
      <c r="AA646" s="323"/>
      <c r="AB646" s="220"/>
      <c r="AC646" s="322"/>
      <c r="AD646" s="323"/>
      <c r="AE646" s="220"/>
      <c r="AF646" s="324"/>
      <c r="AG646" s="208"/>
      <c r="AH646" s="208"/>
      <c r="AI646" s="208"/>
      <c r="AJ646" s="208"/>
      <c r="AK646" s="208"/>
      <c r="AL646" s="208"/>
      <c r="AM646" s="208"/>
      <c r="AN646" s="208"/>
      <c r="AO646" s="208"/>
      <c r="AP646" s="208"/>
      <c r="AQ646" s="208"/>
      <c r="AR646" s="208"/>
      <c r="AS646" s="208"/>
      <c r="AT646" s="208"/>
      <c r="AU646" s="208"/>
      <c r="AV646" s="208"/>
      <c r="AW646" s="208"/>
      <c r="AX646" s="208"/>
      <c r="AY646" s="208"/>
      <c r="AZ646" s="208"/>
      <c r="BA646" s="208"/>
      <c r="BB646" s="208"/>
      <c r="BC646" s="208"/>
      <c r="BD646" s="208"/>
      <c r="BE646" s="208"/>
      <c r="BF646" s="208"/>
      <c r="BG646" s="208"/>
      <c r="BH646" s="208"/>
      <c r="BI646" s="323"/>
    </row>
    <row r="647" spans="3:61" ht="15" customHeight="1">
      <c r="C647" s="325"/>
      <c r="D647" s="326"/>
      <c r="E647" s="311"/>
      <c r="F647" s="311"/>
      <c r="G647" s="311"/>
      <c r="H647" s="311"/>
      <c r="I647" s="311"/>
      <c r="J647" s="317"/>
      <c r="K647" s="312"/>
      <c r="L647" s="312"/>
      <c r="M647" s="312"/>
      <c r="N647" s="312"/>
      <c r="O647" s="312"/>
      <c r="P647" s="318" t="str">
        <f t="shared" si="29"/>
        <v/>
      </c>
      <c r="Q647" s="205" t="str">
        <f t="shared" si="27"/>
        <v/>
      </c>
      <c r="R647" s="205"/>
      <c r="S647" s="319" t="str">
        <f t="shared" si="28"/>
        <v/>
      </c>
      <c r="U647" s="318"/>
      <c r="V647" s="794"/>
      <c r="W647" s="795"/>
      <c r="X647" s="482"/>
      <c r="Y647" s="482"/>
      <c r="Z647" s="482"/>
      <c r="AA647" s="319"/>
      <c r="AB647" s="220"/>
      <c r="AC647" s="318"/>
      <c r="AD647" s="319"/>
      <c r="AE647" s="220"/>
      <c r="AF647" s="320"/>
      <c r="AG647" s="205"/>
      <c r="AH647" s="205"/>
      <c r="AI647" s="205"/>
      <c r="AJ647" s="205"/>
      <c r="AK647" s="205"/>
      <c r="AL647" s="205"/>
      <c r="AM647" s="205"/>
      <c r="AN647" s="205"/>
      <c r="AO647" s="205"/>
      <c r="AP647" s="205"/>
      <c r="AQ647" s="205"/>
      <c r="AR647" s="205"/>
      <c r="AS647" s="205"/>
      <c r="AT647" s="205"/>
      <c r="AU647" s="205"/>
      <c r="AV647" s="205"/>
      <c r="AW647" s="205"/>
      <c r="AX647" s="205"/>
      <c r="AY647" s="205"/>
      <c r="AZ647" s="205"/>
      <c r="BA647" s="205"/>
      <c r="BB647" s="205"/>
      <c r="BC647" s="205"/>
      <c r="BD647" s="205"/>
      <c r="BE647" s="205"/>
      <c r="BF647" s="205"/>
      <c r="BG647" s="205"/>
      <c r="BH647" s="205"/>
      <c r="BI647" s="319"/>
    </row>
    <row r="648" spans="3:61" ht="15" customHeight="1">
      <c r="C648" s="325"/>
      <c r="D648" s="326"/>
      <c r="E648" s="311"/>
      <c r="F648" s="311"/>
      <c r="G648" s="311"/>
      <c r="H648" s="311"/>
      <c r="I648" s="311"/>
      <c r="J648" s="317"/>
      <c r="K648" s="312"/>
      <c r="L648" s="312"/>
      <c r="M648" s="312"/>
      <c r="N648" s="312"/>
      <c r="O648" s="312"/>
      <c r="P648" s="322" t="str">
        <f t="shared" si="29"/>
        <v/>
      </c>
      <c r="Q648" s="208" t="str">
        <f t="shared" si="27"/>
        <v/>
      </c>
      <c r="R648" s="208"/>
      <c r="S648" s="323" t="str">
        <f t="shared" si="28"/>
        <v/>
      </c>
      <c r="U648" s="322"/>
      <c r="V648" s="791"/>
      <c r="W648" s="792"/>
      <c r="X648" s="480"/>
      <c r="Y648" s="480"/>
      <c r="Z648" s="480"/>
      <c r="AA648" s="323"/>
      <c r="AB648" s="220"/>
      <c r="AC648" s="322"/>
      <c r="AD648" s="323"/>
      <c r="AE648" s="220"/>
      <c r="AF648" s="324"/>
      <c r="AG648" s="208"/>
      <c r="AH648" s="208"/>
      <c r="AI648" s="208"/>
      <c r="AJ648" s="208"/>
      <c r="AK648" s="208"/>
      <c r="AL648" s="208"/>
      <c r="AM648" s="208"/>
      <c r="AN648" s="208"/>
      <c r="AO648" s="208"/>
      <c r="AP648" s="208"/>
      <c r="AQ648" s="208"/>
      <c r="AR648" s="208"/>
      <c r="AS648" s="208"/>
      <c r="AT648" s="208"/>
      <c r="AU648" s="208"/>
      <c r="AV648" s="208"/>
      <c r="AW648" s="208"/>
      <c r="AX648" s="208"/>
      <c r="AY648" s="208"/>
      <c r="AZ648" s="208"/>
      <c r="BA648" s="208"/>
      <c r="BB648" s="208"/>
      <c r="BC648" s="208"/>
      <c r="BD648" s="208"/>
      <c r="BE648" s="208"/>
      <c r="BF648" s="208"/>
      <c r="BG648" s="208"/>
      <c r="BH648" s="208"/>
      <c r="BI648" s="323"/>
    </row>
    <row r="649" spans="3:61" ht="15" customHeight="1">
      <c r="C649" s="325"/>
      <c r="D649" s="326"/>
      <c r="E649" s="311"/>
      <c r="F649" s="311"/>
      <c r="G649" s="311"/>
      <c r="H649" s="311"/>
      <c r="I649" s="311"/>
      <c r="J649" s="317"/>
      <c r="K649" s="312"/>
      <c r="L649" s="312"/>
      <c r="M649" s="312"/>
      <c r="N649" s="312"/>
      <c r="O649" s="312"/>
      <c r="P649" s="318" t="str">
        <f t="shared" si="29"/>
        <v/>
      </c>
      <c r="Q649" s="205" t="str">
        <f t="shared" si="27"/>
        <v/>
      </c>
      <c r="R649" s="205"/>
      <c r="S649" s="319" t="str">
        <f t="shared" si="28"/>
        <v/>
      </c>
      <c r="U649" s="318"/>
      <c r="V649" s="794"/>
      <c r="W649" s="795"/>
      <c r="X649" s="482"/>
      <c r="Y649" s="482"/>
      <c r="Z649" s="482"/>
      <c r="AA649" s="319"/>
      <c r="AB649" s="220"/>
      <c r="AC649" s="318"/>
      <c r="AD649" s="319"/>
      <c r="AE649" s="220"/>
      <c r="AF649" s="320"/>
      <c r="AG649" s="205"/>
      <c r="AH649" s="205"/>
      <c r="AI649" s="205"/>
      <c r="AJ649" s="205"/>
      <c r="AK649" s="205"/>
      <c r="AL649" s="205"/>
      <c r="AM649" s="205"/>
      <c r="AN649" s="205"/>
      <c r="AO649" s="205"/>
      <c r="AP649" s="205"/>
      <c r="AQ649" s="205"/>
      <c r="AR649" s="205"/>
      <c r="AS649" s="205"/>
      <c r="AT649" s="205"/>
      <c r="AU649" s="205"/>
      <c r="AV649" s="205"/>
      <c r="AW649" s="205"/>
      <c r="AX649" s="205"/>
      <c r="AY649" s="205"/>
      <c r="AZ649" s="205"/>
      <c r="BA649" s="205"/>
      <c r="BB649" s="205"/>
      <c r="BC649" s="205"/>
      <c r="BD649" s="205"/>
      <c r="BE649" s="205"/>
      <c r="BF649" s="205"/>
      <c r="BG649" s="205"/>
      <c r="BH649" s="205"/>
      <c r="BI649" s="319"/>
    </row>
    <row r="650" spans="3:61" ht="15" customHeight="1">
      <c r="C650" s="325"/>
      <c r="D650" s="326"/>
      <c r="E650" s="311"/>
      <c r="F650" s="311"/>
      <c r="G650" s="311"/>
      <c r="H650" s="311"/>
      <c r="I650" s="311"/>
      <c r="J650" s="317"/>
      <c r="K650" s="312"/>
      <c r="L650" s="312"/>
      <c r="M650" s="312"/>
      <c r="N650" s="312"/>
      <c r="O650" s="312"/>
      <c r="P650" s="322" t="str">
        <f t="shared" si="29"/>
        <v/>
      </c>
      <c r="Q650" s="208" t="str">
        <f t="shared" si="27"/>
        <v/>
      </c>
      <c r="R650" s="208"/>
      <c r="S650" s="323" t="str">
        <f t="shared" si="28"/>
        <v/>
      </c>
      <c r="U650" s="322"/>
      <c r="V650" s="791"/>
      <c r="W650" s="792"/>
      <c r="X650" s="480"/>
      <c r="Y650" s="480"/>
      <c r="Z650" s="480"/>
      <c r="AA650" s="323"/>
      <c r="AB650" s="220"/>
      <c r="AC650" s="322"/>
      <c r="AD650" s="323"/>
      <c r="AE650" s="220"/>
      <c r="AF650" s="324"/>
      <c r="AG650" s="208"/>
      <c r="AH650" s="208"/>
      <c r="AI650" s="208"/>
      <c r="AJ650" s="208"/>
      <c r="AK650" s="208"/>
      <c r="AL650" s="208"/>
      <c r="AM650" s="208"/>
      <c r="AN650" s="208"/>
      <c r="AO650" s="208"/>
      <c r="AP650" s="208"/>
      <c r="AQ650" s="208"/>
      <c r="AR650" s="208"/>
      <c r="AS650" s="208"/>
      <c r="AT650" s="208"/>
      <c r="AU650" s="208"/>
      <c r="AV650" s="208"/>
      <c r="AW650" s="208"/>
      <c r="AX650" s="208"/>
      <c r="AY650" s="208"/>
      <c r="AZ650" s="208"/>
      <c r="BA650" s="208"/>
      <c r="BB650" s="208"/>
      <c r="BC650" s="208"/>
      <c r="BD650" s="208"/>
      <c r="BE650" s="208"/>
      <c r="BF650" s="208"/>
      <c r="BG650" s="208"/>
      <c r="BH650" s="208"/>
      <c r="BI650" s="323"/>
    </row>
    <row r="651" spans="3:61" ht="15" customHeight="1">
      <c r="C651" s="325"/>
      <c r="D651" s="326"/>
      <c r="E651" s="311"/>
      <c r="F651" s="311"/>
      <c r="G651" s="311"/>
      <c r="H651" s="311"/>
      <c r="I651" s="311"/>
      <c r="J651" s="317"/>
      <c r="K651" s="312"/>
      <c r="L651" s="312"/>
      <c r="M651" s="312"/>
      <c r="N651" s="312"/>
      <c r="O651" s="312"/>
      <c r="P651" s="318" t="str">
        <f t="shared" si="29"/>
        <v/>
      </c>
      <c r="Q651" s="205" t="str">
        <f t="shared" ref="Q651:Q714" si="30">IF($AA651 = "", "", $AA651/$AA$10*100)</f>
        <v/>
      </c>
      <c r="R651" s="205"/>
      <c r="S651" s="319" t="str">
        <f t="shared" ref="S651:S714" si="31">IF($AD651 = "", "", $AD651/$AD$10*100)</f>
        <v/>
      </c>
      <c r="U651" s="318"/>
      <c r="V651" s="794"/>
      <c r="W651" s="795"/>
      <c r="X651" s="482"/>
      <c r="Y651" s="482"/>
      <c r="Z651" s="482"/>
      <c r="AA651" s="319"/>
      <c r="AB651" s="220"/>
      <c r="AC651" s="318"/>
      <c r="AD651" s="319"/>
      <c r="AE651" s="220"/>
      <c r="AF651" s="320"/>
      <c r="AG651" s="205"/>
      <c r="AH651" s="205"/>
      <c r="AI651" s="205"/>
      <c r="AJ651" s="205"/>
      <c r="AK651" s="205"/>
      <c r="AL651" s="205"/>
      <c r="AM651" s="205"/>
      <c r="AN651" s="205"/>
      <c r="AO651" s="205"/>
      <c r="AP651" s="205"/>
      <c r="AQ651" s="205"/>
      <c r="AR651" s="205"/>
      <c r="AS651" s="205"/>
      <c r="AT651" s="205"/>
      <c r="AU651" s="205"/>
      <c r="AV651" s="205"/>
      <c r="AW651" s="205"/>
      <c r="AX651" s="205"/>
      <c r="AY651" s="205"/>
      <c r="AZ651" s="205"/>
      <c r="BA651" s="205"/>
      <c r="BB651" s="205"/>
      <c r="BC651" s="205"/>
      <c r="BD651" s="205"/>
      <c r="BE651" s="205"/>
      <c r="BF651" s="205"/>
      <c r="BG651" s="205"/>
      <c r="BH651" s="205"/>
      <c r="BI651" s="319"/>
    </row>
    <row r="652" spans="3:61" ht="15" customHeight="1">
      <c r="C652" s="325"/>
      <c r="D652" s="326"/>
      <c r="E652" s="311"/>
      <c r="F652" s="311"/>
      <c r="G652" s="311"/>
      <c r="H652" s="311"/>
      <c r="I652" s="311"/>
      <c r="J652" s="317"/>
      <c r="K652" s="312"/>
      <c r="L652" s="312"/>
      <c r="M652" s="312"/>
      <c r="N652" s="312"/>
      <c r="O652" s="312"/>
      <c r="P652" s="322" t="str">
        <f t="shared" ref="P652:P715" si="32">IF(U652="", "", U652)</f>
        <v/>
      </c>
      <c r="Q652" s="208" t="str">
        <f t="shared" si="30"/>
        <v/>
      </c>
      <c r="R652" s="208"/>
      <c r="S652" s="323" t="str">
        <f t="shared" si="31"/>
        <v/>
      </c>
      <c r="U652" s="322"/>
      <c r="V652" s="791"/>
      <c r="W652" s="792"/>
      <c r="X652" s="480"/>
      <c r="Y652" s="480"/>
      <c r="Z652" s="480"/>
      <c r="AA652" s="323"/>
      <c r="AB652" s="220"/>
      <c r="AC652" s="322"/>
      <c r="AD652" s="323"/>
      <c r="AE652" s="220"/>
      <c r="AF652" s="324"/>
      <c r="AG652" s="208"/>
      <c r="AH652" s="208"/>
      <c r="AI652" s="208"/>
      <c r="AJ652" s="208"/>
      <c r="AK652" s="208"/>
      <c r="AL652" s="208"/>
      <c r="AM652" s="208"/>
      <c r="AN652" s="208"/>
      <c r="AO652" s="208"/>
      <c r="AP652" s="208"/>
      <c r="AQ652" s="208"/>
      <c r="AR652" s="208"/>
      <c r="AS652" s="208"/>
      <c r="AT652" s="208"/>
      <c r="AU652" s="208"/>
      <c r="AV652" s="208"/>
      <c r="AW652" s="208"/>
      <c r="AX652" s="208"/>
      <c r="AY652" s="208"/>
      <c r="AZ652" s="208"/>
      <c r="BA652" s="208"/>
      <c r="BB652" s="208"/>
      <c r="BC652" s="208"/>
      <c r="BD652" s="208"/>
      <c r="BE652" s="208"/>
      <c r="BF652" s="208"/>
      <c r="BG652" s="208"/>
      <c r="BH652" s="208"/>
      <c r="BI652" s="323"/>
    </row>
    <row r="653" spans="3:61" ht="15" customHeight="1">
      <c r="C653" s="325"/>
      <c r="D653" s="326"/>
      <c r="E653" s="311"/>
      <c r="F653" s="311"/>
      <c r="G653" s="311"/>
      <c r="H653" s="311"/>
      <c r="I653" s="311"/>
      <c r="J653" s="317"/>
      <c r="K653" s="312"/>
      <c r="L653" s="312"/>
      <c r="M653" s="312"/>
      <c r="N653" s="312"/>
      <c r="O653" s="312"/>
      <c r="P653" s="318" t="str">
        <f t="shared" si="32"/>
        <v/>
      </c>
      <c r="Q653" s="205" t="str">
        <f t="shared" si="30"/>
        <v/>
      </c>
      <c r="R653" s="205"/>
      <c r="S653" s="319" t="str">
        <f t="shared" si="31"/>
        <v/>
      </c>
      <c r="U653" s="318"/>
      <c r="V653" s="794"/>
      <c r="W653" s="795"/>
      <c r="X653" s="482"/>
      <c r="Y653" s="482"/>
      <c r="Z653" s="482"/>
      <c r="AA653" s="319"/>
      <c r="AB653" s="220"/>
      <c r="AC653" s="318"/>
      <c r="AD653" s="319"/>
      <c r="AE653" s="220"/>
      <c r="AF653" s="320"/>
      <c r="AG653" s="205"/>
      <c r="AH653" s="205"/>
      <c r="AI653" s="205"/>
      <c r="AJ653" s="205"/>
      <c r="AK653" s="205"/>
      <c r="AL653" s="205"/>
      <c r="AM653" s="205"/>
      <c r="AN653" s="205"/>
      <c r="AO653" s="205"/>
      <c r="AP653" s="205"/>
      <c r="AQ653" s="205"/>
      <c r="AR653" s="205"/>
      <c r="AS653" s="205"/>
      <c r="AT653" s="205"/>
      <c r="AU653" s="205"/>
      <c r="AV653" s="205"/>
      <c r="AW653" s="205"/>
      <c r="AX653" s="205"/>
      <c r="AY653" s="205"/>
      <c r="AZ653" s="205"/>
      <c r="BA653" s="205"/>
      <c r="BB653" s="205"/>
      <c r="BC653" s="205"/>
      <c r="BD653" s="205"/>
      <c r="BE653" s="205"/>
      <c r="BF653" s="205"/>
      <c r="BG653" s="205"/>
      <c r="BH653" s="205"/>
      <c r="BI653" s="319"/>
    </row>
    <row r="654" spans="3:61" ht="15" customHeight="1">
      <c r="C654" s="325"/>
      <c r="D654" s="326"/>
      <c r="E654" s="311"/>
      <c r="F654" s="311"/>
      <c r="G654" s="311"/>
      <c r="H654" s="311"/>
      <c r="I654" s="311"/>
      <c r="J654" s="317"/>
      <c r="K654" s="312"/>
      <c r="L654" s="312"/>
      <c r="M654" s="312"/>
      <c r="N654" s="312"/>
      <c r="O654" s="312"/>
      <c r="P654" s="322" t="str">
        <f t="shared" si="32"/>
        <v/>
      </c>
      <c r="Q654" s="208" t="str">
        <f t="shared" si="30"/>
        <v/>
      </c>
      <c r="R654" s="208"/>
      <c r="S654" s="323" t="str">
        <f t="shared" si="31"/>
        <v/>
      </c>
      <c r="U654" s="322"/>
      <c r="V654" s="791"/>
      <c r="W654" s="792"/>
      <c r="X654" s="480"/>
      <c r="Y654" s="480"/>
      <c r="Z654" s="480"/>
      <c r="AA654" s="323"/>
      <c r="AB654" s="220"/>
      <c r="AC654" s="322"/>
      <c r="AD654" s="323"/>
      <c r="AE654" s="220"/>
      <c r="AF654" s="324"/>
      <c r="AG654" s="208"/>
      <c r="AH654" s="208"/>
      <c r="AI654" s="208"/>
      <c r="AJ654" s="208"/>
      <c r="AK654" s="208"/>
      <c r="AL654" s="208"/>
      <c r="AM654" s="208"/>
      <c r="AN654" s="208"/>
      <c r="AO654" s="208"/>
      <c r="AP654" s="208"/>
      <c r="AQ654" s="208"/>
      <c r="AR654" s="208"/>
      <c r="AS654" s="208"/>
      <c r="AT654" s="208"/>
      <c r="AU654" s="208"/>
      <c r="AV654" s="208"/>
      <c r="AW654" s="208"/>
      <c r="AX654" s="208"/>
      <c r="AY654" s="208"/>
      <c r="AZ654" s="208"/>
      <c r="BA654" s="208"/>
      <c r="BB654" s="208"/>
      <c r="BC654" s="208"/>
      <c r="BD654" s="208"/>
      <c r="BE654" s="208"/>
      <c r="BF654" s="208"/>
      <c r="BG654" s="208"/>
      <c r="BH654" s="208"/>
      <c r="BI654" s="323"/>
    </row>
    <row r="655" spans="3:61" ht="15" customHeight="1">
      <c r="C655" s="325"/>
      <c r="D655" s="326"/>
      <c r="E655" s="311"/>
      <c r="F655" s="311"/>
      <c r="G655" s="311"/>
      <c r="H655" s="311"/>
      <c r="I655" s="311"/>
      <c r="J655" s="317"/>
      <c r="K655" s="312"/>
      <c r="L655" s="312"/>
      <c r="M655" s="312"/>
      <c r="N655" s="312"/>
      <c r="O655" s="312"/>
      <c r="P655" s="318" t="str">
        <f t="shared" si="32"/>
        <v/>
      </c>
      <c r="Q655" s="205" t="str">
        <f t="shared" si="30"/>
        <v/>
      </c>
      <c r="R655" s="205"/>
      <c r="S655" s="319" t="str">
        <f t="shared" si="31"/>
        <v/>
      </c>
      <c r="U655" s="318"/>
      <c r="V655" s="794"/>
      <c r="W655" s="795"/>
      <c r="X655" s="482"/>
      <c r="Y655" s="482"/>
      <c r="Z655" s="482"/>
      <c r="AA655" s="319"/>
      <c r="AB655" s="220"/>
      <c r="AC655" s="318"/>
      <c r="AD655" s="319"/>
      <c r="AE655" s="220"/>
      <c r="AF655" s="320"/>
      <c r="AG655" s="205"/>
      <c r="AH655" s="205"/>
      <c r="AI655" s="205"/>
      <c r="AJ655" s="205"/>
      <c r="AK655" s="205"/>
      <c r="AL655" s="205"/>
      <c r="AM655" s="205"/>
      <c r="AN655" s="205"/>
      <c r="AO655" s="205"/>
      <c r="AP655" s="205"/>
      <c r="AQ655" s="205"/>
      <c r="AR655" s="205"/>
      <c r="AS655" s="205"/>
      <c r="AT655" s="205"/>
      <c r="AU655" s="205"/>
      <c r="AV655" s="205"/>
      <c r="AW655" s="205"/>
      <c r="AX655" s="205"/>
      <c r="AY655" s="205"/>
      <c r="AZ655" s="205"/>
      <c r="BA655" s="205"/>
      <c r="BB655" s="205"/>
      <c r="BC655" s="205"/>
      <c r="BD655" s="205"/>
      <c r="BE655" s="205"/>
      <c r="BF655" s="205"/>
      <c r="BG655" s="205"/>
      <c r="BH655" s="205"/>
      <c r="BI655" s="319"/>
    </row>
    <row r="656" spans="3:61" ht="15" customHeight="1">
      <c r="C656" s="325"/>
      <c r="D656" s="326"/>
      <c r="E656" s="311"/>
      <c r="F656" s="311"/>
      <c r="G656" s="311"/>
      <c r="H656" s="311"/>
      <c r="I656" s="311"/>
      <c r="J656" s="317"/>
      <c r="K656" s="312"/>
      <c r="L656" s="312"/>
      <c r="M656" s="312"/>
      <c r="N656" s="312"/>
      <c r="O656" s="312"/>
      <c r="P656" s="322" t="str">
        <f t="shared" si="32"/>
        <v/>
      </c>
      <c r="Q656" s="208" t="str">
        <f t="shared" si="30"/>
        <v/>
      </c>
      <c r="R656" s="208"/>
      <c r="S656" s="323" t="str">
        <f t="shared" si="31"/>
        <v/>
      </c>
      <c r="U656" s="322"/>
      <c r="V656" s="791"/>
      <c r="W656" s="792"/>
      <c r="X656" s="480"/>
      <c r="Y656" s="480"/>
      <c r="Z656" s="480"/>
      <c r="AA656" s="323"/>
      <c r="AB656" s="220"/>
      <c r="AC656" s="322"/>
      <c r="AD656" s="323"/>
      <c r="AE656" s="220"/>
      <c r="AF656" s="324"/>
      <c r="AG656" s="208"/>
      <c r="AH656" s="208"/>
      <c r="AI656" s="208"/>
      <c r="AJ656" s="208"/>
      <c r="AK656" s="208"/>
      <c r="AL656" s="208"/>
      <c r="AM656" s="208"/>
      <c r="AN656" s="208"/>
      <c r="AO656" s="208"/>
      <c r="AP656" s="208"/>
      <c r="AQ656" s="208"/>
      <c r="AR656" s="208"/>
      <c r="AS656" s="208"/>
      <c r="AT656" s="208"/>
      <c r="AU656" s="208"/>
      <c r="AV656" s="208"/>
      <c r="AW656" s="208"/>
      <c r="AX656" s="208"/>
      <c r="AY656" s="208"/>
      <c r="AZ656" s="208"/>
      <c r="BA656" s="208"/>
      <c r="BB656" s="208"/>
      <c r="BC656" s="208"/>
      <c r="BD656" s="208"/>
      <c r="BE656" s="208"/>
      <c r="BF656" s="208"/>
      <c r="BG656" s="208"/>
      <c r="BH656" s="208"/>
      <c r="BI656" s="323"/>
    </row>
    <row r="657" spans="3:61" ht="15" customHeight="1">
      <c r="C657" s="325"/>
      <c r="D657" s="326"/>
      <c r="E657" s="311"/>
      <c r="F657" s="311"/>
      <c r="G657" s="311"/>
      <c r="H657" s="311"/>
      <c r="I657" s="311"/>
      <c r="J657" s="317"/>
      <c r="K657" s="312"/>
      <c r="L657" s="312"/>
      <c r="M657" s="312"/>
      <c r="N657" s="312"/>
      <c r="O657" s="312"/>
      <c r="P657" s="318" t="str">
        <f t="shared" si="32"/>
        <v/>
      </c>
      <c r="Q657" s="205" t="str">
        <f t="shared" si="30"/>
        <v/>
      </c>
      <c r="R657" s="205"/>
      <c r="S657" s="319" t="str">
        <f t="shared" si="31"/>
        <v/>
      </c>
      <c r="U657" s="318"/>
      <c r="V657" s="794"/>
      <c r="W657" s="795"/>
      <c r="X657" s="482"/>
      <c r="Y657" s="482"/>
      <c r="Z657" s="482"/>
      <c r="AA657" s="319"/>
      <c r="AB657" s="220"/>
      <c r="AC657" s="318"/>
      <c r="AD657" s="319"/>
      <c r="AE657" s="220"/>
      <c r="AF657" s="320"/>
      <c r="AG657" s="205"/>
      <c r="AH657" s="205"/>
      <c r="AI657" s="205"/>
      <c r="AJ657" s="205"/>
      <c r="AK657" s="205"/>
      <c r="AL657" s="205"/>
      <c r="AM657" s="205"/>
      <c r="AN657" s="205"/>
      <c r="AO657" s="205"/>
      <c r="AP657" s="205"/>
      <c r="AQ657" s="205"/>
      <c r="AR657" s="205"/>
      <c r="AS657" s="205"/>
      <c r="AT657" s="205"/>
      <c r="AU657" s="205"/>
      <c r="AV657" s="205"/>
      <c r="AW657" s="205"/>
      <c r="AX657" s="205"/>
      <c r="AY657" s="205"/>
      <c r="AZ657" s="205"/>
      <c r="BA657" s="205"/>
      <c r="BB657" s="205"/>
      <c r="BC657" s="205"/>
      <c r="BD657" s="205"/>
      <c r="BE657" s="205"/>
      <c r="BF657" s="205"/>
      <c r="BG657" s="205"/>
      <c r="BH657" s="205"/>
      <c r="BI657" s="319"/>
    </row>
    <row r="658" spans="3:61" ht="15" customHeight="1">
      <c r="C658" s="325"/>
      <c r="D658" s="326"/>
      <c r="E658" s="311"/>
      <c r="F658" s="311"/>
      <c r="G658" s="311"/>
      <c r="H658" s="311"/>
      <c r="I658" s="311"/>
      <c r="J658" s="317"/>
      <c r="K658" s="312"/>
      <c r="L658" s="312"/>
      <c r="M658" s="312"/>
      <c r="N658" s="312"/>
      <c r="O658" s="312"/>
      <c r="P658" s="322" t="str">
        <f t="shared" si="32"/>
        <v/>
      </c>
      <c r="Q658" s="208" t="str">
        <f t="shared" si="30"/>
        <v/>
      </c>
      <c r="R658" s="208"/>
      <c r="S658" s="323" t="str">
        <f t="shared" si="31"/>
        <v/>
      </c>
      <c r="U658" s="322"/>
      <c r="V658" s="791"/>
      <c r="W658" s="792"/>
      <c r="X658" s="480"/>
      <c r="Y658" s="480"/>
      <c r="Z658" s="480"/>
      <c r="AA658" s="323"/>
      <c r="AB658" s="220"/>
      <c r="AC658" s="322"/>
      <c r="AD658" s="323"/>
      <c r="AE658" s="220"/>
      <c r="AF658" s="324"/>
      <c r="AG658" s="208"/>
      <c r="AH658" s="208"/>
      <c r="AI658" s="208"/>
      <c r="AJ658" s="208"/>
      <c r="AK658" s="208"/>
      <c r="AL658" s="208"/>
      <c r="AM658" s="208"/>
      <c r="AN658" s="208"/>
      <c r="AO658" s="208"/>
      <c r="AP658" s="208"/>
      <c r="AQ658" s="208"/>
      <c r="AR658" s="208"/>
      <c r="AS658" s="208"/>
      <c r="AT658" s="208"/>
      <c r="AU658" s="208"/>
      <c r="AV658" s="208"/>
      <c r="AW658" s="208"/>
      <c r="AX658" s="208"/>
      <c r="AY658" s="208"/>
      <c r="AZ658" s="208"/>
      <c r="BA658" s="208"/>
      <c r="BB658" s="208"/>
      <c r="BC658" s="208"/>
      <c r="BD658" s="208"/>
      <c r="BE658" s="208"/>
      <c r="BF658" s="208"/>
      <c r="BG658" s="208"/>
      <c r="BH658" s="208"/>
      <c r="BI658" s="323"/>
    </row>
    <row r="659" spans="3:61" ht="15" customHeight="1">
      <c r="C659" s="325"/>
      <c r="D659" s="326"/>
      <c r="E659" s="311"/>
      <c r="F659" s="311"/>
      <c r="G659" s="311"/>
      <c r="H659" s="311"/>
      <c r="I659" s="311"/>
      <c r="J659" s="317"/>
      <c r="K659" s="312"/>
      <c r="L659" s="312"/>
      <c r="M659" s="312"/>
      <c r="N659" s="312"/>
      <c r="O659" s="312"/>
      <c r="P659" s="318" t="str">
        <f t="shared" si="32"/>
        <v/>
      </c>
      <c r="Q659" s="205" t="str">
        <f t="shared" si="30"/>
        <v/>
      </c>
      <c r="R659" s="205"/>
      <c r="S659" s="319" t="str">
        <f t="shared" si="31"/>
        <v/>
      </c>
      <c r="U659" s="318"/>
      <c r="V659" s="794"/>
      <c r="W659" s="795"/>
      <c r="X659" s="482"/>
      <c r="Y659" s="482"/>
      <c r="Z659" s="482"/>
      <c r="AA659" s="319"/>
      <c r="AB659" s="220"/>
      <c r="AC659" s="318"/>
      <c r="AD659" s="319"/>
      <c r="AE659" s="220"/>
      <c r="AF659" s="320"/>
      <c r="AG659" s="205"/>
      <c r="AH659" s="205"/>
      <c r="AI659" s="205"/>
      <c r="AJ659" s="205"/>
      <c r="AK659" s="205"/>
      <c r="AL659" s="205"/>
      <c r="AM659" s="205"/>
      <c r="AN659" s="205"/>
      <c r="AO659" s="205"/>
      <c r="AP659" s="205"/>
      <c r="AQ659" s="205"/>
      <c r="AR659" s="205"/>
      <c r="AS659" s="205"/>
      <c r="AT659" s="205"/>
      <c r="AU659" s="205"/>
      <c r="AV659" s="205"/>
      <c r="AW659" s="205"/>
      <c r="AX659" s="205"/>
      <c r="AY659" s="205"/>
      <c r="AZ659" s="205"/>
      <c r="BA659" s="205"/>
      <c r="BB659" s="205"/>
      <c r="BC659" s="205"/>
      <c r="BD659" s="205"/>
      <c r="BE659" s="205"/>
      <c r="BF659" s="205"/>
      <c r="BG659" s="205"/>
      <c r="BH659" s="205"/>
      <c r="BI659" s="319"/>
    </row>
    <row r="660" spans="3:61" ht="15" customHeight="1">
      <c r="C660" s="325"/>
      <c r="D660" s="326"/>
      <c r="E660" s="311"/>
      <c r="F660" s="311"/>
      <c r="G660" s="311"/>
      <c r="H660" s="311"/>
      <c r="I660" s="311"/>
      <c r="J660" s="317"/>
      <c r="K660" s="312"/>
      <c r="L660" s="312"/>
      <c r="M660" s="312"/>
      <c r="N660" s="312"/>
      <c r="O660" s="312"/>
      <c r="P660" s="322" t="str">
        <f t="shared" si="32"/>
        <v/>
      </c>
      <c r="Q660" s="208" t="str">
        <f t="shared" si="30"/>
        <v/>
      </c>
      <c r="R660" s="208"/>
      <c r="S660" s="323" t="str">
        <f t="shared" si="31"/>
        <v/>
      </c>
      <c r="U660" s="322"/>
      <c r="V660" s="791"/>
      <c r="W660" s="792"/>
      <c r="X660" s="480"/>
      <c r="Y660" s="480"/>
      <c r="Z660" s="480"/>
      <c r="AA660" s="323"/>
      <c r="AB660" s="220"/>
      <c r="AC660" s="322"/>
      <c r="AD660" s="323"/>
      <c r="AE660" s="220"/>
      <c r="AF660" s="324"/>
      <c r="AG660" s="208"/>
      <c r="AH660" s="208"/>
      <c r="AI660" s="208"/>
      <c r="AJ660" s="208"/>
      <c r="AK660" s="208"/>
      <c r="AL660" s="208"/>
      <c r="AM660" s="208"/>
      <c r="AN660" s="208"/>
      <c r="AO660" s="208"/>
      <c r="AP660" s="208"/>
      <c r="AQ660" s="208"/>
      <c r="AR660" s="208"/>
      <c r="AS660" s="208"/>
      <c r="AT660" s="208"/>
      <c r="AU660" s="208"/>
      <c r="AV660" s="208"/>
      <c r="AW660" s="208"/>
      <c r="AX660" s="208"/>
      <c r="AY660" s="208"/>
      <c r="AZ660" s="208"/>
      <c r="BA660" s="208"/>
      <c r="BB660" s="208"/>
      <c r="BC660" s="208"/>
      <c r="BD660" s="208"/>
      <c r="BE660" s="208"/>
      <c r="BF660" s="208"/>
      <c r="BG660" s="208"/>
      <c r="BH660" s="208"/>
      <c r="BI660" s="323"/>
    </row>
    <row r="661" spans="3:61" ht="15" customHeight="1">
      <c r="C661" s="325"/>
      <c r="D661" s="326"/>
      <c r="E661" s="311"/>
      <c r="F661" s="311"/>
      <c r="G661" s="311"/>
      <c r="H661" s="311"/>
      <c r="I661" s="311"/>
      <c r="J661" s="317"/>
      <c r="K661" s="312"/>
      <c r="L661" s="312"/>
      <c r="M661" s="312"/>
      <c r="N661" s="312"/>
      <c r="O661" s="312"/>
      <c r="P661" s="318" t="str">
        <f t="shared" si="32"/>
        <v/>
      </c>
      <c r="Q661" s="205" t="str">
        <f t="shared" si="30"/>
        <v/>
      </c>
      <c r="R661" s="205"/>
      <c r="S661" s="319" t="str">
        <f t="shared" si="31"/>
        <v/>
      </c>
      <c r="U661" s="318"/>
      <c r="V661" s="794"/>
      <c r="W661" s="795"/>
      <c r="X661" s="482"/>
      <c r="Y661" s="482"/>
      <c r="Z661" s="482"/>
      <c r="AA661" s="319"/>
      <c r="AB661" s="220"/>
      <c r="AC661" s="318"/>
      <c r="AD661" s="319"/>
      <c r="AE661" s="220"/>
      <c r="AF661" s="320"/>
      <c r="AG661" s="205"/>
      <c r="AH661" s="205"/>
      <c r="AI661" s="205"/>
      <c r="AJ661" s="205"/>
      <c r="AK661" s="205"/>
      <c r="AL661" s="205"/>
      <c r="AM661" s="205"/>
      <c r="AN661" s="205"/>
      <c r="AO661" s="205"/>
      <c r="AP661" s="205"/>
      <c r="AQ661" s="205"/>
      <c r="AR661" s="205"/>
      <c r="AS661" s="205"/>
      <c r="AT661" s="205"/>
      <c r="AU661" s="205"/>
      <c r="AV661" s="205"/>
      <c r="AW661" s="205"/>
      <c r="AX661" s="205"/>
      <c r="AY661" s="205"/>
      <c r="AZ661" s="205"/>
      <c r="BA661" s="205"/>
      <c r="BB661" s="205"/>
      <c r="BC661" s="205"/>
      <c r="BD661" s="205"/>
      <c r="BE661" s="205"/>
      <c r="BF661" s="205"/>
      <c r="BG661" s="205"/>
      <c r="BH661" s="205"/>
      <c r="BI661" s="319"/>
    </row>
    <row r="662" spans="3:61" ht="15" customHeight="1">
      <c r="C662" s="325"/>
      <c r="D662" s="326"/>
      <c r="E662" s="311"/>
      <c r="F662" s="311"/>
      <c r="G662" s="311"/>
      <c r="H662" s="311"/>
      <c r="I662" s="311"/>
      <c r="J662" s="317"/>
      <c r="K662" s="312"/>
      <c r="L662" s="312"/>
      <c r="M662" s="312"/>
      <c r="N662" s="312"/>
      <c r="O662" s="312"/>
      <c r="P662" s="322" t="str">
        <f t="shared" si="32"/>
        <v/>
      </c>
      <c r="Q662" s="208" t="str">
        <f t="shared" si="30"/>
        <v/>
      </c>
      <c r="R662" s="208"/>
      <c r="S662" s="323" t="str">
        <f t="shared" si="31"/>
        <v/>
      </c>
      <c r="U662" s="322"/>
      <c r="V662" s="791"/>
      <c r="W662" s="792"/>
      <c r="X662" s="480"/>
      <c r="Y662" s="480"/>
      <c r="Z662" s="480"/>
      <c r="AA662" s="323"/>
      <c r="AB662" s="220"/>
      <c r="AC662" s="322"/>
      <c r="AD662" s="323"/>
      <c r="AE662" s="220"/>
      <c r="AF662" s="324"/>
      <c r="AG662" s="208"/>
      <c r="AH662" s="208"/>
      <c r="AI662" s="208"/>
      <c r="AJ662" s="208"/>
      <c r="AK662" s="208"/>
      <c r="AL662" s="208"/>
      <c r="AM662" s="208"/>
      <c r="AN662" s="208"/>
      <c r="AO662" s="208"/>
      <c r="AP662" s="208"/>
      <c r="AQ662" s="208"/>
      <c r="AR662" s="208"/>
      <c r="AS662" s="208"/>
      <c r="AT662" s="208"/>
      <c r="AU662" s="208"/>
      <c r="AV662" s="208"/>
      <c r="AW662" s="208"/>
      <c r="AX662" s="208"/>
      <c r="AY662" s="208"/>
      <c r="AZ662" s="208"/>
      <c r="BA662" s="208"/>
      <c r="BB662" s="208"/>
      <c r="BC662" s="208"/>
      <c r="BD662" s="208"/>
      <c r="BE662" s="208"/>
      <c r="BF662" s="208"/>
      <c r="BG662" s="208"/>
      <c r="BH662" s="208"/>
      <c r="BI662" s="323"/>
    </row>
    <row r="663" spans="3:61" ht="15" customHeight="1">
      <c r="C663" s="325"/>
      <c r="D663" s="326"/>
      <c r="E663" s="311"/>
      <c r="F663" s="311"/>
      <c r="G663" s="311"/>
      <c r="H663" s="311"/>
      <c r="I663" s="311"/>
      <c r="J663" s="317"/>
      <c r="K663" s="312"/>
      <c r="L663" s="312"/>
      <c r="M663" s="312"/>
      <c r="N663" s="312"/>
      <c r="O663" s="312"/>
      <c r="P663" s="318" t="str">
        <f t="shared" si="32"/>
        <v/>
      </c>
      <c r="Q663" s="205" t="str">
        <f t="shared" si="30"/>
        <v/>
      </c>
      <c r="R663" s="205"/>
      <c r="S663" s="319" t="str">
        <f t="shared" si="31"/>
        <v/>
      </c>
      <c r="U663" s="318"/>
      <c r="V663" s="794"/>
      <c r="W663" s="795"/>
      <c r="X663" s="482"/>
      <c r="Y663" s="482"/>
      <c r="Z663" s="482"/>
      <c r="AA663" s="319"/>
      <c r="AB663" s="220"/>
      <c r="AC663" s="318"/>
      <c r="AD663" s="319"/>
      <c r="AE663" s="220"/>
      <c r="AF663" s="320"/>
      <c r="AG663" s="205"/>
      <c r="AH663" s="205"/>
      <c r="AI663" s="205"/>
      <c r="AJ663" s="205"/>
      <c r="AK663" s="205"/>
      <c r="AL663" s="205"/>
      <c r="AM663" s="205"/>
      <c r="AN663" s="205"/>
      <c r="AO663" s="205"/>
      <c r="AP663" s="205"/>
      <c r="AQ663" s="205"/>
      <c r="AR663" s="205"/>
      <c r="AS663" s="205"/>
      <c r="AT663" s="205"/>
      <c r="AU663" s="205"/>
      <c r="AV663" s="205"/>
      <c r="AW663" s="205"/>
      <c r="AX663" s="205"/>
      <c r="AY663" s="205"/>
      <c r="AZ663" s="205"/>
      <c r="BA663" s="205"/>
      <c r="BB663" s="205"/>
      <c r="BC663" s="205"/>
      <c r="BD663" s="205"/>
      <c r="BE663" s="205"/>
      <c r="BF663" s="205"/>
      <c r="BG663" s="205"/>
      <c r="BH663" s="205"/>
      <c r="BI663" s="319"/>
    </row>
    <row r="664" spans="3:61" ht="15" customHeight="1">
      <c r="C664" s="325"/>
      <c r="D664" s="326"/>
      <c r="E664" s="311"/>
      <c r="F664" s="311"/>
      <c r="G664" s="311"/>
      <c r="H664" s="311"/>
      <c r="I664" s="311"/>
      <c r="J664" s="317"/>
      <c r="K664" s="312"/>
      <c r="L664" s="312"/>
      <c r="M664" s="312"/>
      <c r="N664" s="312"/>
      <c r="O664" s="312"/>
      <c r="P664" s="322" t="str">
        <f t="shared" si="32"/>
        <v/>
      </c>
      <c r="Q664" s="208" t="str">
        <f t="shared" si="30"/>
        <v/>
      </c>
      <c r="R664" s="208"/>
      <c r="S664" s="323" t="str">
        <f t="shared" si="31"/>
        <v/>
      </c>
      <c r="U664" s="322"/>
      <c r="V664" s="791"/>
      <c r="W664" s="792"/>
      <c r="X664" s="480"/>
      <c r="Y664" s="480"/>
      <c r="Z664" s="480"/>
      <c r="AA664" s="323"/>
      <c r="AB664" s="220"/>
      <c r="AC664" s="322"/>
      <c r="AD664" s="323"/>
      <c r="AE664" s="220"/>
      <c r="AF664" s="324"/>
      <c r="AG664" s="208"/>
      <c r="AH664" s="208"/>
      <c r="AI664" s="208"/>
      <c r="AJ664" s="208"/>
      <c r="AK664" s="208"/>
      <c r="AL664" s="208"/>
      <c r="AM664" s="208"/>
      <c r="AN664" s="208"/>
      <c r="AO664" s="208"/>
      <c r="AP664" s="208"/>
      <c r="AQ664" s="208"/>
      <c r="AR664" s="208"/>
      <c r="AS664" s="208"/>
      <c r="AT664" s="208"/>
      <c r="AU664" s="208"/>
      <c r="AV664" s="208"/>
      <c r="AW664" s="208"/>
      <c r="AX664" s="208"/>
      <c r="AY664" s="208"/>
      <c r="AZ664" s="208"/>
      <c r="BA664" s="208"/>
      <c r="BB664" s="208"/>
      <c r="BC664" s="208"/>
      <c r="BD664" s="208"/>
      <c r="BE664" s="208"/>
      <c r="BF664" s="208"/>
      <c r="BG664" s="208"/>
      <c r="BH664" s="208"/>
      <c r="BI664" s="323"/>
    </row>
    <row r="665" spans="3:61" ht="15" customHeight="1">
      <c r="C665" s="325"/>
      <c r="D665" s="326"/>
      <c r="E665" s="311"/>
      <c r="F665" s="311"/>
      <c r="G665" s="311"/>
      <c r="H665" s="311"/>
      <c r="I665" s="311"/>
      <c r="J665" s="317"/>
      <c r="K665" s="312"/>
      <c r="L665" s="312"/>
      <c r="M665" s="312"/>
      <c r="N665" s="312"/>
      <c r="O665" s="312"/>
      <c r="P665" s="318" t="str">
        <f t="shared" si="32"/>
        <v/>
      </c>
      <c r="Q665" s="205" t="str">
        <f t="shared" si="30"/>
        <v/>
      </c>
      <c r="R665" s="205"/>
      <c r="S665" s="319" t="str">
        <f t="shared" si="31"/>
        <v/>
      </c>
      <c r="U665" s="318"/>
      <c r="V665" s="794"/>
      <c r="W665" s="795"/>
      <c r="X665" s="482"/>
      <c r="Y665" s="482"/>
      <c r="Z665" s="482"/>
      <c r="AA665" s="319"/>
      <c r="AB665" s="220"/>
      <c r="AC665" s="318"/>
      <c r="AD665" s="319"/>
      <c r="AE665" s="220"/>
      <c r="AF665" s="320"/>
      <c r="AG665" s="205"/>
      <c r="AH665" s="205"/>
      <c r="AI665" s="205"/>
      <c r="AJ665" s="205"/>
      <c r="AK665" s="205"/>
      <c r="AL665" s="205"/>
      <c r="AM665" s="205"/>
      <c r="AN665" s="205"/>
      <c r="AO665" s="205"/>
      <c r="AP665" s="205"/>
      <c r="AQ665" s="205"/>
      <c r="AR665" s="205"/>
      <c r="AS665" s="205"/>
      <c r="AT665" s="205"/>
      <c r="AU665" s="205"/>
      <c r="AV665" s="205"/>
      <c r="AW665" s="205"/>
      <c r="AX665" s="205"/>
      <c r="AY665" s="205"/>
      <c r="AZ665" s="205"/>
      <c r="BA665" s="205"/>
      <c r="BB665" s="205"/>
      <c r="BC665" s="205"/>
      <c r="BD665" s="205"/>
      <c r="BE665" s="205"/>
      <c r="BF665" s="205"/>
      <c r="BG665" s="205"/>
      <c r="BH665" s="205"/>
      <c r="BI665" s="319"/>
    </row>
    <row r="666" spans="3:61" ht="15" customHeight="1">
      <c r="C666" s="325"/>
      <c r="D666" s="326"/>
      <c r="E666" s="311"/>
      <c r="F666" s="311"/>
      <c r="G666" s="311"/>
      <c r="H666" s="311"/>
      <c r="I666" s="311"/>
      <c r="J666" s="317"/>
      <c r="K666" s="312"/>
      <c r="L666" s="312"/>
      <c r="M666" s="312"/>
      <c r="N666" s="312"/>
      <c r="O666" s="312"/>
      <c r="P666" s="322" t="str">
        <f t="shared" si="32"/>
        <v/>
      </c>
      <c r="Q666" s="208" t="str">
        <f t="shared" si="30"/>
        <v/>
      </c>
      <c r="R666" s="208"/>
      <c r="S666" s="323" t="str">
        <f t="shared" si="31"/>
        <v/>
      </c>
      <c r="U666" s="322"/>
      <c r="V666" s="791"/>
      <c r="W666" s="792"/>
      <c r="X666" s="480"/>
      <c r="Y666" s="480"/>
      <c r="Z666" s="480"/>
      <c r="AA666" s="323"/>
      <c r="AB666" s="220"/>
      <c r="AC666" s="322"/>
      <c r="AD666" s="323"/>
      <c r="AE666" s="220"/>
      <c r="AF666" s="324"/>
      <c r="AG666" s="208"/>
      <c r="AH666" s="208"/>
      <c r="AI666" s="208"/>
      <c r="AJ666" s="208"/>
      <c r="AK666" s="208"/>
      <c r="AL666" s="208"/>
      <c r="AM666" s="208"/>
      <c r="AN666" s="208"/>
      <c r="AO666" s="208"/>
      <c r="AP666" s="208"/>
      <c r="AQ666" s="208"/>
      <c r="AR666" s="208"/>
      <c r="AS666" s="208"/>
      <c r="AT666" s="208"/>
      <c r="AU666" s="208"/>
      <c r="AV666" s="208"/>
      <c r="AW666" s="208"/>
      <c r="AX666" s="208"/>
      <c r="AY666" s="208"/>
      <c r="AZ666" s="208"/>
      <c r="BA666" s="208"/>
      <c r="BB666" s="208"/>
      <c r="BC666" s="208"/>
      <c r="BD666" s="208"/>
      <c r="BE666" s="208"/>
      <c r="BF666" s="208"/>
      <c r="BG666" s="208"/>
      <c r="BH666" s="208"/>
      <c r="BI666" s="323"/>
    </row>
    <row r="667" spans="3:61" ht="15" customHeight="1">
      <c r="C667" s="325"/>
      <c r="D667" s="326"/>
      <c r="E667" s="311"/>
      <c r="F667" s="311"/>
      <c r="G667" s="311"/>
      <c r="H667" s="311"/>
      <c r="I667" s="311"/>
      <c r="J667" s="317"/>
      <c r="K667" s="312"/>
      <c r="L667" s="312"/>
      <c r="M667" s="312"/>
      <c r="N667" s="312"/>
      <c r="O667" s="312"/>
      <c r="P667" s="318" t="str">
        <f t="shared" si="32"/>
        <v/>
      </c>
      <c r="Q667" s="205" t="str">
        <f t="shared" si="30"/>
        <v/>
      </c>
      <c r="R667" s="205"/>
      <c r="S667" s="319" t="str">
        <f t="shared" si="31"/>
        <v/>
      </c>
      <c r="U667" s="318"/>
      <c r="V667" s="794"/>
      <c r="W667" s="795"/>
      <c r="X667" s="482"/>
      <c r="Y667" s="482"/>
      <c r="Z667" s="482"/>
      <c r="AA667" s="319"/>
      <c r="AB667" s="220"/>
      <c r="AC667" s="318"/>
      <c r="AD667" s="319"/>
      <c r="AE667" s="220"/>
      <c r="AF667" s="320"/>
      <c r="AG667" s="205"/>
      <c r="AH667" s="205"/>
      <c r="AI667" s="205"/>
      <c r="AJ667" s="205"/>
      <c r="AK667" s="205"/>
      <c r="AL667" s="205"/>
      <c r="AM667" s="205"/>
      <c r="AN667" s="205"/>
      <c r="AO667" s="205"/>
      <c r="AP667" s="205"/>
      <c r="AQ667" s="205"/>
      <c r="AR667" s="205"/>
      <c r="AS667" s="205"/>
      <c r="AT667" s="205"/>
      <c r="AU667" s="205"/>
      <c r="AV667" s="205"/>
      <c r="AW667" s="205"/>
      <c r="AX667" s="205"/>
      <c r="AY667" s="205"/>
      <c r="AZ667" s="205"/>
      <c r="BA667" s="205"/>
      <c r="BB667" s="205"/>
      <c r="BC667" s="205"/>
      <c r="BD667" s="205"/>
      <c r="BE667" s="205"/>
      <c r="BF667" s="205"/>
      <c r="BG667" s="205"/>
      <c r="BH667" s="205"/>
      <c r="BI667" s="319"/>
    </row>
    <row r="668" spans="3:61" ht="15" customHeight="1">
      <c r="C668" s="325"/>
      <c r="D668" s="326"/>
      <c r="E668" s="311"/>
      <c r="F668" s="311"/>
      <c r="G668" s="311"/>
      <c r="H668" s="311"/>
      <c r="I668" s="311"/>
      <c r="J668" s="317"/>
      <c r="K668" s="312"/>
      <c r="L668" s="312"/>
      <c r="M668" s="312"/>
      <c r="N668" s="312"/>
      <c r="O668" s="312"/>
      <c r="P668" s="322" t="str">
        <f t="shared" si="32"/>
        <v/>
      </c>
      <c r="Q668" s="208" t="str">
        <f t="shared" si="30"/>
        <v/>
      </c>
      <c r="R668" s="208"/>
      <c r="S668" s="323" t="str">
        <f t="shared" si="31"/>
        <v/>
      </c>
      <c r="U668" s="322"/>
      <c r="V668" s="791"/>
      <c r="W668" s="792"/>
      <c r="X668" s="480"/>
      <c r="Y668" s="480"/>
      <c r="Z668" s="480"/>
      <c r="AA668" s="323"/>
      <c r="AB668" s="220"/>
      <c r="AC668" s="322"/>
      <c r="AD668" s="323"/>
      <c r="AE668" s="220"/>
      <c r="AF668" s="324"/>
      <c r="AG668" s="208"/>
      <c r="AH668" s="208"/>
      <c r="AI668" s="208"/>
      <c r="AJ668" s="208"/>
      <c r="AK668" s="208"/>
      <c r="AL668" s="208"/>
      <c r="AM668" s="208"/>
      <c r="AN668" s="208"/>
      <c r="AO668" s="208"/>
      <c r="AP668" s="208"/>
      <c r="AQ668" s="208"/>
      <c r="AR668" s="208"/>
      <c r="AS668" s="208"/>
      <c r="AT668" s="208"/>
      <c r="AU668" s="208"/>
      <c r="AV668" s="208"/>
      <c r="AW668" s="208"/>
      <c r="AX668" s="208"/>
      <c r="AY668" s="208"/>
      <c r="AZ668" s="208"/>
      <c r="BA668" s="208"/>
      <c r="BB668" s="208"/>
      <c r="BC668" s="208"/>
      <c r="BD668" s="208"/>
      <c r="BE668" s="208"/>
      <c r="BF668" s="208"/>
      <c r="BG668" s="208"/>
      <c r="BH668" s="208"/>
      <c r="BI668" s="323"/>
    </row>
    <row r="669" spans="3:61" ht="15" customHeight="1">
      <c r="C669" s="325"/>
      <c r="D669" s="326"/>
      <c r="E669" s="311"/>
      <c r="F669" s="311"/>
      <c r="G669" s="311"/>
      <c r="H669" s="311"/>
      <c r="I669" s="311"/>
      <c r="J669" s="317"/>
      <c r="K669" s="312"/>
      <c r="L669" s="312"/>
      <c r="M669" s="312"/>
      <c r="N669" s="312"/>
      <c r="O669" s="312"/>
      <c r="P669" s="318" t="str">
        <f t="shared" si="32"/>
        <v/>
      </c>
      <c r="Q669" s="205" t="str">
        <f t="shared" si="30"/>
        <v/>
      </c>
      <c r="R669" s="205"/>
      <c r="S669" s="319" t="str">
        <f t="shared" si="31"/>
        <v/>
      </c>
      <c r="U669" s="318"/>
      <c r="V669" s="794"/>
      <c r="W669" s="795"/>
      <c r="X669" s="482"/>
      <c r="Y669" s="482"/>
      <c r="Z669" s="482"/>
      <c r="AA669" s="319"/>
      <c r="AB669" s="220"/>
      <c r="AC669" s="318"/>
      <c r="AD669" s="319"/>
      <c r="AE669" s="220"/>
      <c r="AF669" s="320"/>
      <c r="AG669" s="205"/>
      <c r="AH669" s="205"/>
      <c r="AI669" s="205"/>
      <c r="AJ669" s="205"/>
      <c r="AK669" s="205"/>
      <c r="AL669" s="205"/>
      <c r="AM669" s="205"/>
      <c r="AN669" s="205"/>
      <c r="AO669" s="205"/>
      <c r="AP669" s="205"/>
      <c r="AQ669" s="205"/>
      <c r="AR669" s="205"/>
      <c r="AS669" s="205"/>
      <c r="AT669" s="205"/>
      <c r="AU669" s="205"/>
      <c r="AV669" s="205"/>
      <c r="AW669" s="205"/>
      <c r="AX669" s="205"/>
      <c r="AY669" s="205"/>
      <c r="AZ669" s="205"/>
      <c r="BA669" s="205"/>
      <c r="BB669" s="205"/>
      <c r="BC669" s="205"/>
      <c r="BD669" s="205"/>
      <c r="BE669" s="205"/>
      <c r="BF669" s="205"/>
      <c r="BG669" s="205"/>
      <c r="BH669" s="205"/>
      <c r="BI669" s="319"/>
    </row>
    <row r="670" spans="3:61" ht="15" customHeight="1">
      <c r="C670" s="325"/>
      <c r="D670" s="326"/>
      <c r="E670" s="311"/>
      <c r="F670" s="311"/>
      <c r="G670" s="311"/>
      <c r="H670" s="311"/>
      <c r="I670" s="311"/>
      <c r="J670" s="317"/>
      <c r="K670" s="312"/>
      <c r="L670" s="312"/>
      <c r="M670" s="312"/>
      <c r="N670" s="312"/>
      <c r="O670" s="312"/>
      <c r="P670" s="322" t="str">
        <f t="shared" si="32"/>
        <v/>
      </c>
      <c r="Q670" s="208" t="str">
        <f t="shared" si="30"/>
        <v/>
      </c>
      <c r="R670" s="208"/>
      <c r="S670" s="323" t="str">
        <f t="shared" si="31"/>
        <v/>
      </c>
      <c r="U670" s="322"/>
      <c r="V670" s="791"/>
      <c r="W670" s="792"/>
      <c r="X670" s="480"/>
      <c r="Y670" s="480"/>
      <c r="Z670" s="480"/>
      <c r="AA670" s="323"/>
      <c r="AB670" s="220"/>
      <c r="AC670" s="322"/>
      <c r="AD670" s="323"/>
      <c r="AE670" s="220"/>
      <c r="AF670" s="324"/>
      <c r="AG670" s="208"/>
      <c r="AH670" s="208"/>
      <c r="AI670" s="208"/>
      <c r="AJ670" s="208"/>
      <c r="AK670" s="208"/>
      <c r="AL670" s="208"/>
      <c r="AM670" s="208"/>
      <c r="AN670" s="208"/>
      <c r="AO670" s="208"/>
      <c r="AP670" s="208"/>
      <c r="AQ670" s="208"/>
      <c r="AR670" s="208"/>
      <c r="AS670" s="208"/>
      <c r="AT670" s="208"/>
      <c r="AU670" s="208"/>
      <c r="AV670" s="208"/>
      <c r="AW670" s="208"/>
      <c r="AX670" s="208"/>
      <c r="AY670" s="208"/>
      <c r="AZ670" s="208"/>
      <c r="BA670" s="208"/>
      <c r="BB670" s="208"/>
      <c r="BC670" s="208"/>
      <c r="BD670" s="208"/>
      <c r="BE670" s="208"/>
      <c r="BF670" s="208"/>
      <c r="BG670" s="208"/>
      <c r="BH670" s="208"/>
      <c r="BI670" s="323"/>
    </row>
    <row r="671" spans="3:61" ht="15" customHeight="1">
      <c r="C671" s="325"/>
      <c r="D671" s="326"/>
      <c r="E671" s="311"/>
      <c r="F671" s="311"/>
      <c r="G671" s="311"/>
      <c r="H671" s="311"/>
      <c r="I671" s="311"/>
      <c r="J671" s="317"/>
      <c r="K671" s="312"/>
      <c r="L671" s="312"/>
      <c r="M671" s="312"/>
      <c r="N671" s="312"/>
      <c r="O671" s="312"/>
      <c r="P671" s="318" t="str">
        <f t="shared" si="32"/>
        <v/>
      </c>
      <c r="Q671" s="205" t="str">
        <f t="shared" si="30"/>
        <v/>
      </c>
      <c r="R671" s="205"/>
      <c r="S671" s="319" t="str">
        <f t="shared" si="31"/>
        <v/>
      </c>
      <c r="U671" s="318"/>
      <c r="V671" s="794"/>
      <c r="W671" s="795"/>
      <c r="X671" s="482"/>
      <c r="Y671" s="482"/>
      <c r="Z671" s="482"/>
      <c r="AA671" s="319"/>
      <c r="AB671" s="220"/>
      <c r="AC671" s="318"/>
      <c r="AD671" s="319"/>
      <c r="AE671" s="220"/>
      <c r="AF671" s="320"/>
      <c r="AG671" s="205"/>
      <c r="AH671" s="205"/>
      <c r="AI671" s="205"/>
      <c r="AJ671" s="205"/>
      <c r="AK671" s="205"/>
      <c r="AL671" s="205"/>
      <c r="AM671" s="205"/>
      <c r="AN671" s="205"/>
      <c r="AO671" s="205"/>
      <c r="AP671" s="205"/>
      <c r="AQ671" s="205"/>
      <c r="AR671" s="205"/>
      <c r="AS671" s="205"/>
      <c r="AT671" s="205"/>
      <c r="AU671" s="205"/>
      <c r="AV671" s="205"/>
      <c r="AW671" s="205"/>
      <c r="AX671" s="205"/>
      <c r="AY671" s="205"/>
      <c r="AZ671" s="205"/>
      <c r="BA671" s="205"/>
      <c r="BB671" s="205"/>
      <c r="BC671" s="205"/>
      <c r="BD671" s="205"/>
      <c r="BE671" s="205"/>
      <c r="BF671" s="205"/>
      <c r="BG671" s="205"/>
      <c r="BH671" s="205"/>
      <c r="BI671" s="319"/>
    </row>
    <row r="672" spans="3:61" ht="15" customHeight="1">
      <c r="C672" s="325"/>
      <c r="D672" s="326"/>
      <c r="E672" s="311"/>
      <c r="F672" s="311"/>
      <c r="G672" s="311"/>
      <c r="H672" s="311"/>
      <c r="I672" s="311"/>
      <c r="J672" s="317"/>
      <c r="K672" s="312"/>
      <c r="L672" s="312"/>
      <c r="M672" s="312"/>
      <c r="N672" s="312"/>
      <c r="O672" s="312"/>
      <c r="P672" s="322" t="str">
        <f t="shared" si="32"/>
        <v/>
      </c>
      <c r="Q672" s="208" t="str">
        <f t="shared" si="30"/>
        <v/>
      </c>
      <c r="R672" s="208"/>
      <c r="S672" s="323" t="str">
        <f t="shared" si="31"/>
        <v/>
      </c>
      <c r="U672" s="322"/>
      <c r="V672" s="791"/>
      <c r="W672" s="792"/>
      <c r="X672" s="480"/>
      <c r="Y672" s="480"/>
      <c r="Z672" s="480"/>
      <c r="AA672" s="323"/>
      <c r="AB672" s="220"/>
      <c r="AC672" s="322"/>
      <c r="AD672" s="323"/>
      <c r="AE672" s="220"/>
      <c r="AF672" s="324"/>
      <c r="AG672" s="208"/>
      <c r="AH672" s="208"/>
      <c r="AI672" s="208"/>
      <c r="AJ672" s="208"/>
      <c r="AK672" s="208"/>
      <c r="AL672" s="208"/>
      <c r="AM672" s="208"/>
      <c r="AN672" s="208"/>
      <c r="AO672" s="208"/>
      <c r="AP672" s="208"/>
      <c r="AQ672" s="208"/>
      <c r="AR672" s="208"/>
      <c r="AS672" s="208"/>
      <c r="AT672" s="208"/>
      <c r="AU672" s="208"/>
      <c r="AV672" s="208"/>
      <c r="AW672" s="208"/>
      <c r="AX672" s="208"/>
      <c r="AY672" s="208"/>
      <c r="AZ672" s="208"/>
      <c r="BA672" s="208"/>
      <c r="BB672" s="208"/>
      <c r="BC672" s="208"/>
      <c r="BD672" s="208"/>
      <c r="BE672" s="208"/>
      <c r="BF672" s="208"/>
      <c r="BG672" s="208"/>
      <c r="BH672" s="208"/>
      <c r="BI672" s="323"/>
    </row>
    <row r="673" spans="3:61" ht="15" customHeight="1">
      <c r="C673" s="325"/>
      <c r="D673" s="326"/>
      <c r="E673" s="311"/>
      <c r="F673" s="311"/>
      <c r="G673" s="311"/>
      <c r="H673" s="311"/>
      <c r="I673" s="311"/>
      <c r="J673" s="317"/>
      <c r="K673" s="312"/>
      <c r="L673" s="312"/>
      <c r="M673" s="312"/>
      <c r="N673" s="312"/>
      <c r="O673" s="312"/>
      <c r="P673" s="318" t="str">
        <f t="shared" si="32"/>
        <v/>
      </c>
      <c r="Q673" s="205" t="str">
        <f t="shared" si="30"/>
        <v/>
      </c>
      <c r="R673" s="205"/>
      <c r="S673" s="319" t="str">
        <f t="shared" si="31"/>
        <v/>
      </c>
      <c r="U673" s="318"/>
      <c r="V673" s="794"/>
      <c r="W673" s="795"/>
      <c r="X673" s="482"/>
      <c r="Y673" s="482"/>
      <c r="Z673" s="482"/>
      <c r="AA673" s="319"/>
      <c r="AB673" s="220"/>
      <c r="AC673" s="318"/>
      <c r="AD673" s="319"/>
      <c r="AE673" s="220"/>
      <c r="AF673" s="320"/>
      <c r="AG673" s="205"/>
      <c r="AH673" s="205"/>
      <c r="AI673" s="205"/>
      <c r="AJ673" s="205"/>
      <c r="AK673" s="205"/>
      <c r="AL673" s="205"/>
      <c r="AM673" s="205"/>
      <c r="AN673" s="205"/>
      <c r="AO673" s="205"/>
      <c r="AP673" s="205"/>
      <c r="AQ673" s="205"/>
      <c r="AR673" s="205"/>
      <c r="AS673" s="205"/>
      <c r="AT673" s="205"/>
      <c r="AU673" s="205"/>
      <c r="AV673" s="205"/>
      <c r="AW673" s="205"/>
      <c r="AX673" s="205"/>
      <c r="AY673" s="205"/>
      <c r="AZ673" s="205"/>
      <c r="BA673" s="205"/>
      <c r="BB673" s="205"/>
      <c r="BC673" s="205"/>
      <c r="BD673" s="205"/>
      <c r="BE673" s="205"/>
      <c r="BF673" s="205"/>
      <c r="BG673" s="205"/>
      <c r="BH673" s="205"/>
      <c r="BI673" s="319"/>
    </row>
    <row r="674" spans="3:61" ht="15" customHeight="1">
      <c r="C674" s="325"/>
      <c r="D674" s="326"/>
      <c r="E674" s="311"/>
      <c r="F674" s="311"/>
      <c r="G674" s="311"/>
      <c r="H674" s="311"/>
      <c r="I674" s="311"/>
      <c r="J674" s="317"/>
      <c r="K674" s="312"/>
      <c r="L674" s="312"/>
      <c r="M674" s="312"/>
      <c r="N674" s="312"/>
      <c r="O674" s="312"/>
      <c r="P674" s="322" t="str">
        <f t="shared" si="32"/>
        <v/>
      </c>
      <c r="Q674" s="208" t="str">
        <f t="shared" si="30"/>
        <v/>
      </c>
      <c r="R674" s="208"/>
      <c r="S674" s="323" t="str">
        <f t="shared" si="31"/>
        <v/>
      </c>
      <c r="U674" s="322"/>
      <c r="V674" s="791"/>
      <c r="W674" s="792"/>
      <c r="X674" s="480"/>
      <c r="Y674" s="480"/>
      <c r="Z674" s="480"/>
      <c r="AA674" s="323"/>
      <c r="AB674" s="220"/>
      <c r="AC674" s="322"/>
      <c r="AD674" s="323"/>
      <c r="AE674" s="220"/>
      <c r="AF674" s="324"/>
      <c r="AG674" s="208"/>
      <c r="AH674" s="208"/>
      <c r="AI674" s="208"/>
      <c r="AJ674" s="208"/>
      <c r="AK674" s="208"/>
      <c r="AL674" s="208"/>
      <c r="AM674" s="208"/>
      <c r="AN674" s="208"/>
      <c r="AO674" s="208"/>
      <c r="AP674" s="208"/>
      <c r="AQ674" s="208"/>
      <c r="AR674" s="208"/>
      <c r="AS674" s="208"/>
      <c r="AT674" s="208"/>
      <c r="AU674" s="208"/>
      <c r="AV674" s="208"/>
      <c r="AW674" s="208"/>
      <c r="AX674" s="208"/>
      <c r="AY674" s="208"/>
      <c r="AZ674" s="208"/>
      <c r="BA674" s="208"/>
      <c r="BB674" s="208"/>
      <c r="BC674" s="208"/>
      <c r="BD674" s="208"/>
      <c r="BE674" s="208"/>
      <c r="BF674" s="208"/>
      <c r="BG674" s="208"/>
      <c r="BH674" s="208"/>
      <c r="BI674" s="323"/>
    </row>
    <row r="675" spans="3:61" ht="15" customHeight="1">
      <c r="C675" s="325"/>
      <c r="D675" s="326"/>
      <c r="E675" s="311"/>
      <c r="F675" s="311"/>
      <c r="G675" s="311"/>
      <c r="H675" s="311"/>
      <c r="I675" s="311"/>
      <c r="J675" s="317"/>
      <c r="K675" s="312"/>
      <c r="L675" s="312"/>
      <c r="M675" s="312"/>
      <c r="N675" s="312"/>
      <c r="O675" s="312"/>
      <c r="P675" s="318" t="str">
        <f t="shared" si="32"/>
        <v/>
      </c>
      <c r="Q675" s="205" t="str">
        <f t="shared" si="30"/>
        <v/>
      </c>
      <c r="R675" s="205"/>
      <c r="S675" s="319" t="str">
        <f t="shared" si="31"/>
        <v/>
      </c>
      <c r="U675" s="318"/>
      <c r="V675" s="794"/>
      <c r="W675" s="795"/>
      <c r="X675" s="482"/>
      <c r="Y675" s="482"/>
      <c r="Z675" s="482"/>
      <c r="AA675" s="319"/>
      <c r="AB675" s="220"/>
      <c r="AC675" s="318"/>
      <c r="AD675" s="319"/>
      <c r="AE675" s="220"/>
      <c r="AF675" s="320"/>
      <c r="AG675" s="205"/>
      <c r="AH675" s="205"/>
      <c r="AI675" s="205"/>
      <c r="AJ675" s="205"/>
      <c r="AK675" s="205"/>
      <c r="AL675" s="205"/>
      <c r="AM675" s="205"/>
      <c r="AN675" s="205"/>
      <c r="AO675" s="205"/>
      <c r="AP675" s="205"/>
      <c r="AQ675" s="205"/>
      <c r="AR675" s="205"/>
      <c r="AS675" s="205"/>
      <c r="AT675" s="205"/>
      <c r="AU675" s="205"/>
      <c r="AV675" s="205"/>
      <c r="AW675" s="205"/>
      <c r="AX675" s="205"/>
      <c r="AY675" s="205"/>
      <c r="AZ675" s="205"/>
      <c r="BA675" s="205"/>
      <c r="BB675" s="205"/>
      <c r="BC675" s="205"/>
      <c r="BD675" s="205"/>
      <c r="BE675" s="205"/>
      <c r="BF675" s="205"/>
      <c r="BG675" s="205"/>
      <c r="BH675" s="205"/>
      <c r="BI675" s="319"/>
    </row>
    <row r="676" spans="3:61" ht="15" customHeight="1">
      <c r="C676" s="325"/>
      <c r="D676" s="326"/>
      <c r="E676" s="311"/>
      <c r="F676" s="311"/>
      <c r="G676" s="311"/>
      <c r="H676" s="311"/>
      <c r="I676" s="311"/>
      <c r="J676" s="317"/>
      <c r="K676" s="312"/>
      <c r="L676" s="312"/>
      <c r="M676" s="312"/>
      <c r="N676" s="312"/>
      <c r="O676" s="312"/>
      <c r="P676" s="322" t="str">
        <f t="shared" si="32"/>
        <v/>
      </c>
      <c r="Q676" s="208" t="str">
        <f t="shared" si="30"/>
        <v/>
      </c>
      <c r="R676" s="208"/>
      <c r="S676" s="323" t="str">
        <f t="shared" si="31"/>
        <v/>
      </c>
      <c r="U676" s="322"/>
      <c r="V676" s="791"/>
      <c r="W676" s="792"/>
      <c r="X676" s="480"/>
      <c r="Y676" s="480"/>
      <c r="Z676" s="480"/>
      <c r="AA676" s="323"/>
      <c r="AB676" s="220"/>
      <c r="AC676" s="322"/>
      <c r="AD676" s="323"/>
      <c r="AE676" s="220"/>
      <c r="AF676" s="324"/>
      <c r="AG676" s="208"/>
      <c r="AH676" s="208"/>
      <c r="AI676" s="208"/>
      <c r="AJ676" s="208"/>
      <c r="AK676" s="208"/>
      <c r="AL676" s="208"/>
      <c r="AM676" s="208"/>
      <c r="AN676" s="208"/>
      <c r="AO676" s="208"/>
      <c r="AP676" s="208"/>
      <c r="AQ676" s="208"/>
      <c r="AR676" s="208"/>
      <c r="AS676" s="208"/>
      <c r="AT676" s="208"/>
      <c r="AU676" s="208"/>
      <c r="AV676" s="208"/>
      <c r="AW676" s="208"/>
      <c r="AX676" s="208"/>
      <c r="AY676" s="208"/>
      <c r="AZ676" s="208"/>
      <c r="BA676" s="208"/>
      <c r="BB676" s="208"/>
      <c r="BC676" s="208"/>
      <c r="BD676" s="208"/>
      <c r="BE676" s="208"/>
      <c r="BF676" s="208"/>
      <c r="BG676" s="208"/>
      <c r="BH676" s="208"/>
      <c r="BI676" s="323"/>
    </row>
    <row r="677" spans="3:61" ht="15" customHeight="1">
      <c r="C677" s="325"/>
      <c r="D677" s="326"/>
      <c r="E677" s="311"/>
      <c r="F677" s="311"/>
      <c r="G677" s="311"/>
      <c r="H677" s="311"/>
      <c r="I677" s="311"/>
      <c r="J677" s="317"/>
      <c r="K677" s="312"/>
      <c r="L677" s="312"/>
      <c r="M677" s="312"/>
      <c r="N677" s="312"/>
      <c r="O677" s="312"/>
      <c r="P677" s="318" t="str">
        <f t="shared" si="32"/>
        <v/>
      </c>
      <c r="Q677" s="205" t="str">
        <f t="shared" si="30"/>
        <v/>
      </c>
      <c r="R677" s="205"/>
      <c r="S677" s="319" t="str">
        <f t="shared" si="31"/>
        <v/>
      </c>
      <c r="U677" s="318"/>
      <c r="V677" s="794"/>
      <c r="W677" s="795"/>
      <c r="X677" s="482"/>
      <c r="Y677" s="482"/>
      <c r="Z677" s="482"/>
      <c r="AA677" s="319"/>
      <c r="AB677" s="220"/>
      <c r="AC677" s="318"/>
      <c r="AD677" s="319"/>
      <c r="AE677" s="220"/>
      <c r="AF677" s="320"/>
      <c r="AG677" s="205"/>
      <c r="AH677" s="205"/>
      <c r="AI677" s="205"/>
      <c r="AJ677" s="205"/>
      <c r="AK677" s="205"/>
      <c r="AL677" s="205"/>
      <c r="AM677" s="205"/>
      <c r="AN677" s="205"/>
      <c r="AO677" s="205"/>
      <c r="AP677" s="205"/>
      <c r="AQ677" s="205"/>
      <c r="AR677" s="205"/>
      <c r="AS677" s="205"/>
      <c r="AT677" s="205"/>
      <c r="AU677" s="205"/>
      <c r="AV677" s="205"/>
      <c r="AW677" s="205"/>
      <c r="AX677" s="205"/>
      <c r="AY677" s="205"/>
      <c r="AZ677" s="205"/>
      <c r="BA677" s="205"/>
      <c r="BB677" s="205"/>
      <c r="BC677" s="205"/>
      <c r="BD677" s="205"/>
      <c r="BE677" s="205"/>
      <c r="BF677" s="205"/>
      <c r="BG677" s="205"/>
      <c r="BH677" s="205"/>
      <c r="BI677" s="319"/>
    </row>
    <row r="678" spans="3:61" ht="15" customHeight="1">
      <c r="C678" s="325"/>
      <c r="D678" s="326"/>
      <c r="E678" s="311"/>
      <c r="F678" s="311"/>
      <c r="G678" s="311"/>
      <c r="H678" s="311"/>
      <c r="I678" s="311"/>
      <c r="J678" s="317"/>
      <c r="K678" s="312"/>
      <c r="L678" s="312"/>
      <c r="M678" s="312"/>
      <c r="N678" s="312"/>
      <c r="O678" s="312"/>
      <c r="P678" s="322" t="str">
        <f t="shared" si="32"/>
        <v/>
      </c>
      <c r="Q678" s="208" t="str">
        <f t="shared" si="30"/>
        <v/>
      </c>
      <c r="R678" s="208"/>
      <c r="S678" s="323" t="str">
        <f t="shared" si="31"/>
        <v/>
      </c>
      <c r="U678" s="322"/>
      <c r="V678" s="791"/>
      <c r="W678" s="792"/>
      <c r="X678" s="480"/>
      <c r="Y678" s="480"/>
      <c r="Z678" s="480"/>
      <c r="AA678" s="323"/>
      <c r="AB678" s="220"/>
      <c r="AC678" s="322"/>
      <c r="AD678" s="323"/>
      <c r="AE678" s="220"/>
      <c r="AF678" s="324"/>
      <c r="AG678" s="208"/>
      <c r="AH678" s="208"/>
      <c r="AI678" s="208"/>
      <c r="AJ678" s="208"/>
      <c r="AK678" s="208"/>
      <c r="AL678" s="208"/>
      <c r="AM678" s="208"/>
      <c r="AN678" s="208"/>
      <c r="AO678" s="208"/>
      <c r="AP678" s="208"/>
      <c r="AQ678" s="208"/>
      <c r="AR678" s="208"/>
      <c r="AS678" s="208"/>
      <c r="AT678" s="208"/>
      <c r="AU678" s="208"/>
      <c r="AV678" s="208"/>
      <c r="AW678" s="208"/>
      <c r="AX678" s="208"/>
      <c r="AY678" s="208"/>
      <c r="AZ678" s="208"/>
      <c r="BA678" s="208"/>
      <c r="BB678" s="208"/>
      <c r="BC678" s="208"/>
      <c r="BD678" s="208"/>
      <c r="BE678" s="208"/>
      <c r="BF678" s="208"/>
      <c r="BG678" s="208"/>
      <c r="BH678" s="208"/>
      <c r="BI678" s="323"/>
    </row>
    <row r="679" spans="3:61" ht="15" customHeight="1">
      <c r="C679" s="325"/>
      <c r="D679" s="326"/>
      <c r="E679" s="311"/>
      <c r="F679" s="311"/>
      <c r="G679" s="311"/>
      <c r="H679" s="311"/>
      <c r="I679" s="311"/>
      <c r="J679" s="317"/>
      <c r="K679" s="312"/>
      <c r="L679" s="312"/>
      <c r="M679" s="312"/>
      <c r="N679" s="312"/>
      <c r="O679" s="312"/>
      <c r="P679" s="318" t="str">
        <f t="shared" si="32"/>
        <v/>
      </c>
      <c r="Q679" s="205" t="str">
        <f t="shared" si="30"/>
        <v/>
      </c>
      <c r="R679" s="205"/>
      <c r="S679" s="319" t="str">
        <f t="shared" si="31"/>
        <v/>
      </c>
      <c r="U679" s="318"/>
      <c r="V679" s="794"/>
      <c r="W679" s="795"/>
      <c r="X679" s="482"/>
      <c r="Y679" s="482"/>
      <c r="Z679" s="482"/>
      <c r="AA679" s="319"/>
      <c r="AB679" s="220"/>
      <c r="AC679" s="318"/>
      <c r="AD679" s="319"/>
      <c r="AE679" s="220"/>
      <c r="AF679" s="320"/>
      <c r="AG679" s="205"/>
      <c r="AH679" s="205"/>
      <c r="AI679" s="205"/>
      <c r="AJ679" s="205"/>
      <c r="AK679" s="205"/>
      <c r="AL679" s="205"/>
      <c r="AM679" s="205"/>
      <c r="AN679" s="205"/>
      <c r="AO679" s="205"/>
      <c r="AP679" s="205"/>
      <c r="AQ679" s="205"/>
      <c r="AR679" s="205"/>
      <c r="AS679" s="205"/>
      <c r="AT679" s="205"/>
      <c r="AU679" s="205"/>
      <c r="AV679" s="205"/>
      <c r="AW679" s="205"/>
      <c r="AX679" s="205"/>
      <c r="AY679" s="205"/>
      <c r="AZ679" s="205"/>
      <c r="BA679" s="205"/>
      <c r="BB679" s="205"/>
      <c r="BC679" s="205"/>
      <c r="BD679" s="205"/>
      <c r="BE679" s="205"/>
      <c r="BF679" s="205"/>
      <c r="BG679" s="205"/>
      <c r="BH679" s="205"/>
      <c r="BI679" s="319"/>
    </row>
    <row r="680" spans="3:61" ht="15" customHeight="1">
      <c r="C680" s="325"/>
      <c r="D680" s="326"/>
      <c r="E680" s="311"/>
      <c r="F680" s="311"/>
      <c r="G680" s="311"/>
      <c r="H680" s="311"/>
      <c r="I680" s="311"/>
      <c r="J680" s="317"/>
      <c r="K680" s="312"/>
      <c r="L680" s="312"/>
      <c r="M680" s="312"/>
      <c r="N680" s="312"/>
      <c r="O680" s="312"/>
      <c r="P680" s="322" t="str">
        <f t="shared" si="32"/>
        <v/>
      </c>
      <c r="Q680" s="208" t="str">
        <f t="shared" si="30"/>
        <v/>
      </c>
      <c r="R680" s="208"/>
      <c r="S680" s="323" t="str">
        <f t="shared" si="31"/>
        <v/>
      </c>
      <c r="U680" s="322"/>
      <c r="V680" s="791"/>
      <c r="W680" s="792"/>
      <c r="X680" s="480"/>
      <c r="Y680" s="480"/>
      <c r="Z680" s="480"/>
      <c r="AA680" s="323"/>
      <c r="AB680" s="220"/>
      <c r="AC680" s="322"/>
      <c r="AD680" s="323"/>
      <c r="AE680" s="220"/>
      <c r="AF680" s="324"/>
      <c r="AG680" s="208"/>
      <c r="AH680" s="208"/>
      <c r="AI680" s="208"/>
      <c r="AJ680" s="208"/>
      <c r="AK680" s="208"/>
      <c r="AL680" s="208"/>
      <c r="AM680" s="208"/>
      <c r="AN680" s="208"/>
      <c r="AO680" s="208"/>
      <c r="AP680" s="208"/>
      <c r="AQ680" s="208"/>
      <c r="AR680" s="208"/>
      <c r="AS680" s="208"/>
      <c r="AT680" s="208"/>
      <c r="AU680" s="208"/>
      <c r="AV680" s="208"/>
      <c r="AW680" s="208"/>
      <c r="AX680" s="208"/>
      <c r="AY680" s="208"/>
      <c r="AZ680" s="208"/>
      <c r="BA680" s="208"/>
      <c r="BB680" s="208"/>
      <c r="BC680" s="208"/>
      <c r="BD680" s="208"/>
      <c r="BE680" s="208"/>
      <c r="BF680" s="208"/>
      <c r="BG680" s="208"/>
      <c r="BH680" s="208"/>
      <c r="BI680" s="323"/>
    </row>
    <row r="681" spans="3:61" ht="15" customHeight="1">
      <c r="C681" s="325"/>
      <c r="D681" s="326"/>
      <c r="E681" s="311"/>
      <c r="F681" s="311"/>
      <c r="G681" s="311"/>
      <c r="H681" s="311"/>
      <c r="I681" s="311"/>
      <c r="J681" s="317"/>
      <c r="K681" s="312"/>
      <c r="L681" s="312"/>
      <c r="M681" s="312"/>
      <c r="N681" s="312"/>
      <c r="O681" s="312"/>
      <c r="P681" s="318" t="str">
        <f t="shared" si="32"/>
        <v/>
      </c>
      <c r="Q681" s="205" t="str">
        <f t="shared" si="30"/>
        <v/>
      </c>
      <c r="R681" s="205"/>
      <c r="S681" s="319" t="str">
        <f t="shared" si="31"/>
        <v/>
      </c>
      <c r="U681" s="318"/>
      <c r="V681" s="794"/>
      <c r="W681" s="795"/>
      <c r="X681" s="482"/>
      <c r="Y681" s="482"/>
      <c r="Z681" s="482"/>
      <c r="AA681" s="319"/>
      <c r="AB681" s="220"/>
      <c r="AC681" s="318"/>
      <c r="AD681" s="319"/>
      <c r="AE681" s="220"/>
      <c r="AF681" s="320"/>
      <c r="AG681" s="205"/>
      <c r="AH681" s="205"/>
      <c r="AI681" s="205"/>
      <c r="AJ681" s="205"/>
      <c r="AK681" s="205"/>
      <c r="AL681" s="205"/>
      <c r="AM681" s="205"/>
      <c r="AN681" s="205"/>
      <c r="AO681" s="205"/>
      <c r="AP681" s="205"/>
      <c r="AQ681" s="205"/>
      <c r="AR681" s="205"/>
      <c r="AS681" s="205"/>
      <c r="AT681" s="205"/>
      <c r="AU681" s="205"/>
      <c r="AV681" s="205"/>
      <c r="AW681" s="205"/>
      <c r="AX681" s="205"/>
      <c r="AY681" s="205"/>
      <c r="AZ681" s="205"/>
      <c r="BA681" s="205"/>
      <c r="BB681" s="205"/>
      <c r="BC681" s="205"/>
      <c r="BD681" s="205"/>
      <c r="BE681" s="205"/>
      <c r="BF681" s="205"/>
      <c r="BG681" s="205"/>
      <c r="BH681" s="205"/>
      <c r="BI681" s="319"/>
    </row>
    <row r="682" spans="3:61" ht="15" customHeight="1">
      <c r="C682" s="325"/>
      <c r="D682" s="326"/>
      <c r="E682" s="311"/>
      <c r="F682" s="311"/>
      <c r="G682" s="311"/>
      <c r="H682" s="311"/>
      <c r="I682" s="311"/>
      <c r="J682" s="317"/>
      <c r="K682" s="312"/>
      <c r="L682" s="312"/>
      <c r="M682" s="312"/>
      <c r="N682" s="312"/>
      <c r="O682" s="312"/>
      <c r="P682" s="322" t="str">
        <f t="shared" si="32"/>
        <v/>
      </c>
      <c r="Q682" s="208" t="str">
        <f t="shared" si="30"/>
        <v/>
      </c>
      <c r="R682" s="208"/>
      <c r="S682" s="323" t="str">
        <f t="shared" si="31"/>
        <v/>
      </c>
      <c r="U682" s="322"/>
      <c r="V682" s="791"/>
      <c r="W682" s="792"/>
      <c r="X682" s="480"/>
      <c r="Y682" s="480"/>
      <c r="Z682" s="480"/>
      <c r="AA682" s="323"/>
      <c r="AB682" s="220"/>
      <c r="AC682" s="322"/>
      <c r="AD682" s="323"/>
      <c r="AE682" s="220"/>
      <c r="AF682" s="324"/>
      <c r="AG682" s="208"/>
      <c r="AH682" s="208"/>
      <c r="AI682" s="208"/>
      <c r="AJ682" s="208"/>
      <c r="AK682" s="208"/>
      <c r="AL682" s="208"/>
      <c r="AM682" s="208"/>
      <c r="AN682" s="208"/>
      <c r="AO682" s="208"/>
      <c r="AP682" s="208"/>
      <c r="AQ682" s="208"/>
      <c r="AR682" s="208"/>
      <c r="AS682" s="208"/>
      <c r="AT682" s="208"/>
      <c r="AU682" s="208"/>
      <c r="AV682" s="208"/>
      <c r="AW682" s="208"/>
      <c r="AX682" s="208"/>
      <c r="AY682" s="208"/>
      <c r="AZ682" s="208"/>
      <c r="BA682" s="208"/>
      <c r="BB682" s="208"/>
      <c r="BC682" s="208"/>
      <c r="BD682" s="208"/>
      <c r="BE682" s="208"/>
      <c r="BF682" s="208"/>
      <c r="BG682" s="208"/>
      <c r="BH682" s="208"/>
      <c r="BI682" s="323"/>
    </row>
    <row r="683" spans="3:61" ht="15" customHeight="1">
      <c r="C683" s="325"/>
      <c r="D683" s="326"/>
      <c r="E683" s="311"/>
      <c r="F683" s="311"/>
      <c r="G683" s="311"/>
      <c r="H683" s="311"/>
      <c r="I683" s="311"/>
      <c r="J683" s="317"/>
      <c r="K683" s="312"/>
      <c r="L683" s="312"/>
      <c r="M683" s="312"/>
      <c r="N683" s="312"/>
      <c r="O683" s="312"/>
      <c r="P683" s="318" t="str">
        <f t="shared" si="32"/>
        <v/>
      </c>
      <c r="Q683" s="205" t="str">
        <f t="shared" si="30"/>
        <v/>
      </c>
      <c r="R683" s="205"/>
      <c r="S683" s="319" t="str">
        <f t="shared" si="31"/>
        <v/>
      </c>
      <c r="U683" s="318"/>
      <c r="V683" s="794"/>
      <c r="W683" s="795"/>
      <c r="X683" s="482"/>
      <c r="Y683" s="482"/>
      <c r="Z683" s="482"/>
      <c r="AA683" s="319"/>
      <c r="AB683" s="220"/>
      <c r="AC683" s="318"/>
      <c r="AD683" s="319"/>
      <c r="AE683" s="220"/>
      <c r="AF683" s="320"/>
      <c r="AG683" s="205"/>
      <c r="AH683" s="205"/>
      <c r="AI683" s="205"/>
      <c r="AJ683" s="205"/>
      <c r="AK683" s="205"/>
      <c r="AL683" s="205"/>
      <c r="AM683" s="205"/>
      <c r="AN683" s="205"/>
      <c r="AO683" s="205"/>
      <c r="AP683" s="205"/>
      <c r="AQ683" s="205"/>
      <c r="AR683" s="205"/>
      <c r="AS683" s="205"/>
      <c r="AT683" s="205"/>
      <c r="AU683" s="205"/>
      <c r="AV683" s="205"/>
      <c r="AW683" s="205"/>
      <c r="AX683" s="205"/>
      <c r="AY683" s="205"/>
      <c r="AZ683" s="205"/>
      <c r="BA683" s="205"/>
      <c r="BB683" s="205"/>
      <c r="BC683" s="205"/>
      <c r="BD683" s="205"/>
      <c r="BE683" s="205"/>
      <c r="BF683" s="205"/>
      <c r="BG683" s="205"/>
      <c r="BH683" s="205"/>
      <c r="BI683" s="319"/>
    </row>
    <row r="684" spans="3:61" ht="15" customHeight="1">
      <c r="C684" s="325"/>
      <c r="D684" s="326"/>
      <c r="E684" s="311"/>
      <c r="F684" s="311"/>
      <c r="G684" s="311"/>
      <c r="H684" s="311"/>
      <c r="I684" s="311"/>
      <c r="J684" s="317"/>
      <c r="K684" s="312"/>
      <c r="L684" s="312"/>
      <c r="M684" s="312"/>
      <c r="N684" s="312"/>
      <c r="O684" s="312"/>
      <c r="P684" s="322" t="str">
        <f t="shared" si="32"/>
        <v/>
      </c>
      <c r="Q684" s="208" t="str">
        <f t="shared" si="30"/>
        <v/>
      </c>
      <c r="R684" s="208"/>
      <c r="S684" s="323" t="str">
        <f t="shared" si="31"/>
        <v/>
      </c>
      <c r="U684" s="322"/>
      <c r="V684" s="791"/>
      <c r="W684" s="792"/>
      <c r="X684" s="480"/>
      <c r="Y684" s="480"/>
      <c r="Z684" s="480"/>
      <c r="AA684" s="323"/>
      <c r="AB684" s="220"/>
      <c r="AC684" s="322"/>
      <c r="AD684" s="323"/>
      <c r="AE684" s="220"/>
      <c r="AF684" s="324"/>
      <c r="AG684" s="208"/>
      <c r="AH684" s="208"/>
      <c r="AI684" s="208"/>
      <c r="AJ684" s="208"/>
      <c r="AK684" s="208"/>
      <c r="AL684" s="208"/>
      <c r="AM684" s="208"/>
      <c r="AN684" s="208"/>
      <c r="AO684" s="208"/>
      <c r="AP684" s="208"/>
      <c r="AQ684" s="208"/>
      <c r="AR684" s="208"/>
      <c r="AS684" s="208"/>
      <c r="AT684" s="208"/>
      <c r="AU684" s="208"/>
      <c r="AV684" s="208"/>
      <c r="AW684" s="208"/>
      <c r="AX684" s="208"/>
      <c r="AY684" s="208"/>
      <c r="AZ684" s="208"/>
      <c r="BA684" s="208"/>
      <c r="BB684" s="208"/>
      <c r="BC684" s="208"/>
      <c r="BD684" s="208"/>
      <c r="BE684" s="208"/>
      <c r="BF684" s="208"/>
      <c r="BG684" s="208"/>
      <c r="BH684" s="208"/>
      <c r="BI684" s="323"/>
    </row>
    <row r="685" spans="3:61" ht="15" customHeight="1">
      <c r="C685" s="325"/>
      <c r="D685" s="326"/>
      <c r="E685" s="311"/>
      <c r="F685" s="311"/>
      <c r="G685" s="311"/>
      <c r="H685" s="311"/>
      <c r="I685" s="311"/>
      <c r="J685" s="317"/>
      <c r="K685" s="312"/>
      <c r="L685" s="312"/>
      <c r="M685" s="312"/>
      <c r="N685" s="312"/>
      <c r="O685" s="312"/>
      <c r="P685" s="318" t="str">
        <f t="shared" si="32"/>
        <v/>
      </c>
      <c r="Q685" s="205" t="str">
        <f t="shared" si="30"/>
        <v/>
      </c>
      <c r="R685" s="205"/>
      <c r="S685" s="319" t="str">
        <f t="shared" si="31"/>
        <v/>
      </c>
      <c r="U685" s="318"/>
      <c r="V685" s="794"/>
      <c r="W685" s="795"/>
      <c r="X685" s="482"/>
      <c r="Y685" s="482"/>
      <c r="Z685" s="482"/>
      <c r="AA685" s="319"/>
      <c r="AB685" s="220"/>
      <c r="AC685" s="318"/>
      <c r="AD685" s="319"/>
      <c r="AE685" s="220"/>
      <c r="AF685" s="320"/>
      <c r="AG685" s="205"/>
      <c r="AH685" s="205"/>
      <c r="AI685" s="205"/>
      <c r="AJ685" s="205"/>
      <c r="AK685" s="205"/>
      <c r="AL685" s="205"/>
      <c r="AM685" s="205"/>
      <c r="AN685" s="205"/>
      <c r="AO685" s="205"/>
      <c r="AP685" s="205"/>
      <c r="AQ685" s="205"/>
      <c r="AR685" s="205"/>
      <c r="AS685" s="205"/>
      <c r="AT685" s="205"/>
      <c r="AU685" s="205"/>
      <c r="AV685" s="205"/>
      <c r="AW685" s="205"/>
      <c r="AX685" s="205"/>
      <c r="AY685" s="205"/>
      <c r="AZ685" s="205"/>
      <c r="BA685" s="205"/>
      <c r="BB685" s="205"/>
      <c r="BC685" s="205"/>
      <c r="BD685" s="205"/>
      <c r="BE685" s="205"/>
      <c r="BF685" s="205"/>
      <c r="BG685" s="205"/>
      <c r="BH685" s="205"/>
      <c r="BI685" s="319"/>
    </row>
    <row r="686" spans="3:61" ht="15" customHeight="1">
      <c r="C686" s="325"/>
      <c r="D686" s="326"/>
      <c r="E686" s="311"/>
      <c r="F686" s="311"/>
      <c r="G686" s="311"/>
      <c r="H686" s="311"/>
      <c r="I686" s="311"/>
      <c r="J686" s="317"/>
      <c r="K686" s="312"/>
      <c r="L686" s="312"/>
      <c r="M686" s="312"/>
      <c r="N686" s="312"/>
      <c r="O686" s="312"/>
      <c r="P686" s="322" t="str">
        <f t="shared" si="32"/>
        <v/>
      </c>
      <c r="Q686" s="208" t="str">
        <f t="shared" si="30"/>
        <v/>
      </c>
      <c r="R686" s="208"/>
      <c r="S686" s="323" t="str">
        <f t="shared" si="31"/>
        <v/>
      </c>
      <c r="U686" s="322"/>
      <c r="V686" s="791"/>
      <c r="W686" s="792"/>
      <c r="X686" s="480"/>
      <c r="Y686" s="480"/>
      <c r="Z686" s="480"/>
      <c r="AA686" s="323"/>
      <c r="AB686" s="220"/>
      <c r="AC686" s="322"/>
      <c r="AD686" s="323"/>
      <c r="AE686" s="220"/>
      <c r="AF686" s="324"/>
      <c r="AG686" s="208"/>
      <c r="AH686" s="208"/>
      <c r="AI686" s="208"/>
      <c r="AJ686" s="208"/>
      <c r="AK686" s="208"/>
      <c r="AL686" s="208"/>
      <c r="AM686" s="208"/>
      <c r="AN686" s="208"/>
      <c r="AO686" s="208"/>
      <c r="AP686" s="208"/>
      <c r="AQ686" s="208"/>
      <c r="AR686" s="208"/>
      <c r="AS686" s="208"/>
      <c r="AT686" s="208"/>
      <c r="AU686" s="208"/>
      <c r="AV686" s="208"/>
      <c r="AW686" s="208"/>
      <c r="AX686" s="208"/>
      <c r="AY686" s="208"/>
      <c r="AZ686" s="208"/>
      <c r="BA686" s="208"/>
      <c r="BB686" s="208"/>
      <c r="BC686" s="208"/>
      <c r="BD686" s="208"/>
      <c r="BE686" s="208"/>
      <c r="BF686" s="208"/>
      <c r="BG686" s="208"/>
      <c r="BH686" s="208"/>
      <c r="BI686" s="323"/>
    </row>
    <row r="687" spans="3:61" ht="15" customHeight="1">
      <c r="C687" s="325"/>
      <c r="D687" s="326"/>
      <c r="E687" s="311"/>
      <c r="F687" s="311"/>
      <c r="G687" s="311"/>
      <c r="H687" s="311"/>
      <c r="I687" s="311"/>
      <c r="J687" s="317"/>
      <c r="K687" s="312"/>
      <c r="L687" s="312"/>
      <c r="M687" s="312"/>
      <c r="N687" s="312"/>
      <c r="O687" s="312"/>
      <c r="P687" s="318" t="str">
        <f t="shared" si="32"/>
        <v/>
      </c>
      <c r="Q687" s="205" t="str">
        <f t="shared" si="30"/>
        <v/>
      </c>
      <c r="R687" s="205"/>
      <c r="S687" s="319" t="str">
        <f t="shared" si="31"/>
        <v/>
      </c>
      <c r="U687" s="318"/>
      <c r="V687" s="794"/>
      <c r="W687" s="795"/>
      <c r="X687" s="482"/>
      <c r="Y687" s="482"/>
      <c r="Z687" s="482"/>
      <c r="AA687" s="319"/>
      <c r="AB687" s="220"/>
      <c r="AC687" s="318"/>
      <c r="AD687" s="319"/>
      <c r="AE687" s="220"/>
      <c r="AF687" s="320"/>
      <c r="AG687" s="205"/>
      <c r="AH687" s="205"/>
      <c r="AI687" s="205"/>
      <c r="AJ687" s="205"/>
      <c r="AK687" s="205"/>
      <c r="AL687" s="205"/>
      <c r="AM687" s="205"/>
      <c r="AN687" s="205"/>
      <c r="AO687" s="205"/>
      <c r="AP687" s="205"/>
      <c r="AQ687" s="205"/>
      <c r="AR687" s="205"/>
      <c r="AS687" s="205"/>
      <c r="AT687" s="205"/>
      <c r="AU687" s="205"/>
      <c r="AV687" s="205"/>
      <c r="AW687" s="205"/>
      <c r="AX687" s="205"/>
      <c r="AY687" s="205"/>
      <c r="AZ687" s="205"/>
      <c r="BA687" s="205"/>
      <c r="BB687" s="205"/>
      <c r="BC687" s="205"/>
      <c r="BD687" s="205"/>
      <c r="BE687" s="205"/>
      <c r="BF687" s="205"/>
      <c r="BG687" s="205"/>
      <c r="BH687" s="205"/>
      <c r="BI687" s="319"/>
    </row>
    <row r="688" spans="3:61" ht="15" customHeight="1">
      <c r="C688" s="325"/>
      <c r="D688" s="326"/>
      <c r="E688" s="311"/>
      <c r="F688" s="311"/>
      <c r="G688" s="311"/>
      <c r="H688" s="311"/>
      <c r="I688" s="311"/>
      <c r="J688" s="317"/>
      <c r="K688" s="312"/>
      <c r="L688" s="312"/>
      <c r="M688" s="312"/>
      <c r="N688" s="312"/>
      <c r="O688" s="312"/>
      <c r="P688" s="322" t="str">
        <f t="shared" si="32"/>
        <v/>
      </c>
      <c r="Q688" s="208" t="str">
        <f t="shared" si="30"/>
        <v/>
      </c>
      <c r="R688" s="208"/>
      <c r="S688" s="323" t="str">
        <f t="shared" si="31"/>
        <v/>
      </c>
      <c r="U688" s="322"/>
      <c r="V688" s="791"/>
      <c r="W688" s="792"/>
      <c r="X688" s="480"/>
      <c r="Y688" s="480"/>
      <c r="Z688" s="480"/>
      <c r="AA688" s="323"/>
      <c r="AB688" s="220"/>
      <c r="AC688" s="322"/>
      <c r="AD688" s="323"/>
      <c r="AE688" s="220"/>
      <c r="AF688" s="324"/>
      <c r="AG688" s="208"/>
      <c r="AH688" s="208"/>
      <c r="AI688" s="208"/>
      <c r="AJ688" s="208"/>
      <c r="AK688" s="208"/>
      <c r="AL688" s="208"/>
      <c r="AM688" s="208"/>
      <c r="AN688" s="208"/>
      <c r="AO688" s="208"/>
      <c r="AP688" s="208"/>
      <c r="AQ688" s="208"/>
      <c r="AR688" s="208"/>
      <c r="AS688" s="208"/>
      <c r="AT688" s="208"/>
      <c r="AU688" s="208"/>
      <c r="AV688" s="208"/>
      <c r="AW688" s="208"/>
      <c r="AX688" s="208"/>
      <c r="AY688" s="208"/>
      <c r="AZ688" s="208"/>
      <c r="BA688" s="208"/>
      <c r="BB688" s="208"/>
      <c r="BC688" s="208"/>
      <c r="BD688" s="208"/>
      <c r="BE688" s="208"/>
      <c r="BF688" s="208"/>
      <c r="BG688" s="208"/>
      <c r="BH688" s="208"/>
      <c r="BI688" s="323"/>
    </row>
    <row r="689" spans="3:61" ht="15" customHeight="1">
      <c r="C689" s="325"/>
      <c r="D689" s="326"/>
      <c r="E689" s="311"/>
      <c r="F689" s="311"/>
      <c r="G689" s="311"/>
      <c r="H689" s="311"/>
      <c r="I689" s="311"/>
      <c r="J689" s="317"/>
      <c r="K689" s="312"/>
      <c r="L689" s="312"/>
      <c r="M689" s="312"/>
      <c r="N689" s="312"/>
      <c r="O689" s="312"/>
      <c r="P689" s="318" t="str">
        <f t="shared" si="32"/>
        <v/>
      </c>
      <c r="Q689" s="205" t="str">
        <f t="shared" si="30"/>
        <v/>
      </c>
      <c r="R689" s="205"/>
      <c r="S689" s="319" t="str">
        <f t="shared" si="31"/>
        <v/>
      </c>
      <c r="U689" s="318"/>
      <c r="V689" s="794"/>
      <c r="W689" s="795"/>
      <c r="X689" s="482"/>
      <c r="Y689" s="482"/>
      <c r="Z689" s="482"/>
      <c r="AA689" s="319"/>
      <c r="AB689" s="220"/>
      <c r="AC689" s="318"/>
      <c r="AD689" s="319"/>
      <c r="AE689" s="220"/>
      <c r="AF689" s="320"/>
      <c r="AG689" s="205"/>
      <c r="AH689" s="205"/>
      <c r="AI689" s="205"/>
      <c r="AJ689" s="205"/>
      <c r="AK689" s="205"/>
      <c r="AL689" s="205"/>
      <c r="AM689" s="205"/>
      <c r="AN689" s="205"/>
      <c r="AO689" s="205"/>
      <c r="AP689" s="205"/>
      <c r="AQ689" s="205"/>
      <c r="AR689" s="205"/>
      <c r="AS689" s="205"/>
      <c r="AT689" s="205"/>
      <c r="AU689" s="205"/>
      <c r="AV689" s="205"/>
      <c r="AW689" s="205"/>
      <c r="AX689" s="205"/>
      <c r="AY689" s="205"/>
      <c r="AZ689" s="205"/>
      <c r="BA689" s="205"/>
      <c r="BB689" s="205"/>
      <c r="BC689" s="205"/>
      <c r="BD689" s="205"/>
      <c r="BE689" s="205"/>
      <c r="BF689" s="205"/>
      <c r="BG689" s="205"/>
      <c r="BH689" s="205"/>
      <c r="BI689" s="319"/>
    </row>
    <row r="690" spans="3:61" ht="15" customHeight="1">
      <c r="C690" s="325"/>
      <c r="D690" s="326"/>
      <c r="E690" s="311"/>
      <c r="F690" s="311"/>
      <c r="G690" s="311"/>
      <c r="H690" s="311"/>
      <c r="I690" s="311"/>
      <c r="J690" s="317"/>
      <c r="K690" s="312"/>
      <c r="L690" s="312"/>
      <c r="M690" s="312"/>
      <c r="N690" s="312"/>
      <c r="O690" s="312"/>
      <c r="P690" s="322" t="str">
        <f t="shared" si="32"/>
        <v/>
      </c>
      <c r="Q690" s="208" t="str">
        <f t="shared" si="30"/>
        <v/>
      </c>
      <c r="R690" s="208"/>
      <c r="S690" s="323" t="str">
        <f t="shared" si="31"/>
        <v/>
      </c>
      <c r="U690" s="322"/>
      <c r="V690" s="791"/>
      <c r="W690" s="792"/>
      <c r="X690" s="480"/>
      <c r="Y690" s="480"/>
      <c r="Z690" s="480"/>
      <c r="AA690" s="323"/>
      <c r="AB690" s="220"/>
      <c r="AC690" s="322"/>
      <c r="AD690" s="323"/>
      <c r="AE690" s="220"/>
      <c r="AF690" s="324"/>
      <c r="AG690" s="208"/>
      <c r="AH690" s="208"/>
      <c r="AI690" s="208"/>
      <c r="AJ690" s="208"/>
      <c r="AK690" s="208"/>
      <c r="AL690" s="208"/>
      <c r="AM690" s="208"/>
      <c r="AN690" s="208"/>
      <c r="AO690" s="208"/>
      <c r="AP690" s="208"/>
      <c r="AQ690" s="208"/>
      <c r="AR690" s="208"/>
      <c r="AS690" s="208"/>
      <c r="AT690" s="208"/>
      <c r="AU690" s="208"/>
      <c r="AV690" s="208"/>
      <c r="AW690" s="208"/>
      <c r="AX690" s="208"/>
      <c r="AY690" s="208"/>
      <c r="AZ690" s="208"/>
      <c r="BA690" s="208"/>
      <c r="BB690" s="208"/>
      <c r="BC690" s="208"/>
      <c r="BD690" s="208"/>
      <c r="BE690" s="208"/>
      <c r="BF690" s="208"/>
      <c r="BG690" s="208"/>
      <c r="BH690" s="208"/>
      <c r="BI690" s="323"/>
    </row>
    <row r="691" spans="3:61" ht="15" customHeight="1">
      <c r="C691" s="325"/>
      <c r="D691" s="326"/>
      <c r="E691" s="311"/>
      <c r="F691" s="311"/>
      <c r="G691" s="311"/>
      <c r="H691" s="311"/>
      <c r="I691" s="311"/>
      <c r="J691" s="317"/>
      <c r="K691" s="312"/>
      <c r="L691" s="312"/>
      <c r="M691" s="312"/>
      <c r="N691" s="312"/>
      <c r="O691" s="312"/>
      <c r="P691" s="318" t="str">
        <f t="shared" si="32"/>
        <v/>
      </c>
      <c r="Q691" s="205" t="str">
        <f t="shared" si="30"/>
        <v/>
      </c>
      <c r="R691" s="205"/>
      <c r="S691" s="319" t="str">
        <f t="shared" si="31"/>
        <v/>
      </c>
      <c r="U691" s="318"/>
      <c r="V691" s="794"/>
      <c r="W691" s="795"/>
      <c r="X691" s="482"/>
      <c r="Y691" s="482"/>
      <c r="Z691" s="482"/>
      <c r="AA691" s="319"/>
      <c r="AB691" s="220"/>
      <c r="AC691" s="318"/>
      <c r="AD691" s="319"/>
      <c r="AE691" s="220"/>
      <c r="AF691" s="320"/>
      <c r="AG691" s="205"/>
      <c r="AH691" s="205"/>
      <c r="AI691" s="205"/>
      <c r="AJ691" s="205"/>
      <c r="AK691" s="205"/>
      <c r="AL691" s="205"/>
      <c r="AM691" s="205"/>
      <c r="AN691" s="205"/>
      <c r="AO691" s="205"/>
      <c r="AP691" s="205"/>
      <c r="AQ691" s="205"/>
      <c r="AR691" s="205"/>
      <c r="AS691" s="205"/>
      <c r="AT691" s="205"/>
      <c r="AU691" s="205"/>
      <c r="AV691" s="205"/>
      <c r="AW691" s="205"/>
      <c r="AX691" s="205"/>
      <c r="AY691" s="205"/>
      <c r="AZ691" s="205"/>
      <c r="BA691" s="205"/>
      <c r="BB691" s="205"/>
      <c r="BC691" s="205"/>
      <c r="BD691" s="205"/>
      <c r="BE691" s="205"/>
      <c r="BF691" s="205"/>
      <c r="BG691" s="205"/>
      <c r="BH691" s="205"/>
      <c r="BI691" s="319"/>
    </row>
    <row r="692" spans="3:61" ht="15" customHeight="1">
      <c r="C692" s="325"/>
      <c r="D692" s="326"/>
      <c r="E692" s="311"/>
      <c r="F692" s="311"/>
      <c r="G692" s="311"/>
      <c r="H692" s="311"/>
      <c r="I692" s="311"/>
      <c r="J692" s="317"/>
      <c r="K692" s="312"/>
      <c r="L692" s="312"/>
      <c r="M692" s="312"/>
      <c r="N692" s="312"/>
      <c r="O692" s="312"/>
      <c r="P692" s="322" t="str">
        <f t="shared" si="32"/>
        <v/>
      </c>
      <c r="Q692" s="208" t="str">
        <f t="shared" si="30"/>
        <v/>
      </c>
      <c r="R692" s="208"/>
      <c r="S692" s="323" t="str">
        <f t="shared" si="31"/>
        <v/>
      </c>
      <c r="U692" s="322"/>
      <c r="V692" s="791"/>
      <c r="W692" s="792"/>
      <c r="X692" s="480"/>
      <c r="Y692" s="480"/>
      <c r="Z692" s="480"/>
      <c r="AA692" s="323"/>
      <c r="AB692" s="220"/>
      <c r="AC692" s="322"/>
      <c r="AD692" s="323"/>
      <c r="AE692" s="220"/>
      <c r="AF692" s="324"/>
      <c r="AG692" s="208"/>
      <c r="AH692" s="208"/>
      <c r="AI692" s="208"/>
      <c r="AJ692" s="208"/>
      <c r="AK692" s="208"/>
      <c r="AL692" s="208"/>
      <c r="AM692" s="208"/>
      <c r="AN692" s="208"/>
      <c r="AO692" s="208"/>
      <c r="AP692" s="208"/>
      <c r="AQ692" s="208"/>
      <c r="AR692" s="208"/>
      <c r="AS692" s="208"/>
      <c r="AT692" s="208"/>
      <c r="AU692" s="208"/>
      <c r="AV692" s="208"/>
      <c r="AW692" s="208"/>
      <c r="AX692" s="208"/>
      <c r="AY692" s="208"/>
      <c r="AZ692" s="208"/>
      <c r="BA692" s="208"/>
      <c r="BB692" s="208"/>
      <c r="BC692" s="208"/>
      <c r="BD692" s="208"/>
      <c r="BE692" s="208"/>
      <c r="BF692" s="208"/>
      <c r="BG692" s="208"/>
      <c r="BH692" s="208"/>
      <c r="BI692" s="323"/>
    </row>
    <row r="693" spans="3:61" ht="15" customHeight="1">
      <c r="C693" s="325"/>
      <c r="D693" s="326"/>
      <c r="E693" s="311"/>
      <c r="F693" s="311"/>
      <c r="G693" s="311"/>
      <c r="H693" s="311"/>
      <c r="I693" s="311"/>
      <c r="J693" s="317"/>
      <c r="K693" s="312"/>
      <c r="L693" s="312"/>
      <c r="M693" s="312"/>
      <c r="N693" s="312"/>
      <c r="O693" s="312"/>
      <c r="P693" s="318" t="str">
        <f t="shared" si="32"/>
        <v/>
      </c>
      <c r="Q693" s="205" t="str">
        <f t="shared" si="30"/>
        <v/>
      </c>
      <c r="R693" s="205"/>
      <c r="S693" s="319" t="str">
        <f t="shared" si="31"/>
        <v/>
      </c>
      <c r="U693" s="318"/>
      <c r="V693" s="794"/>
      <c r="W693" s="795"/>
      <c r="X693" s="482"/>
      <c r="Y693" s="482"/>
      <c r="Z693" s="482"/>
      <c r="AA693" s="319"/>
      <c r="AB693" s="220"/>
      <c r="AC693" s="318"/>
      <c r="AD693" s="319"/>
      <c r="AE693" s="220"/>
      <c r="AF693" s="320"/>
      <c r="AG693" s="205"/>
      <c r="AH693" s="205"/>
      <c r="AI693" s="205"/>
      <c r="AJ693" s="205"/>
      <c r="AK693" s="205"/>
      <c r="AL693" s="205"/>
      <c r="AM693" s="205"/>
      <c r="AN693" s="205"/>
      <c r="AO693" s="205"/>
      <c r="AP693" s="205"/>
      <c r="AQ693" s="205"/>
      <c r="AR693" s="205"/>
      <c r="AS693" s="205"/>
      <c r="AT693" s="205"/>
      <c r="AU693" s="205"/>
      <c r="AV693" s="205"/>
      <c r="AW693" s="205"/>
      <c r="AX693" s="205"/>
      <c r="AY693" s="205"/>
      <c r="AZ693" s="205"/>
      <c r="BA693" s="205"/>
      <c r="BB693" s="205"/>
      <c r="BC693" s="205"/>
      <c r="BD693" s="205"/>
      <c r="BE693" s="205"/>
      <c r="BF693" s="205"/>
      <c r="BG693" s="205"/>
      <c r="BH693" s="205"/>
      <c r="BI693" s="319"/>
    </row>
    <row r="694" spans="3:61" ht="15" customHeight="1">
      <c r="C694" s="325"/>
      <c r="D694" s="326"/>
      <c r="E694" s="311"/>
      <c r="F694" s="311"/>
      <c r="G694" s="311"/>
      <c r="H694" s="311"/>
      <c r="I694" s="311"/>
      <c r="J694" s="317"/>
      <c r="K694" s="312"/>
      <c r="L694" s="312"/>
      <c r="M694" s="312"/>
      <c r="N694" s="312"/>
      <c r="O694" s="312"/>
      <c r="P694" s="322" t="str">
        <f t="shared" si="32"/>
        <v/>
      </c>
      <c r="Q694" s="208" t="str">
        <f t="shared" si="30"/>
        <v/>
      </c>
      <c r="R694" s="208"/>
      <c r="S694" s="323" t="str">
        <f t="shared" si="31"/>
        <v/>
      </c>
      <c r="U694" s="322"/>
      <c r="V694" s="791"/>
      <c r="W694" s="792"/>
      <c r="X694" s="480"/>
      <c r="Y694" s="480"/>
      <c r="Z694" s="480"/>
      <c r="AA694" s="323"/>
      <c r="AB694" s="220"/>
      <c r="AC694" s="322"/>
      <c r="AD694" s="323"/>
      <c r="AE694" s="220"/>
      <c r="AF694" s="324"/>
      <c r="AG694" s="208"/>
      <c r="AH694" s="208"/>
      <c r="AI694" s="208"/>
      <c r="AJ694" s="208"/>
      <c r="AK694" s="208"/>
      <c r="AL694" s="208"/>
      <c r="AM694" s="208"/>
      <c r="AN694" s="208"/>
      <c r="AO694" s="208"/>
      <c r="AP694" s="208"/>
      <c r="AQ694" s="208"/>
      <c r="AR694" s="208"/>
      <c r="AS694" s="208"/>
      <c r="AT694" s="208"/>
      <c r="AU694" s="208"/>
      <c r="AV694" s="208"/>
      <c r="AW694" s="208"/>
      <c r="AX694" s="208"/>
      <c r="AY694" s="208"/>
      <c r="AZ694" s="208"/>
      <c r="BA694" s="208"/>
      <c r="BB694" s="208"/>
      <c r="BC694" s="208"/>
      <c r="BD694" s="208"/>
      <c r="BE694" s="208"/>
      <c r="BF694" s="208"/>
      <c r="BG694" s="208"/>
      <c r="BH694" s="208"/>
      <c r="BI694" s="323"/>
    </row>
    <row r="695" spans="3:61" ht="15" customHeight="1">
      <c r="C695" s="325"/>
      <c r="D695" s="326"/>
      <c r="E695" s="311"/>
      <c r="F695" s="311"/>
      <c r="G695" s="311"/>
      <c r="H695" s="311"/>
      <c r="I695" s="311"/>
      <c r="J695" s="317"/>
      <c r="K695" s="312"/>
      <c r="L695" s="312"/>
      <c r="M695" s="312"/>
      <c r="N695" s="312"/>
      <c r="O695" s="312"/>
      <c r="P695" s="318" t="str">
        <f t="shared" si="32"/>
        <v/>
      </c>
      <c r="Q695" s="205" t="str">
        <f t="shared" si="30"/>
        <v/>
      </c>
      <c r="R695" s="205"/>
      <c r="S695" s="319" t="str">
        <f t="shared" si="31"/>
        <v/>
      </c>
      <c r="U695" s="318"/>
      <c r="V695" s="794"/>
      <c r="W695" s="795"/>
      <c r="X695" s="482"/>
      <c r="Y695" s="482"/>
      <c r="Z695" s="482"/>
      <c r="AA695" s="319"/>
      <c r="AB695" s="220"/>
      <c r="AC695" s="318"/>
      <c r="AD695" s="319"/>
      <c r="AE695" s="220"/>
      <c r="AF695" s="320"/>
      <c r="AG695" s="205"/>
      <c r="AH695" s="205"/>
      <c r="AI695" s="205"/>
      <c r="AJ695" s="205"/>
      <c r="AK695" s="205"/>
      <c r="AL695" s="205"/>
      <c r="AM695" s="205"/>
      <c r="AN695" s="205"/>
      <c r="AO695" s="205"/>
      <c r="AP695" s="205"/>
      <c r="AQ695" s="205"/>
      <c r="AR695" s="205"/>
      <c r="AS695" s="205"/>
      <c r="AT695" s="205"/>
      <c r="AU695" s="205"/>
      <c r="AV695" s="205"/>
      <c r="AW695" s="205"/>
      <c r="AX695" s="205"/>
      <c r="AY695" s="205"/>
      <c r="AZ695" s="205"/>
      <c r="BA695" s="205"/>
      <c r="BB695" s="205"/>
      <c r="BC695" s="205"/>
      <c r="BD695" s="205"/>
      <c r="BE695" s="205"/>
      <c r="BF695" s="205"/>
      <c r="BG695" s="205"/>
      <c r="BH695" s="205"/>
      <c r="BI695" s="319"/>
    </row>
    <row r="696" spans="3:61" ht="15" customHeight="1">
      <c r="C696" s="325"/>
      <c r="D696" s="326"/>
      <c r="E696" s="311"/>
      <c r="F696" s="311"/>
      <c r="G696" s="311"/>
      <c r="H696" s="311"/>
      <c r="I696" s="311"/>
      <c r="J696" s="317"/>
      <c r="K696" s="312"/>
      <c r="L696" s="312"/>
      <c r="M696" s="312"/>
      <c r="N696" s="312"/>
      <c r="O696" s="312"/>
      <c r="P696" s="322" t="str">
        <f t="shared" si="32"/>
        <v/>
      </c>
      <c r="Q696" s="208" t="str">
        <f t="shared" si="30"/>
        <v/>
      </c>
      <c r="R696" s="208"/>
      <c r="S696" s="323" t="str">
        <f t="shared" si="31"/>
        <v/>
      </c>
      <c r="U696" s="322"/>
      <c r="V696" s="791"/>
      <c r="W696" s="792"/>
      <c r="X696" s="480"/>
      <c r="Y696" s="480"/>
      <c r="Z696" s="480"/>
      <c r="AA696" s="323"/>
      <c r="AB696" s="220"/>
      <c r="AC696" s="322"/>
      <c r="AD696" s="323"/>
      <c r="AE696" s="220"/>
      <c r="AF696" s="324"/>
      <c r="AG696" s="208"/>
      <c r="AH696" s="208"/>
      <c r="AI696" s="208"/>
      <c r="AJ696" s="208"/>
      <c r="AK696" s="208"/>
      <c r="AL696" s="208"/>
      <c r="AM696" s="208"/>
      <c r="AN696" s="208"/>
      <c r="AO696" s="208"/>
      <c r="AP696" s="208"/>
      <c r="AQ696" s="208"/>
      <c r="AR696" s="208"/>
      <c r="AS696" s="208"/>
      <c r="AT696" s="208"/>
      <c r="AU696" s="208"/>
      <c r="AV696" s="208"/>
      <c r="AW696" s="208"/>
      <c r="AX696" s="208"/>
      <c r="AY696" s="208"/>
      <c r="AZ696" s="208"/>
      <c r="BA696" s="208"/>
      <c r="BB696" s="208"/>
      <c r="BC696" s="208"/>
      <c r="BD696" s="208"/>
      <c r="BE696" s="208"/>
      <c r="BF696" s="208"/>
      <c r="BG696" s="208"/>
      <c r="BH696" s="208"/>
      <c r="BI696" s="323"/>
    </row>
    <row r="697" spans="3:61" ht="15" customHeight="1">
      <c r="C697" s="325"/>
      <c r="D697" s="326"/>
      <c r="E697" s="311"/>
      <c r="F697" s="311"/>
      <c r="G697" s="311"/>
      <c r="H697" s="311"/>
      <c r="I697" s="311"/>
      <c r="J697" s="317"/>
      <c r="K697" s="312"/>
      <c r="L697" s="312"/>
      <c r="M697" s="312"/>
      <c r="N697" s="312"/>
      <c r="O697" s="312"/>
      <c r="P697" s="318" t="str">
        <f t="shared" si="32"/>
        <v/>
      </c>
      <c r="Q697" s="205" t="str">
        <f t="shared" si="30"/>
        <v/>
      </c>
      <c r="R697" s="205"/>
      <c r="S697" s="319" t="str">
        <f t="shared" si="31"/>
        <v/>
      </c>
      <c r="U697" s="318"/>
      <c r="V697" s="794"/>
      <c r="W697" s="795"/>
      <c r="X697" s="482"/>
      <c r="Y697" s="482"/>
      <c r="Z697" s="482"/>
      <c r="AA697" s="319"/>
      <c r="AB697" s="220"/>
      <c r="AC697" s="318"/>
      <c r="AD697" s="319"/>
      <c r="AE697" s="220"/>
      <c r="AF697" s="320"/>
      <c r="AG697" s="205"/>
      <c r="AH697" s="205"/>
      <c r="AI697" s="205"/>
      <c r="AJ697" s="205"/>
      <c r="AK697" s="205"/>
      <c r="AL697" s="205"/>
      <c r="AM697" s="205"/>
      <c r="AN697" s="205"/>
      <c r="AO697" s="205"/>
      <c r="AP697" s="205"/>
      <c r="AQ697" s="205"/>
      <c r="AR697" s="205"/>
      <c r="AS697" s="205"/>
      <c r="AT697" s="205"/>
      <c r="AU697" s="205"/>
      <c r="AV697" s="205"/>
      <c r="AW697" s="205"/>
      <c r="AX697" s="205"/>
      <c r="AY697" s="205"/>
      <c r="AZ697" s="205"/>
      <c r="BA697" s="205"/>
      <c r="BB697" s="205"/>
      <c r="BC697" s="205"/>
      <c r="BD697" s="205"/>
      <c r="BE697" s="205"/>
      <c r="BF697" s="205"/>
      <c r="BG697" s="205"/>
      <c r="BH697" s="205"/>
      <c r="BI697" s="319"/>
    </row>
    <row r="698" spans="3:61" ht="15" customHeight="1">
      <c r="C698" s="325"/>
      <c r="D698" s="326"/>
      <c r="E698" s="311"/>
      <c r="F698" s="311"/>
      <c r="G698" s="311"/>
      <c r="H698" s="311"/>
      <c r="I698" s="311"/>
      <c r="J698" s="317"/>
      <c r="K698" s="312"/>
      <c r="L698" s="312"/>
      <c r="M698" s="312"/>
      <c r="N698" s="312"/>
      <c r="O698" s="312"/>
      <c r="P698" s="322" t="str">
        <f t="shared" si="32"/>
        <v/>
      </c>
      <c r="Q698" s="208" t="str">
        <f t="shared" si="30"/>
        <v/>
      </c>
      <c r="R698" s="208"/>
      <c r="S698" s="323" t="str">
        <f t="shared" si="31"/>
        <v/>
      </c>
      <c r="U698" s="322"/>
      <c r="V698" s="791"/>
      <c r="W698" s="792"/>
      <c r="X698" s="480"/>
      <c r="Y698" s="480"/>
      <c r="Z698" s="480"/>
      <c r="AA698" s="323"/>
      <c r="AB698" s="220"/>
      <c r="AC698" s="322"/>
      <c r="AD698" s="323"/>
      <c r="AE698" s="220"/>
      <c r="AF698" s="324"/>
      <c r="AG698" s="208"/>
      <c r="AH698" s="208"/>
      <c r="AI698" s="208"/>
      <c r="AJ698" s="208"/>
      <c r="AK698" s="208"/>
      <c r="AL698" s="208"/>
      <c r="AM698" s="208"/>
      <c r="AN698" s="208"/>
      <c r="AO698" s="208"/>
      <c r="AP698" s="208"/>
      <c r="AQ698" s="208"/>
      <c r="AR698" s="208"/>
      <c r="AS698" s="208"/>
      <c r="AT698" s="208"/>
      <c r="AU698" s="208"/>
      <c r="AV698" s="208"/>
      <c r="AW698" s="208"/>
      <c r="AX698" s="208"/>
      <c r="AY698" s="208"/>
      <c r="AZ698" s="208"/>
      <c r="BA698" s="208"/>
      <c r="BB698" s="208"/>
      <c r="BC698" s="208"/>
      <c r="BD698" s="208"/>
      <c r="BE698" s="208"/>
      <c r="BF698" s="208"/>
      <c r="BG698" s="208"/>
      <c r="BH698" s="208"/>
      <c r="BI698" s="323"/>
    </row>
    <row r="699" spans="3:61" ht="15" customHeight="1">
      <c r="C699" s="325"/>
      <c r="D699" s="326"/>
      <c r="E699" s="311"/>
      <c r="F699" s="311"/>
      <c r="G699" s="311"/>
      <c r="H699" s="311"/>
      <c r="I699" s="311"/>
      <c r="J699" s="317"/>
      <c r="K699" s="312"/>
      <c r="L699" s="312"/>
      <c r="M699" s="312"/>
      <c r="N699" s="312"/>
      <c r="O699" s="312"/>
      <c r="P699" s="318" t="str">
        <f t="shared" si="32"/>
        <v/>
      </c>
      <c r="Q699" s="205" t="str">
        <f t="shared" si="30"/>
        <v/>
      </c>
      <c r="R699" s="205"/>
      <c r="S699" s="319" t="str">
        <f t="shared" si="31"/>
        <v/>
      </c>
      <c r="U699" s="318"/>
      <c r="V699" s="794"/>
      <c r="W699" s="795"/>
      <c r="X699" s="482"/>
      <c r="Y699" s="482"/>
      <c r="Z699" s="482"/>
      <c r="AA699" s="319"/>
      <c r="AB699" s="220"/>
      <c r="AC699" s="318"/>
      <c r="AD699" s="319"/>
      <c r="AE699" s="220"/>
      <c r="AF699" s="320"/>
      <c r="AG699" s="205"/>
      <c r="AH699" s="205"/>
      <c r="AI699" s="205"/>
      <c r="AJ699" s="205"/>
      <c r="AK699" s="205"/>
      <c r="AL699" s="205"/>
      <c r="AM699" s="205"/>
      <c r="AN699" s="205"/>
      <c r="AO699" s="205"/>
      <c r="AP699" s="205"/>
      <c r="AQ699" s="205"/>
      <c r="AR699" s="205"/>
      <c r="AS699" s="205"/>
      <c r="AT699" s="205"/>
      <c r="AU699" s="205"/>
      <c r="AV699" s="205"/>
      <c r="AW699" s="205"/>
      <c r="AX699" s="205"/>
      <c r="AY699" s="205"/>
      <c r="AZ699" s="205"/>
      <c r="BA699" s="205"/>
      <c r="BB699" s="205"/>
      <c r="BC699" s="205"/>
      <c r="BD699" s="205"/>
      <c r="BE699" s="205"/>
      <c r="BF699" s="205"/>
      <c r="BG699" s="205"/>
      <c r="BH699" s="205"/>
      <c r="BI699" s="319"/>
    </row>
    <row r="700" spans="3:61" ht="15" customHeight="1">
      <c r="C700" s="325"/>
      <c r="D700" s="326"/>
      <c r="E700" s="311"/>
      <c r="F700" s="311"/>
      <c r="G700" s="311"/>
      <c r="H700" s="311"/>
      <c r="I700" s="311"/>
      <c r="J700" s="317"/>
      <c r="K700" s="312"/>
      <c r="L700" s="312"/>
      <c r="M700" s="312"/>
      <c r="N700" s="312"/>
      <c r="O700" s="312"/>
      <c r="P700" s="322" t="str">
        <f t="shared" si="32"/>
        <v/>
      </c>
      <c r="Q700" s="208" t="str">
        <f t="shared" si="30"/>
        <v/>
      </c>
      <c r="R700" s="208"/>
      <c r="S700" s="323" t="str">
        <f t="shared" si="31"/>
        <v/>
      </c>
      <c r="U700" s="322"/>
      <c r="V700" s="791"/>
      <c r="W700" s="792"/>
      <c r="X700" s="480"/>
      <c r="Y700" s="480"/>
      <c r="Z700" s="480"/>
      <c r="AA700" s="323"/>
      <c r="AB700" s="220"/>
      <c r="AC700" s="322"/>
      <c r="AD700" s="323"/>
      <c r="AE700" s="220"/>
      <c r="AF700" s="324"/>
      <c r="AG700" s="208"/>
      <c r="AH700" s="208"/>
      <c r="AI700" s="208"/>
      <c r="AJ700" s="208"/>
      <c r="AK700" s="208"/>
      <c r="AL700" s="208"/>
      <c r="AM700" s="208"/>
      <c r="AN700" s="208"/>
      <c r="AO700" s="208"/>
      <c r="AP700" s="208"/>
      <c r="AQ700" s="208"/>
      <c r="AR700" s="208"/>
      <c r="AS700" s="208"/>
      <c r="AT700" s="208"/>
      <c r="AU700" s="208"/>
      <c r="AV700" s="208"/>
      <c r="AW700" s="208"/>
      <c r="AX700" s="208"/>
      <c r="AY700" s="208"/>
      <c r="AZ700" s="208"/>
      <c r="BA700" s="208"/>
      <c r="BB700" s="208"/>
      <c r="BC700" s="208"/>
      <c r="BD700" s="208"/>
      <c r="BE700" s="208"/>
      <c r="BF700" s="208"/>
      <c r="BG700" s="208"/>
      <c r="BH700" s="208"/>
      <c r="BI700" s="323"/>
    </row>
    <row r="701" spans="3:61" ht="15" customHeight="1">
      <c r="C701" s="325"/>
      <c r="D701" s="326"/>
      <c r="E701" s="311"/>
      <c r="F701" s="311"/>
      <c r="G701" s="311"/>
      <c r="H701" s="311"/>
      <c r="I701" s="311"/>
      <c r="J701" s="317"/>
      <c r="K701" s="312"/>
      <c r="L701" s="312"/>
      <c r="M701" s="312"/>
      <c r="N701" s="312"/>
      <c r="O701" s="312"/>
      <c r="P701" s="318" t="str">
        <f t="shared" si="32"/>
        <v/>
      </c>
      <c r="Q701" s="205" t="str">
        <f t="shared" si="30"/>
        <v/>
      </c>
      <c r="R701" s="205"/>
      <c r="S701" s="319" t="str">
        <f t="shared" si="31"/>
        <v/>
      </c>
      <c r="U701" s="318"/>
      <c r="V701" s="794"/>
      <c r="W701" s="795"/>
      <c r="X701" s="482"/>
      <c r="Y701" s="482"/>
      <c r="Z701" s="482"/>
      <c r="AA701" s="319"/>
      <c r="AB701" s="220"/>
      <c r="AC701" s="318"/>
      <c r="AD701" s="319"/>
      <c r="AE701" s="220"/>
      <c r="AF701" s="320"/>
      <c r="AG701" s="205"/>
      <c r="AH701" s="205"/>
      <c r="AI701" s="205"/>
      <c r="AJ701" s="205"/>
      <c r="AK701" s="205"/>
      <c r="AL701" s="205"/>
      <c r="AM701" s="205"/>
      <c r="AN701" s="205"/>
      <c r="AO701" s="205"/>
      <c r="AP701" s="205"/>
      <c r="AQ701" s="205"/>
      <c r="AR701" s="205"/>
      <c r="AS701" s="205"/>
      <c r="AT701" s="205"/>
      <c r="AU701" s="205"/>
      <c r="AV701" s="205"/>
      <c r="AW701" s="205"/>
      <c r="AX701" s="205"/>
      <c r="AY701" s="205"/>
      <c r="AZ701" s="205"/>
      <c r="BA701" s="205"/>
      <c r="BB701" s="205"/>
      <c r="BC701" s="205"/>
      <c r="BD701" s="205"/>
      <c r="BE701" s="205"/>
      <c r="BF701" s="205"/>
      <c r="BG701" s="205"/>
      <c r="BH701" s="205"/>
      <c r="BI701" s="319"/>
    </row>
    <row r="702" spans="3:61" ht="15" customHeight="1">
      <c r="C702" s="325"/>
      <c r="D702" s="326"/>
      <c r="E702" s="311"/>
      <c r="F702" s="311"/>
      <c r="G702" s="311"/>
      <c r="H702" s="311"/>
      <c r="I702" s="311"/>
      <c r="J702" s="317"/>
      <c r="K702" s="312"/>
      <c r="L702" s="312"/>
      <c r="M702" s="312"/>
      <c r="N702" s="312"/>
      <c r="O702" s="312"/>
      <c r="P702" s="322" t="str">
        <f t="shared" si="32"/>
        <v/>
      </c>
      <c r="Q702" s="208" t="str">
        <f t="shared" si="30"/>
        <v/>
      </c>
      <c r="R702" s="208"/>
      <c r="S702" s="323" t="str">
        <f t="shared" si="31"/>
        <v/>
      </c>
      <c r="U702" s="322"/>
      <c r="V702" s="791"/>
      <c r="W702" s="792"/>
      <c r="X702" s="480"/>
      <c r="Y702" s="480"/>
      <c r="Z702" s="480"/>
      <c r="AA702" s="323"/>
      <c r="AB702" s="220"/>
      <c r="AC702" s="322"/>
      <c r="AD702" s="323"/>
      <c r="AE702" s="220"/>
      <c r="AF702" s="324"/>
      <c r="AG702" s="208"/>
      <c r="AH702" s="208"/>
      <c r="AI702" s="208"/>
      <c r="AJ702" s="208"/>
      <c r="AK702" s="208"/>
      <c r="AL702" s="208"/>
      <c r="AM702" s="208"/>
      <c r="AN702" s="208"/>
      <c r="AO702" s="208"/>
      <c r="AP702" s="208"/>
      <c r="AQ702" s="208"/>
      <c r="AR702" s="208"/>
      <c r="AS702" s="208"/>
      <c r="AT702" s="208"/>
      <c r="AU702" s="208"/>
      <c r="AV702" s="208"/>
      <c r="AW702" s="208"/>
      <c r="AX702" s="208"/>
      <c r="AY702" s="208"/>
      <c r="AZ702" s="208"/>
      <c r="BA702" s="208"/>
      <c r="BB702" s="208"/>
      <c r="BC702" s="208"/>
      <c r="BD702" s="208"/>
      <c r="BE702" s="208"/>
      <c r="BF702" s="208"/>
      <c r="BG702" s="208"/>
      <c r="BH702" s="208"/>
      <c r="BI702" s="323"/>
    </row>
    <row r="703" spans="3:61" ht="15" customHeight="1">
      <c r="C703" s="325"/>
      <c r="D703" s="326"/>
      <c r="E703" s="311"/>
      <c r="F703" s="311"/>
      <c r="G703" s="311"/>
      <c r="H703" s="311"/>
      <c r="I703" s="311"/>
      <c r="J703" s="317"/>
      <c r="K703" s="312"/>
      <c r="L703" s="312"/>
      <c r="M703" s="312"/>
      <c r="N703" s="312"/>
      <c r="O703" s="312"/>
      <c r="P703" s="318" t="str">
        <f t="shared" si="32"/>
        <v/>
      </c>
      <c r="Q703" s="205" t="str">
        <f t="shared" si="30"/>
        <v/>
      </c>
      <c r="R703" s="205"/>
      <c r="S703" s="319" t="str">
        <f t="shared" si="31"/>
        <v/>
      </c>
      <c r="U703" s="318"/>
      <c r="V703" s="794"/>
      <c r="W703" s="795"/>
      <c r="X703" s="482"/>
      <c r="Y703" s="482"/>
      <c r="Z703" s="482"/>
      <c r="AA703" s="319"/>
      <c r="AB703" s="220"/>
      <c r="AC703" s="318"/>
      <c r="AD703" s="319"/>
      <c r="AE703" s="220"/>
      <c r="AF703" s="320"/>
      <c r="AG703" s="205"/>
      <c r="AH703" s="205"/>
      <c r="AI703" s="205"/>
      <c r="AJ703" s="205"/>
      <c r="AK703" s="205"/>
      <c r="AL703" s="205"/>
      <c r="AM703" s="205"/>
      <c r="AN703" s="205"/>
      <c r="AO703" s="205"/>
      <c r="AP703" s="205"/>
      <c r="AQ703" s="205"/>
      <c r="AR703" s="205"/>
      <c r="AS703" s="205"/>
      <c r="AT703" s="205"/>
      <c r="AU703" s="205"/>
      <c r="AV703" s="205"/>
      <c r="AW703" s="205"/>
      <c r="AX703" s="205"/>
      <c r="AY703" s="205"/>
      <c r="AZ703" s="205"/>
      <c r="BA703" s="205"/>
      <c r="BB703" s="205"/>
      <c r="BC703" s="205"/>
      <c r="BD703" s="205"/>
      <c r="BE703" s="205"/>
      <c r="BF703" s="205"/>
      <c r="BG703" s="205"/>
      <c r="BH703" s="205"/>
      <c r="BI703" s="319"/>
    </row>
    <row r="704" spans="3:61" ht="15" customHeight="1">
      <c r="C704" s="325"/>
      <c r="D704" s="326"/>
      <c r="E704" s="311"/>
      <c r="F704" s="311"/>
      <c r="G704" s="311"/>
      <c r="H704" s="311"/>
      <c r="I704" s="311"/>
      <c r="J704" s="317"/>
      <c r="K704" s="312"/>
      <c r="L704" s="312"/>
      <c r="M704" s="312"/>
      <c r="N704" s="312"/>
      <c r="O704" s="312"/>
      <c r="P704" s="322" t="str">
        <f t="shared" si="32"/>
        <v/>
      </c>
      <c r="Q704" s="208" t="str">
        <f t="shared" si="30"/>
        <v/>
      </c>
      <c r="R704" s="208"/>
      <c r="S704" s="323" t="str">
        <f t="shared" si="31"/>
        <v/>
      </c>
      <c r="U704" s="322"/>
      <c r="V704" s="791"/>
      <c r="W704" s="792"/>
      <c r="X704" s="480"/>
      <c r="Y704" s="480"/>
      <c r="Z704" s="480"/>
      <c r="AA704" s="323"/>
      <c r="AB704" s="220"/>
      <c r="AC704" s="322"/>
      <c r="AD704" s="323"/>
      <c r="AE704" s="220"/>
      <c r="AF704" s="324"/>
      <c r="AG704" s="208"/>
      <c r="AH704" s="208"/>
      <c r="AI704" s="208"/>
      <c r="AJ704" s="208"/>
      <c r="AK704" s="208"/>
      <c r="AL704" s="208"/>
      <c r="AM704" s="208"/>
      <c r="AN704" s="208"/>
      <c r="AO704" s="208"/>
      <c r="AP704" s="208"/>
      <c r="AQ704" s="208"/>
      <c r="AR704" s="208"/>
      <c r="AS704" s="208"/>
      <c r="AT704" s="208"/>
      <c r="AU704" s="208"/>
      <c r="AV704" s="208"/>
      <c r="AW704" s="208"/>
      <c r="AX704" s="208"/>
      <c r="AY704" s="208"/>
      <c r="AZ704" s="208"/>
      <c r="BA704" s="208"/>
      <c r="BB704" s="208"/>
      <c r="BC704" s="208"/>
      <c r="BD704" s="208"/>
      <c r="BE704" s="208"/>
      <c r="BF704" s="208"/>
      <c r="BG704" s="208"/>
      <c r="BH704" s="208"/>
      <c r="BI704" s="323"/>
    </row>
    <row r="705" spans="3:61" ht="15" customHeight="1">
      <c r="C705" s="325"/>
      <c r="D705" s="326"/>
      <c r="E705" s="311"/>
      <c r="F705" s="311"/>
      <c r="G705" s="311"/>
      <c r="H705" s="311"/>
      <c r="I705" s="311"/>
      <c r="J705" s="317"/>
      <c r="K705" s="312"/>
      <c r="L705" s="312"/>
      <c r="M705" s="312"/>
      <c r="N705" s="312"/>
      <c r="O705" s="312"/>
      <c r="P705" s="318" t="str">
        <f t="shared" si="32"/>
        <v/>
      </c>
      <c r="Q705" s="205" t="str">
        <f t="shared" si="30"/>
        <v/>
      </c>
      <c r="R705" s="205"/>
      <c r="S705" s="319" t="str">
        <f t="shared" si="31"/>
        <v/>
      </c>
      <c r="U705" s="318"/>
      <c r="V705" s="794"/>
      <c r="W705" s="795"/>
      <c r="X705" s="482"/>
      <c r="Y705" s="482"/>
      <c r="Z705" s="482"/>
      <c r="AA705" s="319"/>
      <c r="AB705" s="220"/>
      <c r="AC705" s="318"/>
      <c r="AD705" s="319"/>
      <c r="AE705" s="220"/>
      <c r="AF705" s="320"/>
      <c r="AG705" s="205"/>
      <c r="AH705" s="205"/>
      <c r="AI705" s="205"/>
      <c r="AJ705" s="205"/>
      <c r="AK705" s="205"/>
      <c r="AL705" s="205"/>
      <c r="AM705" s="205"/>
      <c r="AN705" s="205"/>
      <c r="AO705" s="205"/>
      <c r="AP705" s="205"/>
      <c r="AQ705" s="205"/>
      <c r="AR705" s="205"/>
      <c r="AS705" s="205"/>
      <c r="AT705" s="205"/>
      <c r="AU705" s="205"/>
      <c r="AV705" s="205"/>
      <c r="AW705" s="205"/>
      <c r="AX705" s="205"/>
      <c r="AY705" s="205"/>
      <c r="AZ705" s="205"/>
      <c r="BA705" s="205"/>
      <c r="BB705" s="205"/>
      <c r="BC705" s="205"/>
      <c r="BD705" s="205"/>
      <c r="BE705" s="205"/>
      <c r="BF705" s="205"/>
      <c r="BG705" s="205"/>
      <c r="BH705" s="205"/>
      <c r="BI705" s="319"/>
    </row>
    <row r="706" spans="3:61" ht="15" customHeight="1">
      <c r="C706" s="325"/>
      <c r="D706" s="326"/>
      <c r="E706" s="311"/>
      <c r="F706" s="311"/>
      <c r="G706" s="311"/>
      <c r="H706" s="311"/>
      <c r="I706" s="311"/>
      <c r="J706" s="317"/>
      <c r="K706" s="312"/>
      <c r="L706" s="312"/>
      <c r="M706" s="312"/>
      <c r="N706" s="312"/>
      <c r="O706" s="312"/>
      <c r="P706" s="322" t="str">
        <f t="shared" si="32"/>
        <v/>
      </c>
      <c r="Q706" s="208" t="str">
        <f t="shared" si="30"/>
        <v/>
      </c>
      <c r="R706" s="208"/>
      <c r="S706" s="323" t="str">
        <f t="shared" si="31"/>
        <v/>
      </c>
      <c r="U706" s="322"/>
      <c r="V706" s="791"/>
      <c r="W706" s="792"/>
      <c r="X706" s="480"/>
      <c r="Y706" s="480"/>
      <c r="Z706" s="480"/>
      <c r="AA706" s="323"/>
      <c r="AB706" s="220"/>
      <c r="AC706" s="322"/>
      <c r="AD706" s="323"/>
      <c r="AE706" s="220"/>
      <c r="AF706" s="324"/>
      <c r="AG706" s="208"/>
      <c r="AH706" s="208"/>
      <c r="AI706" s="208"/>
      <c r="AJ706" s="208"/>
      <c r="AK706" s="208"/>
      <c r="AL706" s="208"/>
      <c r="AM706" s="208"/>
      <c r="AN706" s="208"/>
      <c r="AO706" s="208"/>
      <c r="AP706" s="208"/>
      <c r="AQ706" s="208"/>
      <c r="AR706" s="208"/>
      <c r="AS706" s="208"/>
      <c r="AT706" s="208"/>
      <c r="AU706" s="208"/>
      <c r="AV706" s="208"/>
      <c r="AW706" s="208"/>
      <c r="AX706" s="208"/>
      <c r="AY706" s="208"/>
      <c r="AZ706" s="208"/>
      <c r="BA706" s="208"/>
      <c r="BB706" s="208"/>
      <c r="BC706" s="208"/>
      <c r="BD706" s="208"/>
      <c r="BE706" s="208"/>
      <c r="BF706" s="208"/>
      <c r="BG706" s="208"/>
      <c r="BH706" s="208"/>
      <c r="BI706" s="323"/>
    </row>
    <row r="707" spans="3:61" ht="15" customHeight="1">
      <c r="C707" s="325"/>
      <c r="D707" s="326"/>
      <c r="E707" s="311"/>
      <c r="F707" s="311"/>
      <c r="G707" s="311"/>
      <c r="H707" s="311"/>
      <c r="I707" s="311"/>
      <c r="J707" s="317"/>
      <c r="K707" s="312"/>
      <c r="L707" s="312"/>
      <c r="M707" s="312"/>
      <c r="N707" s="312"/>
      <c r="O707" s="312"/>
      <c r="P707" s="318" t="str">
        <f t="shared" si="32"/>
        <v/>
      </c>
      <c r="Q707" s="205" t="str">
        <f t="shared" si="30"/>
        <v/>
      </c>
      <c r="R707" s="205"/>
      <c r="S707" s="319" t="str">
        <f t="shared" si="31"/>
        <v/>
      </c>
      <c r="U707" s="318"/>
      <c r="V707" s="794"/>
      <c r="W707" s="795"/>
      <c r="X707" s="482"/>
      <c r="Y707" s="482"/>
      <c r="Z707" s="482"/>
      <c r="AA707" s="319"/>
      <c r="AB707" s="220"/>
      <c r="AC707" s="318"/>
      <c r="AD707" s="319"/>
      <c r="AE707" s="220"/>
      <c r="AF707" s="320"/>
      <c r="AG707" s="205"/>
      <c r="AH707" s="205"/>
      <c r="AI707" s="205"/>
      <c r="AJ707" s="205"/>
      <c r="AK707" s="205"/>
      <c r="AL707" s="205"/>
      <c r="AM707" s="205"/>
      <c r="AN707" s="205"/>
      <c r="AO707" s="205"/>
      <c r="AP707" s="205"/>
      <c r="AQ707" s="205"/>
      <c r="AR707" s="205"/>
      <c r="AS707" s="205"/>
      <c r="AT707" s="205"/>
      <c r="AU707" s="205"/>
      <c r="AV707" s="205"/>
      <c r="AW707" s="205"/>
      <c r="AX707" s="205"/>
      <c r="AY707" s="205"/>
      <c r="AZ707" s="205"/>
      <c r="BA707" s="205"/>
      <c r="BB707" s="205"/>
      <c r="BC707" s="205"/>
      <c r="BD707" s="205"/>
      <c r="BE707" s="205"/>
      <c r="BF707" s="205"/>
      <c r="BG707" s="205"/>
      <c r="BH707" s="205"/>
      <c r="BI707" s="319"/>
    </row>
    <row r="708" spans="3:61" ht="15" customHeight="1">
      <c r="C708" s="325"/>
      <c r="D708" s="326"/>
      <c r="E708" s="311"/>
      <c r="F708" s="311"/>
      <c r="G708" s="311"/>
      <c r="H708" s="311"/>
      <c r="I708" s="311"/>
      <c r="J708" s="317"/>
      <c r="K708" s="312"/>
      <c r="L708" s="312"/>
      <c r="M708" s="312"/>
      <c r="N708" s="312"/>
      <c r="O708" s="312"/>
      <c r="P708" s="322" t="str">
        <f t="shared" si="32"/>
        <v/>
      </c>
      <c r="Q708" s="208" t="str">
        <f t="shared" si="30"/>
        <v/>
      </c>
      <c r="R708" s="208"/>
      <c r="S708" s="323" t="str">
        <f t="shared" si="31"/>
        <v/>
      </c>
      <c r="U708" s="322"/>
      <c r="V708" s="791"/>
      <c r="W708" s="792"/>
      <c r="X708" s="480"/>
      <c r="Y708" s="480"/>
      <c r="Z708" s="480"/>
      <c r="AA708" s="323"/>
      <c r="AB708" s="220"/>
      <c r="AC708" s="322"/>
      <c r="AD708" s="323"/>
      <c r="AE708" s="220"/>
      <c r="AF708" s="324"/>
      <c r="AG708" s="208"/>
      <c r="AH708" s="208"/>
      <c r="AI708" s="208"/>
      <c r="AJ708" s="208"/>
      <c r="AK708" s="208"/>
      <c r="AL708" s="208"/>
      <c r="AM708" s="208"/>
      <c r="AN708" s="208"/>
      <c r="AO708" s="208"/>
      <c r="AP708" s="208"/>
      <c r="AQ708" s="208"/>
      <c r="AR708" s="208"/>
      <c r="AS708" s="208"/>
      <c r="AT708" s="208"/>
      <c r="AU708" s="208"/>
      <c r="AV708" s="208"/>
      <c r="AW708" s="208"/>
      <c r="AX708" s="208"/>
      <c r="AY708" s="208"/>
      <c r="AZ708" s="208"/>
      <c r="BA708" s="208"/>
      <c r="BB708" s="208"/>
      <c r="BC708" s="208"/>
      <c r="BD708" s="208"/>
      <c r="BE708" s="208"/>
      <c r="BF708" s="208"/>
      <c r="BG708" s="208"/>
      <c r="BH708" s="208"/>
      <c r="BI708" s="323"/>
    </row>
    <row r="709" spans="3:61" ht="15" customHeight="1">
      <c r="C709" s="325"/>
      <c r="D709" s="326"/>
      <c r="E709" s="311"/>
      <c r="F709" s="311"/>
      <c r="G709" s="311"/>
      <c r="H709" s="311"/>
      <c r="I709" s="311"/>
      <c r="J709" s="317"/>
      <c r="K709" s="312"/>
      <c r="L709" s="312"/>
      <c r="M709" s="312"/>
      <c r="N709" s="312"/>
      <c r="O709" s="312"/>
      <c r="P709" s="318" t="str">
        <f t="shared" si="32"/>
        <v/>
      </c>
      <c r="Q709" s="205" t="str">
        <f t="shared" si="30"/>
        <v/>
      </c>
      <c r="R709" s="205"/>
      <c r="S709" s="319" t="str">
        <f t="shared" si="31"/>
        <v/>
      </c>
      <c r="U709" s="318"/>
      <c r="V709" s="794"/>
      <c r="W709" s="795"/>
      <c r="X709" s="482"/>
      <c r="Y709" s="482"/>
      <c r="Z709" s="482"/>
      <c r="AA709" s="319"/>
      <c r="AB709" s="220"/>
      <c r="AC709" s="318"/>
      <c r="AD709" s="319"/>
      <c r="AE709" s="220"/>
      <c r="AF709" s="320"/>
      <c r="AG709" s="205"/>
      <c r="AH709" s="205"/>
      <c r="AI709" s="205"/>
      <c r="AJ709" s="205"/>
      <c r="AK709" s="205"/>
      <c r="AL709" s="205"/>
      <c r="AM709" s="205"/>
      <c r="AN709" s="205"/>
      <c r="AO709" s="205"/>
      <c r="AP709" s="205"/>
      <c r="AQ709" s="205"/>
      <c r="AR709" s="205"/>
      <c r="AS709" s="205"/>
      <c r="AT709" s="205"/>
      <c r="AU709" s="205"/>
      <c r="AV709" s="205"/>
      <c r="AW709" s="205"/>
      <c r="AX709" s="205"/>
      <c r="AY709" s="205"/>
      <c r="AZ709" s="205"/>
      <c r="BA709" s="205"/>
      <c r="BB709" s="205"/>
      <c r="BC709" s="205"/>
      <c r="BD709" s="205"/>
      <c r="BE709" s="205"/>
      <c r="BF709" s="205"/>
      <c r="BG709" s="205"/>
      <c r="BH709" s="205"/>
      <c r="BI709" s="319"/>
    </row>
    <row r="710" spans="3:61" ht="15" customHeight="1">
      <c r="C710" s="325"/>
      <c r="D710" s="326"/>
      <c r="E710" s="311"/>
      <c r="F710" s="311"/>
      <c r="G710" s="311"/>
      <c r="H710" s="311"/>
      <c r="I710" s="311"/>
      <c r="J710" s="317"/>
      <c r="K710" s="312"/>
      <c r="L710" s="312"/>
      <c r="M710" s="312"/>
      <c r="N710" s="312"/>
      <c r="O710" s="312"/>
      <c r="P710" s="322" t="str">
        <f t="shared" si="32"/>
        <v/>
      </c>
      <c r="Q710" s="208" t="str">
        <f t="shared" si="30"/>
        <v/>
      </c>
      <c r="R710" s="208"/>
      <c r="S710" s="323" t="str">
        <f t="shared" si="31"/>
        <v/>
      </c>
      <c r="U710" s="322"/>
      <c r="V710" s="791"/>
      <c r="W710" s="792"/>
      <c r="X710" s="480"/>
      <c r="Y710" s="480"/>
      <c r="Z710" s="480"/>
      <c r="AA710" s="323"/>
      <c r="AB710" s="220"/>
      <c r="AC710" s="322"/>
      <c r="AD710" s="323"/>
      <c r="AE710" s="220"/>
      <c r="AF710" s="324"/>
      <c r="AG710" s="208"/>
      <c r="AH710" s="208"/>
      <c r="AI710" s="208"/>
      <c r="AJ710" s="208"/>
      <c r="AK710" s="208"/>
      <c r="AL710" s="208"/>
      <c r="AM710" s="208"/>
      <c r="AN710" s="208"/>
      <c r="AO710" s="208"/>
      <c r="AP710" s="208"/>
      <c r="AQ710" s="208"/>
      <c r="AR710" s="208"/>
      <c r="AS710" s="208"/>
      <c r="AT710" s="208"/>
      <c r="AU710" s="208"/>
      <c r="AV710" s="208"/>
      <c r="AW710" s="208"/>
      <c r="AX710" s="208"/>
      <c r="AY710" s="208"/>
      <c r="AZ710" s="208"/>
      <c r="BA710" s="208"/>
      <c r="BB710" s="208"/>
      <c r="BC710" s="208"/>
      <c r="BD710" s="208"/>
      <c r="BE710" s="208"/>
      <c r="BF710" s="208"/>
      <c r="BG710" s="208"/>
      <c r="BH710" s="208"/>
      <c r="BI710" s="323"/>
    </row>
    <row r="711" spans="3:61" ht="15" customHeight="1">
      <c r="C711" s="325"/>
      <c r="D711" s="326"/>
      <c r="E711" s="311"/>
      <c r="F711" s="311"/>
      <c r="G711" s="311"/>
      <c r="H711" s="311"/>
      <c r="I711" s="311"/>
      <c r="J711" s="317"/>
      <c r="K711" s="312"/>
      <c r="L711" s="312"/>
      <c r="M711" s="312"/>
      <c r="N711" s="312"/>
      <c r="O711" s="312"/>
      <c r="P711" s="318" t="str">
        <f t="shared" si="32"/>
        <v/>
      </c>
      <c r="Q711" s="205" t="str">
        <f t="shared" si="30"/>
        <v/>
      </c>
      <c r="R711" s="205"/>
      <c r="S711" s="319" t="str">
        <f t="shared" si="31"/>
        <v/>
      </c>
      <c r="U711" s="318"/>
      <c r="V711" s="794"/>
      <c r="W711" s="795"/>
      <c r="X711" s="482"/>
      <c r="Y711" s="482"/>
      <c r="Z711" s="482"/>
      <c r="AA711" s="319"/>
      <c r="AB711" s="220"/>
      <c r="AC711" s="318"/>
      <c r="AD711" s="319"/>
      <c r="AE711" s="220"/>
      <c r="AF711" s="320"/>
      <c r="AG711" s="205"/>
      <c r="AH711" s="205"/>
      <c r="AI711" s="205"/>
      <c r="AJ711" s="205"/>
      <c r="AK711" s="205"/>
      <c r="AL711" s="205"/>
      <c r="AM711" s="205"/>
      <c r="AN711" s="205"/>
      <c r="AO711" s="205"/>
      <c r="AP711" s="205"/>
      <c r="AQ711" s="205"/>
      <c r="AR711" s="205"/>
      <c r="AS711" s="205"/>
      <c r="AT711" s="205"/>
      <c r="AU711" s="205"/>
      <c r="AV711" s="205"/>
      <c r="AW711" s="205"/>
      <c r="AX711" s="205"/>
      <c r="AY711" s="205"/>
      <c r="AZ711" s="205"/>
      <c r="BA711" s="205"/>
      <c r="BB711" s="205"/>
      <c r="BC711" s="205"/>
      <c r="BD711" s="205"/>
      <c r="BE711" s="205"/>
      <c r="BF711" s="205"/>
      <c r="BG711" s="205"/>
      <c r="BH711" s="205"/>
      <c r="BI711" s="319"/>
    </row>
    <row r="712" spans="3:61" ht="15" customHeight="1">
      <c r="C712" s="325"/>
      <c r="D712" s="326"/>
      <c r="E712" s="311"/>
      <c r="F712" s="311"/>
      <c r="G712" s="311"/>
      <c r="H712" s="311"/>
      <c r="I712" s="311"/>
      <c r="J712" s="317"/>
      <c r="K712" s="312"/>
      <c r="L712" s="312"/>
      <c r="M712" s="312"/>
      <c r="N712" s="312"/>
      <c r="O712" s="312"/>
      <c r="P712" s="322" t="str">
        <f t="shared" si="32"/>
        <v/>
      </c>
      <c r="Q712" s="208" t="str">
        <f t="shared" si="30"/>
        <v/>
      </c>
      <c r="R712" s="208"/>
      <c r="S712" s="323" t="str">
        <f t="shared" si="31"/>
        <v/>
      </c>
      <c r="U712" s="322"/>
      <c r="V712" s="791"/>
      <c r="W712" s="792"/>
      <c r="X712" s="480"/>
      <c r="Y712" s="480"/>
      <c r="Z712" s="480"/>
      <c r="AA712" s="323"/>
      <c r="AB712" s="220"/>
      <c r="AC712" s="322"/>
      <c r="AD712" s="323"/>
      <c r="AE712" s="220"/>
      <c r="AF712" s="324"/>
      <c r="AG712" s="208"/>
      <c r="AH712" s="208"/>
      <c r="AI712" s="208"/>
      <c r="AJ712" s="208"/>
      <c r="AK712" s="208"/>
      <c r="AL712" s="208"/>
      <c r="AM712" s="208"/>
      <c r="AN712" s="208"/>
      <c r="AO712" s="208"/>
      <c r="AP712" s="208"/>
      <c r="AQ712" s="208"/>
      <c r="AR712" s="208"/>
      <c r="AS712" s="208"/>
      <c r="AT712" s="208"/>
      <c r="AU712" s="208"/>
      <c r="AV712" s="208"/>
      <c r="AW712" s="208"/>
      <c r="AX712" s="208"/>
      <c r="AY712" s="208"/>
      <c r="AZ712" s="208"/>
      <c r="BA712" s="208"/>
      <c r="BB712" s="208"/>
      <c r="BC712" s="208"/>
      <c r="BD712" s="208"/>
      <c r="BE712" s="208"/>
      <c r="BF712" s="208"/>
      <c r="BG712" s="208"/>
      <c r="BH712" s="208"/>
      <c r="BI712" s="323"/>
    </row>
    <row r="713" spans="3:61" ht="15" customHeight="1">
      <c r="C713" s="325"/>
      <c r="D713" s="326"/>
      <c r="E713" s="311"/>
      <c r="F713" s="311"/>
      <c r="G713" s="311"/>
      <c r="H713" s="311"/>
      <c r="I713" s="311"/>
      <c r="J713" s="317"/>
      <c r="K713" s="312"/>
      <c r="L713" s="312"/>
      <c r="M713" s="312"/>
      <c r="N713" s="312"/>
      <c r="O713" s="312"/>
      <c r="P713" s="318" t="str">
        <f t="shared" si="32"/>
        <v/>
      </c>
      <c r="Q713" s="205" t="str">
        <f t="shared" si="30"/>
        <v/>
      </c>
      <c r="R713" s="205"/>
      <c r="S713" s="319" t="str">
        <f t="shared" si="31"/>
        <v/>
      </c>
      <c r="U713" s="318"/>
      <c r="V713" s="794"/>
      <c r="W713" s="795"/>
      <c r="X713" s="482"/>
      <c r="Y713" s="482"/>
      <c r="Z713" s="482"/>
      <c r="AA713" s="319"/>
      <c r="AB713" s="220"/>
      <c r="AC713" s="318"/>
      <c r="AD713" s="319"/>
      <c r="AE713" s="220"/>
      <c r="AF713" s="320"/>
      <c r="AG713" s="205"/>
      <c r="AH713" s="205"/>
      <c r="AI713" s="205"/>
      <c r="AJ713" s="205"/>
      <c r="AK713" s="205"/>
      <c r="AL713" s="205"/>
      <c r="AM713" s="205"/>
      <c r="AN713" s="205"/>
      <c r="AO713" s="205"/>
      <c r="AP713" s="205"/>
      <c r="AQ713" s="205"/>
      <c r="AR713" s="205"/>
      <c r="AS713" s="205"/>
      <c r="AT713" s="205"/>
      <c r="AU713" s="205"/>
      <c r="AV713" s="205"/>
      <c r="AW713" s="205"/>
      <c r="AX713" s="205"/>
      <c r="AY713" s="205"/>
      <c r="AZ713" s="205"/>
      <c r="BA713" s="205"/>
      <c r="BB713" s="205"/>
      <c r="BC713" s="205"/>
      <c r="BD713" s="205"/>
      <c r="BE713" s="205"/>
      <c r="BF713" s="205"/>
      <c r="BG713" s="205"/>
      <c r="BH713" s="205"/>
      <c r="BI713" s="319"/>
    </row>
    <row r="714" spans="3:61" ht="15" customHeight="1">
      <c r="C714" s="325"/>
      <c r="D714" s="326"/>
      <c r="E714" s="311"/>
      <c r="F714" s="311"/>
      <c r="G714" s="311"/>
      <c r="H714" s="311"/>
      <c r="I714" s="311"/>
      <c r="J714" s="317"/>
      <c r="K714" s="312"/>
      <c r="L714" s="312"/>
      <c r="M714" s="312"/>
      <c r="N714" s="312"/>
      <c r="O714" s="312"/>
      <c r="P714" s="322" t="str">
        <f t="shared" si="32"/>
        <v/>
      </c>
      <c r="Q714" s="208" t="str">
        <f t="shared" si="30"/>
        <v/>
      </c>
      <c r="R714" s="208"/>
      <c r="S714" s="323" t="str">
        <f t="shared" si="31"/>
        <v/>
      </c>
      <c r="U714" s="322"/>
      <c r="V714" s="791"/>
      <c r="W714" s="792"/>
      <c r="X714" s="480"/>
      <c r="Y714" s="480"/>
      <c r="Z714" s="480"/>
      <c r="AA714" s="323"/>
      <c r="AB714" s="220"/>
      <c r="AC714" s="322"/>
      <c r="AD714" s="323"/>
      <c r="AE714" s="220"/>
      <c r="AF714" s="324"/>
      <c r="AG714" s="208"/>
      <c r="AH714" s="208"/>
      <c r="AI714" s="208"/>
      <c r="AJ714" s="208"/>
      <c r="AK714" s="208"/>
      <c r="AL714" s="208"/>
      <c r="AM714" s="208"/>
      <c r="AN714" s="208"/>
      <c r="AO714" s="208"/>
      <c r="AP714" s="208"/>
      <c r="AQ714" s="208"/>
      <c r="AR714" s="208"/>
      <c r="AS714" s="208"/>
      <c r="AT714" s="208"/>
      <c r="AU714" s="208"/>
      <c r="AV714" s="208"/>
      <c r="AW714" s="208"/>
      <c r="AX714" s="208"/>
      <c r="AY714" s="208"/>
      <c r="AZ714" s="208"/>
      <c r="BA714" s="208"/>
      <c r="BB714" s="208"/>
      <c r="BC714" s="208"/>
      <c r="BD714" s="208"/>
      <c r="BE714" s="208"/>
      <c r="BF714" s="208"/>
      <c r="BG714" s="208"/>
      <c r="BH714" s="208"/>
      <c r="BI714" s="323"/>
    </row>
    <row r="715" spans="3:61" ht="15" customHeight="1">
      <c r="C715" s="325"/>
      <c r="D715" s="326"/>
      <c r="E715" s="311"/>
      <c r="F715" s="311"/>
      <c r="G715" s="311"/>
      <c r="H715" s="311"/>
      <c r="I715" s="311"/>
      <c r="J715" s="317"/>
      <c r="K715" s="312"/>
      <c r="L715" s="312"/>
      <c r="M715" s="312"/>
      <c r="N715" s="312"/>
      <c r="O715" s="312"/>
      <c r="P715" s="318" t="str">
        <f t="shared" si="32"/>
        <v/>
      </c>
      <c r="Q715" s="205" t="str">
        <f t="shared" ref="Q715:Q778" si="33">IF($AA715 = "", "", $AA715/$AA$10*100)</f>
        <v/>
      </c>
      <c r="R715" s="205"/>
      <c r="S715" s="319" t="str">
        <f t="shared" ref="S715:S778" si="34">IF($AD715 = "", "", $AD715/$AD$10*100)</f>
        <v/>
      </c>
      <c r="U715" s="318"/>
      <c r="V715" s="794"/>
      <c r="W715" s="795"/>
      <c r="X715" s="482"/>
      <c r="Y715" s="482"/>
      <c r="Z715" s="482"/>
      <c r="AA715" s="319"/>
      <c r="AB715" s="220"/>
      <c r="AC715" s="318"/>
      <c r="AD715" s="319"/>
      <c r="AE715" s="220"/>
      <c r="AF715" s="320"/>
      <c r="AG715" s="205"/>
      <c r="AH715" s="205"/>
      <c r="AI715" s="205"/>
      <c r="AJ715" s="205"/>
      <c r="AK715" s="205"/>
      <c r="AL715" s="205"/>
      <c r="AM715" s="205"/>
      <c r="AN715" s="205"/>
      <c r="AO715" s="205"/>
      <c r="AP715" s="205"/>
      <c r="AQ715" s="205"/>
      <c r="AR715" s="205"/>
      <c r="AS715" s="205"/>
      <c r="AT715" s="205"/>
      <c r="AU715" s="205"/>
      <c r="AV715" s="205"/>
      <c r="AW715" s="205"/>
      <c r="AX715" s="205"/>
      <c r="AY715" s="205"/>
      <c r="AZ715" s="205"/>
      <c r="BA715" s="205"/>
      <c r="BB715" s="205"/>
      <c r="BC715" s="205"/>
      <c r="BD715" s="205"/>
      <c r="BE715" s="205"/>
      <c r="BF715" s="205"/>
      <c r="BG715" s="205"/>
      <c r="BH715" s="205"/>
      <c r="BI715" s="319"/>
    </row>
    <row r="716" spans="3:61" ht="15" customHeight="1">
      <c r="C716" s="325"/>
      <c r="D716" s="326"/>
      <c r="E716" s="311"/>
      <c r="F716" s="311"/>
      <c r="G716" s="311"/>
      <c r="H716" s="311"/>
      <c r="I716" s="311"/>
      <c r="J716" s="317"/>
      <c r="K716" s="312"/>
      <c r="L716" s="312"/>
      <c r="M716" s="312"/>
      <c r="N716" s="312"/>
      <c r="O716" s="312"/>
      <c r="P716" s="322" t="str">
        <f t="shared" ref="P716:P779" si="35">IF(U716="", "", U716)</f>
        <v/>
      </c>
      <c r="Q716" s="208" t="str">
        <f t="shared" si="33"/>
        <v/>
      </c>
      <c r="R716" s="208"/>
      <c r="S716" s="323" t="str">
        <f t="shared" si="34"/>
        <v/>
      </c>
      <c r="U716" s="322"/>
      <c r="V716" s="791"/>
      <c r="W716" s="792"/>
      <c r="X716" s="480"/>
      <c r="Y716" s="480"/>
      <c r="Z716" s="480"/>
      <c r="AA716" s="323"/>
      <c r="AB716" s="220"/>
      <c r="AC716" s="322"/>
      <c r="AD716" s="323"/>
      <c r="AE716" s="220"/>
      <c r="AF716" s="324"/>
      <c r="AG716" s="208"/>
      <c r="AH716" s="208"/>
      <c r="AI716" s="208"/>
      <c r="AJ716" s="208"/>
      <c r="AK716" s="208"/>
      <c r="AL716" s="208"/>
      <c r="AM716" s="208"/>
      <c r="AN716" s="208"/>
      <c r="AO716" s="208"/>
      <c r="AP716" s="208"/>
      <c r="AQ716" s="208"/>
      <c r="AR716" s="208"/>
      <c r="AS716" s="208"/>
      <c r="AT716" s="208"/>
      <c r="AU716" s="208"/>
      <c r="AV716" s="208"/>
      <c r="AW716" s="208"/>
      <c r="AX716" s="208"/>
      <c r="AY716" s="208"/>
      <c r="AZ716" s="208"/>
      <c r="BA716" s="208"/>
      <c r="BB716" s="208"/>
      <c r="BC716" s="208"/>
      <c r="BD716" s="208"/>
      <c r="BE716" s="208"/>
      <c r="BF716" s="208"/>
      <c r="BG716" s="208"/>
      <c r="BH716" s="208"/>
      <c r="BI716" s="323"/>
    </row>
    <row r="717" spans="3:61" ht="15" customHeight="1">
      <c r="C717" s="325"/>
      <c r="D717" s="326"/>
      <c r="E717" s="311"/>
      <c r="F717" s="311"/>
      <c r="G717" s="311"/>
      <c r="H717" s="311"/>
      <c r="I717" s="311"/>
      <c r="J717" s="317"/>
      <c r="K717" s="312"/>
      <c r="L717" s="312"/>
      <c r="M717" s="312"/>
      <c r="N717" s="312"/>
      <c r="O717" s="312"/>
      <c r="P717" s="318" t="str">
        <f t="shared" si="35"/>
        <v/>
      </c>
      <c r="Q717" s="205" t="str">
        <f t="shared" si="33"/>
        <v/>
      </c>
      <c r="R717" s="205"/>
      <c r="S717" s="319" t="str">
        <f t="shared" si="34"/>
        <v/>
      </c>
      <c r="U717" s="318"/>
      <c r="V717" s="794"/>
      <c r="W717" s="795"/>
      <c r="X717" s="482"/>
      <c r="Y717" s="482"/>
      <c r="Z717" s="482"/>
      <c r="AA717" s="319"/>
      <c r="AB717" s="220"/>
      <c r="AC717" s="318"/>
      <c r="AD717" s="319"/>
      <c r="AE717" s="220"/>
      <c r="AF717" s="320"/>
      <c r="AG717" s="205"/>
      <c r="AH717" s="205"/>
      <c r="AI717" s="205"/>
      <c r="AJ717" s="205"/>
      <c r="AK717" s="205"/>
      <c r="AL717" s="205"/>
      <c r="AM717" s="205"/>
      <c r="AN717" s="205"/>
      <c r="AO717" s="205"/>
      <c r="AP717" s="205"/>
      <c r="AQ717" s="205"/>
      <c r="AR717" s="205"/>
      <c r="AS717" s="205"/>
      <c r="AT717" s="205"/>
      <c r="AU717" s="205"/>
      <c r="AV717" s="205"/>
      <c r="AW717" s="205"/>
      <c r="AX717" s="205"/>
      <c r="AY717" s="205"/>
      <c r="AZ717" s="205"/>
      <c r="BA717" s="205"/>
      <c r="BB717" s="205"/>
      <c r="BC717" s="205"/>
      <c r="BD717" s="205"/>
      <c r="BE717" s="205"/>
      <c r="BF717" s="205"/>
      <c r="BG717" s="205"/>
      <c r="BH717" s="205"/>
      <c r="BI717" s="319"/>
    </row>
    <row r="718" spans="3:61" ht="15" customHeight="1">
      <c r="C718" s="325"/>
      <c r="D718" s="326"/>
      <c r="E718" s="311"/>
      <c r="F718" s="311"/>
      <c r="G718" s="311"/>
      <c r="H718" s="311"/>
      <c r="I718" s="311"/>
      <c r="J718" s="317"/>
      <c r="K718" s="312"/>
      <c r="L718" s="312"/>
      <c r="M718" s="312"/>
      <c r="N718" s="312"/>
      <c r="O718" s="312"/>
      <c r="P718" s="322" t="str">
        <f t="shared" si="35"/>
        <v/>
      </c>
      <c r="Q718" s="208" t="str">
        <f t="shared" si="33"/>
        <v/>
      </c>
      <c r="R718" s="208"/>
      <c r="S718" s="323" t="str">
        <f t="shared" si="34"/>
        <v/>
      </c>
      <c r="U718" s="322"/>
      <c r="V718" s="791"/>
      <c r="W718" s="792"/>
      <c r="X718" s="480"/>
      <c r="Y718" s="480"/>
      <c r="Z718" s="480"/>
      <c r="AA718" s="323"/>
      <c r="AB718" s="220"/>
      <c r="AC718" s="322"/>
      <c r="AD718" s="323"/>
      <c r="AE718" s="220"/>
      <c r="AF718" s="324"/>
      <c r="AG718" s="208"/>
      <c r="AH718" s="208"/>
      <c r="AI718" s="208"/>
      <c r="AJ718" s="208"/>
      <c r="AK718" s="208"/>
      <c r="AL718" s="208"/>
      <c r="AM718" s="208"/>
      <c r="AN718" s="208"/>
      <c r="AO718" s="208"/>
      <c r="AP718" s="208"/>
      <c r="AQ718" s="208"/>
      <c r="AR718" s="208"/>
      <c r="AS718" s="208"/>
      <c r="AT718" s="208"/>
      <c r="AU718" s="208"/>
      <c r="AV718" s="208"/>
      <c r="AW718" s="208"/>
      <c r="AX718" s="208"/>
      <c r="AY718" s="208"/>
      <c r="AZ718" s="208"/>
      <c r="BA718" s="208"/>
      <c r="BB718" s="208"/>
      <c r="BC718" s="208"/>
      <c r="BD718" s="208"/>
      <c r="BE718" s="208"/>
      <c r="BF718" s="208"/>
      <c r="BG718" s="208"/>
      <c r="BH718" s="208"/>
      <c r="BI718" s="323"/>
    </row>
    <row r="719" spans="3:61" ht="15" customHeight="1">
      <c r="C719" s="325"/>
      <c r="D719" s="326"/>
      <c r="E719" s="311"/>
      <c r="F719" s="311"/>
      <c r="G719" s="311"/>
      <c r="H719" s="311"/>
      <c r="I719" s="311"/>
      <c r="J719" s="317"/>
      <c r="K719" s="312"/>
      <c r="L719" s="312"/>
      <c r="M719" s="312"/>
      <c r="N719" s="312"/>
      <c r="O719" s="312"/>
      <c r="P719" s="318" t="str">
        <f t="shared" si="35"/>
        <v/>
      </c>
      <c r="Q719" s="205" t="str">
        <f t="shared" si="33"/>
        <v/>
      </c>
      <c r="R719" s="205"/>
      <c r="S719" s="319" t="str">
        <f t="shared" si="34"/>
        <v/>
      </c>
      <c r="U719" s="318"/>
      <c r="V719" s="794"/>
      <c r="W719" s="795"/>
      <c r="X719" s="482"/>
      <c r="Y719" s="482"/>
      <c r="Z719" s="482"/>
      <c r="AA719" s="319"/>
      <c r="AB719" s="220"/>
      <c r="AC719" s="318"/>
      <c r="AD719" s="319"/>
      <c r="AE719" s="220"/>
      <c r="AF719" s="320"/>
      <c r="AG719" s="205"/>
      <c r="AH719" s="205"/>
      <c r="AI719" s="205"/>
      <c r="AJ719" s="205"/>
      <c r="AK719" s="205"/>
      <c r="AL719" s="205"/>
      <c r="AM719" s="205"/>
      <c r="AN719" s="205"/>
      <c r="AO719" s="205"/>
      <c r="AP719" s="205"/>
      <c r="AQ719" s="205"/>
      <c r="AR719" s="205"/>
      <c r="AS719" s="205"/>
      <c r="AT719" s="205"/>
      <c r="AU719" s="205"/>
      <c r="AV719" s="205"/>
      <c r="AW719" s="205"/>
      <c r="AX719" s="205"/>
      <c r="AY719" s="205"/>
      <c r="AZ719" s="205"/>
      <c r="BA719" s="205"/>
      <c r="BB719" s="205"/>
      <c r="BC719" s="205"/>
      <c r="BD719" s="205"/>
      <c r="BE719" s="205"/>
      <c r="BF719" s="205"/>
      <c r="BG719" s="205"/>
      <c r="BH719" s="205"/>
      <c r="BI719" s="319"/>
    </row>
    <row r="720" spans="3:61" ht="15" customHeight="1">
      <c r="C720" s="325"/>
      <c r="D720" s="326"/>
      <c r="E720" s="311"/>
      <c r="F720" s="311"/>
      <c r="G720" s="311"/>
      <c r="H720" s="311"/>
      <c r="I720" s="311"/>
      <c r="J720" s="317"/>
      <c r="K720" s="312"/>
      <c r="L720" s="312"/>
      <c r="M720" s="312"/>
      <c r="N720" s="312"/>
      <c r="O720" s="312"/>
      <c r="P720" s="322" t="str">
        <f t="shared" si="35"/>
        <v/>
      </c>
      <c r="Q720" s="208" t="str">
        <f t="shared" si="33"/>
        <v/>
      </c>
      <c r="R720" s="208"/>
      <c r="S720" s="323" t="str">
        <f t="shared" si="34"/>
        <v/>
      </c>
      <c r="U720" s="322"/>
      <c r="V720" s="791"/>
      <c r="W720" s="792"/>
      <c r="X720" s="480"/>
      <c r="Y720" s="480"/>
      <c r="Z720" s="480"/>
      <c r="AA720" s="323"/>
      <c r="AB720" s="220"/>
      <c r="AC720" s="322"/>
      <c r="AD720" s="323"/>
      <c r="AE720" s="220"/>
      <c r="AF720" s="324"/>
      <c r="AG720" s="208"/>
      <c r="AH720" s="208"/>
      <c r="AI720" s="208"/>
      <c r="AJ720" s="208"/>
      <c r="AK720" s="208"/>
      <c r="AL720" s="208"/>
      <c r="AM720" s="208"/>
      <c r="AN720" s="208"/>
      <c r="AO720" s="208"/>
      <c r="AP720" s="208"/>
      <c r="AQ720" s="208"/>
      <c r="AR720" s="208"/>
      <c r="AS720" s="208"/>
      <c r="AT720" s="208"/>
      <c r="AU720" s="208"/>
      <c r="AV720" s="208"/>
      <c r="AW720" s="208"/>
      <c r="AX720" s="208"/>
      <c r="AY720" s="208"/>
      <c r="AZ720" s="208"/>
      <c r="BA720" s="208"/>
      <c r="BB720" s="208"/>
      <c r="BC720" s="208"/>
      <c r="BD720" s="208"/>
      <c r="BE720" s="208"/>
      <c r="BF720" s="208"/>
      <c r="BG720" s="208"/>
      <c r="BH720" s="208"/>
      <c r="BI720" s="323"/>
    </row>
    <row r="721" spans="3:61" ht="15" customHeight="1">
      <c r="C721" s="325"/>
      <c r="D721" s="326"/>
      <c r="E721" s="311"/>
      <c r="F721" s="311"/>
      <c r="G721" s="311"/>
      <c r="H721" s="311"/>
      <c r="I721" s="311"/>
      <c r="J721" s="317"/>
      <c r="K721" s="312"/>
      <c r="L721" s="312"/>
      <c r="M721" s="312"/>
      <c r="N721" s="312"/>
      <c r="O721" s="312"/>
      <c r="P721" s="318" t="str">
        <f t="shared" si="35"/>
        <v/>
      </c>
      <c r="Q721" s="205" t="str">
        <f t="shared" si="33"/>
        <v/>
      </c>
      <c r="R721" s="205"/>
      <c r="S721" s="319" t="str">
        <f t="shared" si="34"/>
        <v/>
      </c>
      <c r="U721" s="318"/>
      <c r="V721" s="794"/>
      <c r="W721" s="795"/>
      <c r="X721" s="482"/>
      <c r="Y721" s="482"/>
      <c r="Z721" s="482"/>
      <c r="AA721" s="319"/>
      <c r="AB721" s="220"/>
      <c r="AC721" s="318"/>
      <c r="AD721" s="319"/>
      <c r="AE721" s="220"/>
      <c r="AF721" s="320"/>
      <c r="AG721" s="205"/>
      <c r="AH721" s="205"/>
      <c r="AI721" s="205"/>
      <c r="AJ721" s="205"/>
      <c r="AK721" s="205"/>
      <c r="AL721" s="205"/>
      <c r="AM721" s="205"/>
      <c r="AN721" s="205"/>
      <c r="AO721" s="205"/>
      <c r="AP721" s="205"/>
      <c r="AQ721" s="205"/>
      <c r="AR721" s="205"/>
      <c r="AS721" s="205"/>
      <c r="AT721" s="205"/>
      <c r="AU721" s="205"/>
      <c r="AV721" s="205"/>
      <c r="AW721" s="205"/>
      <c r="AX721" s="205"/>
      <c r="AY721" s="205"/>
      <c r="AZ721" s="205"/>
      <c r="BA721" s="205"/>
      <c r="BB721" s="205"/>
      <c r="BC721" s="205"/>
      <c r="BD721" s="205"/>
      <c r="BE721" s="205"/>
      <c r="BF721" s="205"/>
      <c r="BG721" s="205"/>
      <c r="BH721" s="205"/>
      <c r="BI721" s="319"/>
    </row>
    <row r="722" spans="3:61" ht="15" customHeight="1">
      <c r="C722" s="325"/>
      <c r="D722" s="326"/>
      <c r="E722" s="311"/>
      <c r="F722" s="311"/>
      <c r="G722" s="311"/>
      <c r="H722" s="311"/>
      <c r="I722" s="311"/>
      <c r="J722" s="317"/>
      <c r="K722" s="312"/>
      <c r="L722" s="312"/>
      <c r="M722" s="312"/>
      <c r="N722" s="312"/>
      <c r="O722" s="312"/>
      <c r="P722" s="322" t="str">
        <f t="shared" si="35"/>
        <v/>
      </c>
      <c r="Q722" s="208" t="str">
        <f t="shared" si="33"/>
        <v/>
      </c>
      <c r="R722" s="208"/>
      <c r="S722" s="323" t="str">
        <f t="shared" si="34"/>
        <v/>
      </c>
      <c r="U722" s="322"/>
      <c r="V722" s="791"/>
      <c r="W722" s="792"/>
      <c r="X722" s="480"/>
      <c r="Y722" s="480"/>
      <c r="Z722" s="480"/>
      <c r="AA722" s="323"/>
      <c r="AB722" s="220"/>
      <c r="AC722" s="322"/>
      <c r="AD722" s="323"/>
      <c r="AE722" s="220"/>
      <c r="AF722" s="324"/>
      <c r="AG722" s="208"/>
      <c r="AH722" s="208"/>
      <c r="AI722" s="208"/>
      <c r="AJ722" s="208"/>
      <c r="AK722" s="208"/>
      <c r="AL722" s="208"/>
      <c r="AM722" s="208"/>
      <c r="AN722" s="208"/>
      <c r="AO722" s="208"/>
      <c r="AP722" s="208"/>
      <c r="AQ722" s="208"/>
      <c r="AR722" s="208"/>
      <c r="AS722" s="208"/>
      <c r="AT722" s="208"/>
      <c r="AU722" s="208"/>
      <c r="AV722" s="208"/>
      <c r="AW722" s="208"/>
      <c r="AX722" s="208"/>
      <c r="AY722" s="208"/>
      <c r="AZ722" s="208"/>
      <c r="BA722" s="208"/>
      <c r="BB722" s="208"/>
      <c r="BC722" s="208"/>
      <c r="BD722" s="208"/>
      <c r="BE722" s="208"/>
      <c r="BF722" s="208"/>
      <c r="BG722" s="208"/>
      <c r="BH722" s="208"/>
      <c r="BI722" s="323"/>
    </row>
    <row r="723" spans="3:61" ht="15" customHeight="1">
      <c r="C723" s="325"/>
      <c r="D723" s="326"/>
      <c r="E723" s="311"/>
      <c r="F723" s="311"/>
      <c r="G723" s="311"/>
      <c r="H723" s="311"/>
      <c r="I723" s="311"/>
      <c r="J723" s="317"/>
      <c r="K723" s="312"/>
      <c r="L723" s="312"/>
      <c r="M723" s="312"/>
      <c r="N723" s="312"/>
      <c r="O723" s="312"/>
      <c r="P723" s="318" t="str">
        <f t="shared" si="35"/>
        <v/>
      </c>
      <c r="Q723" s="205" t="str">
        <f t="shared" si="33"/>
        <v/>
      </c>
      <c r="R723" s="205"/>
      <c r="S723" s="319" t="str">
        <f t="shared" si="34"/>
        <v/>
      </c>
      <c r="U723" s="318"/>
      <c r="V723" s="794"/>
      <c r="W723" s="795"/>
      <c r="X723" s="482"/>
      <c r="Y723" s="482"/>
      <c r="Z723" s="482"/>
      <c r="AA723" s="319"/>
      <c r="AB723" s="220"/>
      <c r="AC723" s="318"/>
      <c r="AD723" s="319"/>
      <c r="AE723" s="220"/>
      <c r="AF723" s="320"/>
      <c r="AG723" s="205"/>
      <c r="AH723" s="205"/>
      <c r="AI723" s="205"/>
      <c r="AJ723" s="205"/>
      <c r="AK723" s="205"/>
      <c r="AL723" s="205"/>
      <c r="AM723" s="205"/>
      <c r="AN723" s="205"/>
      <c r="AO723" s="205"/>
      <c r="AP723" s="205"/>
      <c r="AQ723" s="205"/>
      <c r="AR723" s="205"/>
      <c r="AS723" s="205"/>
      <c r="AT723" s="205"/>
      <c r="AU723" s="205"/>
      <c r="AV723" s="205"/>
      <c r="AW723" s="205"/>
      <c r="AX723" s="205"/>
      <c r="AY723" s="205"/>
      <c r="AZ723" s="205"/>
      <c r="BA723" s="205"/>
      <c r="BB723" s="205"/>
      <c r="BC723" s="205"/>
      <c r="BD723" s="205"/>
      <c r="BE723" s="205"/>
      <c r="BF723" s="205"/>
      <c r="BG723" s="205"/>
      <c r="BH723" s="205"/>
      <c r="BI723" s="319"/>
    </row>
    <row r="724" spans="3:61" ht="15" customHeight="1">
      <c r="C724" s="325"/>
      <c r="D724" s="326"/>
      <c r="E724" s="311"/>
      <c r="F724" s="311"/>
      <c r="G724" s="311"/>
      <c r="H724" s="311"/>
      <c r="I724" s="311"/>
      <c r="J724" s="317"/>
      <c r="K724" s="312"/>
      <c r="L724" s="312"/>
      <c r="M724" s="312"/>
      <c r="N724" s="312"/>
      <c r="O724" s="312"/>
      <c r="P724" s="322" t="str">
        <f t="shared" si="35"/>
        <v/>
      </c>
      <c r="Q724" s="208" t="str">
        <f t="shared" si="33"/>
        <v/>
      </c>
      <c r="R724" s="208"/>
      <c r="S724" s="323" t="str">
        <f t="shared" si="34"/>
        <v/>
      </c>
      <c r="U724" s="322"/>
      <c r="V724" s="791"/>
      <c r="W724" s="792"/>
      <c r="X724" s="480"/>
      <c r="Y724" s="480"/>
      <c r="Z724" s="480"/>
      <c r="AA724" s="323"/>
      <c r="AB724" s="220"/>
      <c r="AC724" s="322"/>
      <c r="AD724" s="323"/>
      <c r="AE724" s="220"/>
      <c r="AF724" s="324"/>
      <c r="AG724" s="208"/>
      <c r="AH724" s="208"/>
      <c r="AI724" s="208"/>
      <c r="AJ724" s="208"/>
      <c r="AK724" s="208"/>
      <c r="AL724" s="208"/>
      <c r="AM724" s="208"/>
      <c r="AN724" s="208"/>
      <c r="AO724" s="208"/>
      <c r="AP724" s="208"/>
      <c r="AQ724" s="208"/>
      <c r="AR724" s="208"/>
      <c r="AS724" s="208"/>
      <c r="AT724" s="208"/>
      <c r="AU724" s="208"/>
      <c r="AV724" s="208"/>
      <c r="AW724" s="208"/>
      <c r="AX724" s="208"/>
      <c r="AY724" s="208"/>
      <c r="AZ724" s="208"/>
      <c r="BA724" s="208"/>
      <c r="BB724" s="208"/>
      <c r="BC724" s="208"/>
      <c r="BD724" s="208"/>
      <c r="BE724" s="208"/>
      <c r="BF724" s="208"/>
      <c r="BG724" s="208"/>
      <c r="BH724" s="208"/>
      <c r="BI724" s="323"/>
    </row>
    <row r="725" spans="3:61" ht="15" customHeight="1">
      <c r="C725" s="325"/>
      <c r="D725" s="326"/>
      <c r="E725" s="311"/>
      <c r="F725" s="311"/>
      <c r="G725" s="311"/>
      <c r="H725" s="311"/>
      <c r="I725" s="311"/>
      <c r="J725" s="317"/>
      <c r="K725" s="312"/>
      <c r="L725" s="312"/>
      <c r="M725" s="312"/>
      <c r="N725" s="312"/>
      <c r="O725" s="312"/>
      <c r="P725" s="318" t="str">
        <f t="shared" si="35"/>
        <v/>
      </c>
      <c r="Q725" s="205" t="str">
        <f t="shared" si="33"/>
        <v/>
      </c>
      <c r="R725" s="205"/>
      <c r="S725" s="319" t="str">
        <f t="shared" si="34"/>
        <v/>
      </c>
      <c r="U725" s="318"/>
      <c r="V725" s="794"/>
      <c r="W725" s="795"/>
      <c r="X725" s="482"/>
      <c r="Y725" s="482"/>
      <c r="Z725" s="482"/>
      <c r="AA725" s="319"/>
      <c r="AB725" s="220"/>
      <c r="AC725" s="318"/>
      <c r="AD725" s="319"/>
      <c r="AE725" s="220"/>
      <c r="AF725" s="320"/>
      <c r="AG725" s="205"/>
      <c r="AH725" s="205"/>
      <c r="AI725" s="205"/>
      <c r="AJ725" s="205"/>
      <c r="AK725" s="205"/>
      <c r="AL725" s="205"/>
      <c r="AM725" s="205"/>
      <c r="AN725" s="205"/>
      <c r="AO725" s="205"/>
      <c r="AP725" s="205"/>
      <c r="AQ725" s="205"/>
      <c r="AR725" s="205"/>
      <c r="AS725" s="205"/>
      <c r="AT725" s="205"/>
      <c r="AU725" s="205"/>
      <c r="AV725" s="205"/>
      <c r="AW725" s="205"/>
      <c r="AX725" s="205"/>
      <c r="AY725" s="205"/>
      <c r="AZ725" s="205"/>
      <c r="BA725" s="205"/>
      <c r="BB725" s="205"/>
      <c r="BC725" s="205"/>
      <c r="BD725" s="205"/>
      <c r="BE725" s="205"/>
      <c r="BF725" s="205"/>
      <c r="BG725" s="205"/>
      <c r="BH725" s="205"/>
      <c r="BI725" s="319"/>
    </row>
    <row r="726" spans="3:61" ht="15" customHeight="1">
      <c r="C726" s="325"/>
      <c r="D726" s="326"/>
      <c r="E726" s="311"/>
      <c r="F726" s="311"/>
      <c r="G726" s="311"/>
      <c r="H726" s="311"/>
      <c r="I726" s="311"/>
      <c r="J726" s="317"/>
      <c r="K726" s="312"/>
      <c r="L726" s="312"/>
      <c r="M726" s="312"/>
      <c r="N726" s="312"/>
      <c r="O726" s="312"/>
      <c r="P726" s="322" t="str">
        <f t="shared" si="35"/>
        <v/>
      </c>
      <c r="Q726" s="208" t="str">
        <f t="shared" si="33"/>
        <v/>
      </c>
      <c r="R726" s="208"/>
      <c r="S726" s="323" t="str">
        <f t="shared" si="34"/>
        <v/>
      </c>
      <c r="U726" s="322"/>
      <c r="V726" s="791"/>
      <c r="W726" s="792"/>
      <c r="X726" s="480"/>
      <c r="Y726" s="480"/>
      <c r="Z726" s="480"/>
      <c r="AA726" s="323"/>
      <c r="AB726" s="220"/>
      <c r="AC726" s="322"/>
      <c r="AD726" s="323"/>
      <c r="AE726" s="220"/>
      <c r="AF726" s="324"/>
      <c r="AG726" s="208"/>
      <c r="AH726" s="208"/>
      <c r="AI726" s="208"/>
      <c r="AJ726" s="208"/>
      <c r="AK726" s="208"/>
      <c r="AL726" s="208"/>
      <c r="AM726" s="208"/>
      <c r="AN726" s="208"/>
      <c r="AO726" s="208"/>
      <c r="AP726" s="208"/>
      <c r="AQ726" s="208"/>
      <c r="AR726" s="208"/>
      <c r="AS726" s="208"/>
      <c r="AT726" s="208"/>
      <c r="AU726" s="208"/>
      <c r="AV726" s="208"/>
      <c r="AW726" s="208"/>
      <c r="AX726" s="208"/>
      <c r="AY726" s="208"/>
      <c r="AZ726" s="208"/>
      <c r="BA726" s="208"/>
      <c r="BB726" s="208"/>
      <c r="BC726" s="208"/>
      <c r="BD726" s="208"/>
      <c r="BE726" s="208"/>
      <c r="BF726" s="208"/>
      <c r="BG726" s="208"/>
      <c r="BH726" s="208"/>
      <c r="BI726" s="323"/>
    </row>
    <row r="727" spans="3:61" ht="15" customHeight="1">
      <c r="C727" s="325"/>
      <c r="D727" s="326"/>
      <c r="E727" s="311"/>
      <c r="F727" s="311"/>
      <c r="G727" s="311"/>
      <c r="H727" s="311"/>
      <c r="I727" s="311"/>
      <c r="J727" s="317"/>
      <c r="K727" s="312"/>
      <c r="L727" s="312"/>
      <c r="M727" s="312"/>
      <c r="N727" s="312"/>
      <c r="O727" s="312"/>
      <c r="P727" s="318" t="str">
        <f t="shared" si="35"/>
        <v/>
      </c>
      <c r="Q727" s="205" t="str">
        <f t="shared" si="33"/>
        <v/>
      </c>
      <c r="R727" s="205"/>
      <c r="S727" s="319" t="str">
        <f t="shared" si="34"/>
        <v/>
      </c>
      <c r="U727" s="318"/>
      <c r="V727" s="794"/>
      <c r="W727" s="795"/>
      <c r="X727" s="482"/>
      <c r="Y727" s="482"/>
      <c r="Z727" s="482"/>
      <c r="AA727" s="319"/>
      <c r="AB727" s="220"/>
      <c r="AC727" s="318"/>
      <c r="AD727" s="319"/>
      <c r="AE727" s="220"/>
      <c r="AF727" s="320"/>
      <c r="AG727" s="205"/>
      <c r="AH727" s="205"/>
      <c r="AI727" s="205"/>
      <c r="AJ727" s="205"/>
      <c r="AK727" s="205"/>
      <c r="AL727" s="205"/>
      <c r="AM727" s="205"/>
      <c r="AN727" s="205"/>
      <c r="AO727" s="205"/>
      <c r="AP727" s="205"/>
      <c r="AQ727" s="205"/>
      <c r="AR727" s="205"/>
      <c r="AS727" s="205"/>
      <c r="AT727" s="205"/>
      <c r="AU727" s="205"/>
      <c r="AV727" s="205"/>
      <c r="AW727" s="205"/>
      <c r="AX727" s="205"/>
      <c r="AY727" s="205"/>
      <c r="AZ727" s="205"/>
      <c r="BA727" s="205"/>
      <c r="BB727" s="205"/>
      <c r="BC727" s="205"/>
      <c r="BD727" s="205"/>
      <c r="BE727" s="205"/>
      <c r="BF727" s="205"/>
      <c r="BG727" s="205"/>
      <c r="BH727" s="205"/>
      <c r="BI727" s="319"/>
    </row>
    <row r="728" spans="3:61" ht="15" customHeight="1">
      <c r="C728" s="325"/>
      <c r="D728" s="326"/>
      <c r="E728" s="311"/>
      <c r="F728" s="311"/>
      <c r="G728" s="311"/>
      <c r="H728" s="311"/>
      <c r="I728" s="311"/>
      <c r="J728" s="317"/>
      <c r="K728" s="312"/>
      <c r="L728" s="312"/>
      <c r="M728" s="312"/>
      <c r="N728" s="312"/>
      <c r="O728" s="312"/>
      <c r="P728" s="322" t="str">
        <f t="shared" si="35"/>
        <v/>
      </c>
      <c r="Q728" s="208" t="str">
        <f t="shared" si="33"/>
        <v/>
      </c>
      <c r="R728" s="208"/>
      <c r="S728" s="323" t="str">
        <f t="shared" si="34"/>
        <v/>
      </c>
      <c r="U728" s="322"/>
      <c r="V728" s="791"/>
      <c r="W728" s="792"/>
      <c r="X728" s="480"/>
      <c r="Y728" s="480"/>
      <c r="Z728" s="480"/>
      <c r="AA728" s="323"/>
      <c r="AB728" s="220"/>
      <c r="AC728" s="322"/>
      <c r="AD728" s="323"/>
      <c r="AE728" s="220"/>
      <c r="AF728" s="324"/>
      <c r="AG728" s="208"/>
      <c r="AH728" s="208"/>
      <c r="AI728" s="208"/>
      <c r="AJ728" s="208"/>
      <c r="AK728" s="208"/>
      <c r="AL728" s="208"/>
      <c r="AM728" s="208"/>
      <c r="AN728" s="208"/>
      <c r="AO728" s="208"/>
      <c r="AP728" s="208"/>
      <c r="AQ728" s="208"/>
      <c r="AR728" s="208"/>
      <c r="AS728" s="208"/>
      <c r="AT728" s="208"/>
      <c r="AU728" s="208"/>
      <c r="AV728" s="208"/>
      <c r="AW728" s="208"/>
      <c r="AX728" s="208"/>
      <c r="AY728" s="208"/>
      <c r="AZ728" s="208"/>
      <c r="BA728" s="208"/>
      <c r="BB728" s="208"/>
      <c r="BC728" s="208"/>
      <c r="BD728" s="208"/>
      <c r="BE728" s="208"/>
      <c r="BF728" s="208"/>
      <c r="BG728" s="208"/>
      <c r="BH728" s="208"/>
      <c r="BI728" s="323"/>
    </row>
    <row r="729" spans="3:61" ht="15" customHeight="1">
      <c r="C729" s="325"/>
      <c r="D729" s="326"/>
      <c r="E729" s="311"/>
      <c r="F729" s="311"/>
      <c r="G729" s="311"/>
      <c r="H729" s="311"/>
      <c r="I729" s="311"/>
      <c r="J729" s="317"/>
      <c r="K729" s="312"/>
      <c r="L729" s="312"/>
      <c r="M729" s="312"/>
      <c r="N729" s="312"/>
      <c r="O729" s="312"/>
      <c r="P729" s="318" t="str">
        <f t="shared" si="35"/>
        <v/>
      </c>
      <c r="Q729" s="205" t="str">
        <f t="shared" si="33"/>
        <v/>
      </c>
      <c r="R729" s="205"/>
      <c r="S729" s="319" t="str">
        <f t="shared" si="34"/>
        <v/>
      </c>
      <c r="U729" s="318"/>
      <c r="V729" s="794"/>
      <c r="W729" s="795"/>
      <c r="X729" s="482"/>
      <c r="Y729" s="482"/>
      <c r="Z729" s="482"/>
      <c r="AA729" s="319"/>
      <c r="AB729" s="220"/>
      <c r="AC729" s="318"/>
      <c r="AD729" s="319"/>
      <c r="AE729" s="220"/>
      <c r="AF729" s="320"/>
      <c r="AG729" s="205"/>
      <c r="AH729" s="205"/>
      <c r="AI729" s="205"/>
      <c r="AJ729" s="205"/>
      <c r="AK729" s="205"/>
      <c r="AL729" s="205"/>
      <c r="AM729" s="205"/>
      <c r="AN729" s="205"/>
      <c r="AO729" s="205"/>
      <c r="AP729" s="205"/>
      <c r="AQ729" s="205"/>
      <c r="AR729" s="205"/>
      <c r="AS729" s="205"/>
      <c r="AT729" s="205"/>
      <c r="AU729" s="205"/>
      <c r="AV729" s="205"/>
      <c r="AW729" s="205"/>
      <c r="AX729" s="205"/>
      <c r="AY729" s="205"/>
      <c r="AZ729" s="205"/>
      <c r="BA729" s="205"/>
      <c r="BB729" s="205"/>
      <c r="BC729" s="205"/>
      <c r="BD729" s="205"/>
      <c r="BE729" s="205"/>
      <c r="BF729" s="205"/>
      <c r="BG729" s="205"/>
      <c r="BH729" s="205"/>
      <c r="BI729" s="319"/>
    </row>
    <row r="730" spans="3:61" ht="15" customHeight="1">
      <c r="C730" s="325"/>
      <c r="D730" s="326"/>
      <c r="E730" s="311"/>
      <c r="F730" s="311"/>
      <c r="G730" s="311"/>
      <c r="H730" s="311"/>
      <c r="I730" s="311"/>
      <c r="J730" s="317"/>
      <c r="K730" s="312"/>
      <c r="L730" s="312"/>
      <c r="M730" s="312"/>
      <c r="N730" s="312"/>
      <c r="O730" s="312"/>
      <c r="P730" s="322" t="str">
        <f t="shared" si="35"/>
        <v/>
      </c>
      <c r="Q730" s="208" t="str">
        <f t="shared" si="33"/>
        <v/>
      </c>
      <c r="R730" s="208"/>
      <c r="S730" s="323" t="str">
        <f t="shared" si="34"/>
        <v/>
      </c>
      <c r="U730" s="322"/>
      <c r="V730" s="791"/>
      <c r="W730" s="792"/>
      <c r="X730" s="480"/>
      <c r="Y730" s="480"/>
      <c r="Z730" s="480"/>
      <c r="AA730" s="323"/>
      <c r="AB730" s="220"/>
      <c r="AC730" s="322"/>
      <c r="AD730" s="323"/>
      <c r="AE730" s="220"/>
      <c r="AF730" s="324"/>
      <c r="AG730" s="208"/>
      <c r="AH730" s="208"/>
      <c r="AI730" s="208"/>
      <c r="AJ730" s="208"/>
      <c r="AK730" s="208"/>
      <c r="AL730" s="208"/>
      <c r="AM730" s="208"/>
      <c r="AN730" s="208"/>
      <c r="AO730" s="208"/>
      <c r="AP730" s="208"/>
      <c r="AQ730" s="208"/>
      <c r="AR730" s="208"/>
      <c r="AS730" s="208"/>
      <c r="AT730" s="208"/>
      <c r="AU730" s="208"/>
      <c r="AV730" s="208"/>
      <c r="AW730" s="208"/>
      <c r="AX730" s="208"/>
      <c r="AY730" s="208"/>
      <c r="AZ730" s="208"/>
      <c r="BA730" s="208"/>
      <c r="BB730" s="208"/>
      <c r="BC730" s="208"/>
      <c r="BD730" s="208"/>
      <c r="BE730" s="208"/>
      <c r="BF730" s="208"/>
      <c r="BG730" s="208"/>
      <c r="BH730" s="208"/>
      <c r="BI730" s="323"/>
    </row>
    <row r="731" spans="3:61" ht="15" customHeight="1">
      <c r="C731" s="325"/>
      <c r="D731" s="326"/>
      <c r="E731" s="311"/>
      <c r="F731" s="311"/>
      <c r="G731" s="311"/>
      <c r="H731" s="311"/>
      <c r="I731" s="311"/>
      <c r="J731" s="317"/>
      <c r="K731" s="312"/>
      <c r="L731" s="312"/>
      <c r="M731" s="312"/>
      <c r="N731" s="312"/>
      <c r="O731" s="312"/>
      <c r="P731" s="318" t="str">
        <f t="shared" si="35"/>
        <v/>
      </c>
      <c r="Q731" s="205" t="str">
        <f t="shared" si="33"/>
        <v/>
      </c>
      <c r="R731" s="205"/>
      <c r="S731" s="319" t="str">
        <f t="shared" si="34"/>
        <v/>
      </c>
      <c r="U731" s="318"/>
      <c r="V731" s="794"/>
      <c r="W731" s="795"/>
      <c r="X731" s="482"/>
      <c r="Y731" s="482"/>
      <c r="Z731" s="482"/>
      <c r="AA731" s="319"/>
      <c r="AB731" s="220"/>
      <c r="AC731" s="318"/>
      <c r="AD731" s="319"/>
      <c r="AE731" s="220"/>
      <c r="AF731" s="320"/>
      <c r="AG731" s="205"/>
      <c r="AH731" s="205"/>
      <c r="AI731" s="205"/>
      <c r="AJ731" s="205"/>
      <c r="AK731" s="205"/>
      <c r="AL731" s="205"/>
      <c r="AM731" s="205"/>
      <c r="AN731" s="205"/>
      <c r="AO731" s="205"/>
      <c r="AP731" s="205"/>
      <c r="AQ731" s="205"/>
      <c r="AR731" s="205"/>
      <c r="AS731" s="205"/>
      <c r="AT731" s="205"/>
      <c r="AU731" s="205"/>
      <c r="AV731" s="205"/>
      <c r="AW731" s="205"/>
      <c r="AX731" s="205"/>
      <c r="AY731" s="205"/>
      <c r="AZ731" s="205"/>
      <c r="BA731" s="205"/>
      <c r="BB731" s="205"/>
      <c r="BC731" s="205"/>
      <c r="BD731" s="205"/>
      <c r="BE731" s="205"/>
      <c r="BF731" s="205"/>
      <c r="BG731" s="205"/>
      <c r="BH731" s="205"/>
      <c r="BI731" s="319"/>
    </row>
    <row r="732" spans="3:61" ht="15" customHeight="1">
      <c r="C732" s="325"/>
      <c r="D732" s="326"/>
      <c r="E732" s="311"/>
      <c r="F732" s="311"/>
      <c r="G732" s="311"/>
      <c r="H732" s="311"/>
      <c r="I732" s="311"/>
      <c r="J732" s="317"/>
      <c r="K732" s="312"/>
      <c r="L732" s="312"/>
      <c r="M732" s="312"/>
      <c r="N732" s="312"/>
      <c r="O732" s="312"/>
      <c r="P732" s="322" t="str">
        <f t="shared" si="35"/>
        <v/>
      </c>
      <c r="Q732" s="208" t="str">
        <f t="shared" si="33"/>
        <v/>
      </c>
      <c r="R732" s="208"/>
      <c r="S732" s="323" t="str">
        <f t="shared" si="34"/>
        <v/>
      </c>
      <c r="U732" s="322"/>
      <c r="V732" s="791"/>
      <c r="W732" s="792"/>
      <c r="X732" s="480"/>
      <c r="Y732" s="480"/>
      <c r="Z732" s="480"/>
      <c r="AA732" s="323"/>
      <c r="AB732" s="220"/>
      <c r="AC732" s="322"/>
      <c r="AD732" s="323"/>
      <c r="AE732" s="220"/>
      <c r="AF732" s="324"/>
      <c r="AG732" s="208"/>
      <c r="AH732" s="208"/>
      <c r="AI732" s="208"/>
      <c r="AJ732" s="208"/>
      <c r="AK732" s="208"/>
      <c r="AL732" s="208"/>
      <c r="AM732" s="208"/>
      <c r="AN732" s="208"/>
      <c r="AO732" s="208"/>
      <c r="AP732" s="208"/>
      <c r="AQ732" s="208"/>
      <c r="AR732" s="208"/>
      <c r="AS732" s="208"/>
      <c r="AT732" s="208"/>
      <c r="AU732" s="208"/>
      <c r="AV732" s="208"/>
      <c r="AW732" s="208"/>
      <c r="AX732" s="208"/>
      <c r="AY732" s="208"/>
      <c r="AZ732" s="208"/>
      <c r="BA732" s="208"/>
      <c r="BB732" s="208"/>
      <c r="BC732" s="208"/>
      <c r="BD732" s="208"/>
      <c r="BE732" s="208"/>
      <c r="BF732" s="208"/>
      <c r="BG732" s="208"/>
      <c r="BH732" s="208"/>
      <c r="BI732" s="323"/>
    </row>
    <row r="733" spans="3:61" ht="15" customHeight="1">
      <c r="C733" s="325"/>
      <c r="D733" s="326"/>
      <c r="E733" s="311"/>
      <c r="F733" s="311"/>
      <c r="G733" s="311"/>
      <c r="H733" s="311"/>
      <c r="I733" s="311"/>
      <c r="J733" s="317"/>
      <c r="K733" s="312"/>
      <c r="L733" s="312"/>
      <c r="M733" s="312"/>
      <c r="N733" s="312"/>
      <c r="O733" s="312"/>
      <c r="P733" s="318" t="str">
        <f t="shared" si="35"/>
        <v/>
      </c>
      <c r="Q733" s="205" t="str">
        <f t="shared" si="33"/>
        <v/>
      </c>
      <c r="R733" s="205"/>
      <c r="S733" s="319" t="str">
        <f t="shared" si="34"/>
        <v/>
      </c>
      <c r="U733" s="318"/>
      <c r="V733" s="794"/>
      <c r="W733" s="795"/>
      <c r="X733" s="482"/>
      <c r="Y733" s="482"/>
      <c r="Z733" s="482"/>
      <c r="AA733" s="319"/>
      <c r="AB733" s="220"/>
      <c r="AC733" s="318"/>
      <c r="AD733" s="319"/>
      <c r="AE733" s="220"/>
      <c r="AF733" s="320"/>
      <c r="AG733" s="205"/>
      <c r="AH733" s="205"/>
      <c r="AI733" s="205"/>
      <c r="AJ733" s="205"/>
      <c r="AK733" s="205"/>
      <c r="AL733" s="205"/>
      <c r="AM733" s="205"/>
      <c r="AN733" s="205"/>
      <c r="AO733" s="205"/>
      <c r="AP733" s="205"/>
      <c r="AQ733" s="205"/>
      <c r="AR733" s="205"/>
      <c r="AS733" s="205"/>
      <c r="AT733" s="205"/>
      <c r="AU733" s="205"/>
      <c r="AV733" s="205"/>
      <c r="AW733" s="205"/>
      <c r="AX733" s="205"/>
      <c r="AY733" s="205"/>
      <c r="AZ733" s="205"/>
      <c r="BA733" s="205"/>
      <c r="BB733" s="205"/>
      <c r="BC733" s="205"/>
      <c r="BD733" s="205"/>
      <c r="BE733" s="205"/>
      <c r="BF733" s="205"/>
      <c r="BG733" s="205"/>
      <c r="BH733" s="205"/>
      <c r="BI733" s="319"/>
    </row>
    <row r="734" spans="3:61" ht="15" customHeight="1">
      <c r="C734" s="325"/>
      <c r="D734" s="326"/>
      <c r="E734" s="311"/>
      <c r="F734" s="311"/>
      <c r="G734" s="311"/>
      <c r="H734" s="311"/>
      <c r="I734" s="311"/>
      <c r="J734" s="317"/>
      <c r="K734" s="312"/>
      <c r="L734" s="312"/>
      <c r="M734" s="312"/>
      <c r="N734" s="312"/>
      <c r="O734" s="312"/>
      <c r="P734" s="322" t="str">
        <f t="shared" si="35"/>
        <v/>
      </c>
      <c r="Q734" s="208" t="str">
        <f t="shared" si="33"/>
        <v/>
      </c>
      <c r="R734" s="208"/>
      <c r="S734" s="323" t="str">
        <f t="shared" si="34"/>
        <v/>
      </c>
      <c r="U734" s="322"/>
      <c r="V734" s="791"/>
      <c r="W734" s="792"/>
      <c r="X734" s="480"/>
      <c r="Y734" s="480"/>
      <c r="Z734" s="480"/>
      <c r="AA734" s="323"/>
      <c r="AB734" s="220"/>
      <c r="AC734" s="322"/>
      <c r="AD734" s="323"/>
      <c r="AE734" s="220"/>
      <c r="AF734" s="324"/>
      <c r="AG734" s="208"/>
      <c r="AH734" s="208"/>
      <c r="AI734" s="208"/>
      <c r="AJ734" s="208"/>
      <c r="AK734" s="208"/>
      <c r="AL734" s="208"/>
      <c r="AM734" s="208"/>
      <c r="AN734" s="208"/>
      <c r="AO734" s="208"/>
      <c r="AP734" s="208"/>
      <c r="AQ734" s="208"/>
      <c r="AR734" s="208"/>
      <c r="AS734" s="208"/>
      <c r="AT734" s="208"/>
      <c r="AU734" s="208"/>
      <c r="AV734" s="208"/>
      <c r="AW734" s="208"/>
      <c r="AX734" s="208"/>
      <c r="AY734" s="208"/>
      <c r="AZ734" s="208"/>
      <c r="BA734" s="208"/>
      <c r="BB734" s="208"/>
      <c r="BC734" s="208"/>
      <c r="BD734" s="208"/>
      <c r="BE734" s="208"/>
      <c r="BF734" s="208"/>
      <c r="BG734" s="208"/>
      <c r="BH734" s="208"/>
      <c r="BI734" s="323"/>
    </row>
    <row r="735" spans="3:61" ht="15" customHeight="1">
      <c r="C735" s="325"/>
      <c r="D735" s="326"/>
      <c r="E735" s="311"/>
      <c r="F735" s="311"/>
      <c r="G735" s="311"/>
      <c r="H735" s="311"/>
      <c r="I735" s="311"/>
      <c r="J735" s="317"/>
      <c r="K735" s="312"/>
      <c r="L735" s="312"/>
      <c r="M735" s="312"/>
      <c r="N735" s="312"/>
      <c r="O735" s="312"/>
      <c r="P735" s="318" t="str">
        <f t="shared" si="35"/>
        <v/>
      </c>
      <c r="Q735" s="205" t="str">
        <f t="shared" si="33"/>
        <v/>
      </c>
      <c r="R735" s="205"/>
      <c r="S735" s="319" t="str">
        <f t="shared" si="34"/>
        <v/>
      </c>
      <c r="U735" s="318"/>
      <c r="V735" s="794"/>
      <c r="W735" s="795"/>
      <c r="X735" s="482"/>
      <c r="Y735" s="482"/>
      <c r="Z735" s="482"/>
      <c r="AA735" s="319"/>
      <c r="AB735" s="220"/>
      <c r="AC735" s="318"/>
      <c r="AD735" s="319"/>
      <c r="AE735" s="220"/>
      <c r="AF735" s="320"/>
      <c r="AG735" s="205"/>
      <c r="AH735" s="205"/>
      <c r="AI735" s="205"/>
      <c r="AJ735" s="205"/>
      <c r="AK735" s="205"/>
      <c r="AL735" s="205"/>
      <c r="AM735" s="205"/>
      <c r="AN735" s="205"/>
      <c r="AO735" s="205"/>
      <c r="AP735" s="205"/>
      <c r="AQ735" s="205"/>
      <c r="AR735" s="205"/>
      <c r="AS735" s="205"/>
      <c r="AT735" s="205"/>
      <c r="AU735" s="205"/>
      <c r="AV735" s="205"/>
      <c r="AW735" s="205"/>
      <c r="AX735" s="205"/>
      <c r="AY735" s="205"/>
      <c r="AZ735" s="205"/>
      <c r="BA735" s="205"/>
      <c r="BB735" s="205"/>
      <c r="BC735" s="205"/>
      <c r="BD735" s="205"/>
      <c r="BE735" s="205"/>
      <c r="BF735" s="205"/>
      <c r="BG735" s="205"/>
      <c r="BH735" s="205"/>
      <c r="BI735" s="319"/>
    </row>
    <row r="736" spans="3:61" ht="15" customHeight="1">
      <c r="C736" s="325"/>
      <c r="D736" s="326"/>
      <c r="E736" s="311"/>
      <c r="F736" s="311"/>
      <c r="G736" s="311"/>
      <c r="H736" s="311"/>
      <c r="I736" s="311"/>
      <c r="J736" s="317"/>
      <c r="K736" s="312"/>
      <c r="L736" s="312"/>
      <c r="M736" s="312"/>
      <c r="N736" s="312"/>
      <c r="O736" s="312"/>
      <c r="P736" s="322" t="str">
        <f t="shared" si="35"/>
        <v/>
      </c>
      <c r="Q736" s="208" t="str">
        <f t="shared" si="33"/>
        <v/>
      </c>
      <c r="R736" s="208"/>
      <c r="S736" s="323" t="str">
        <f t="shared" si="34"/>
        <v/>
      </c>
      <c r="U736" s="322"/>
      <c r="V736" s="791"/>
      <c r="W736" s="792"/>
      <c r="X736" s="480"/>
      <c r="Y736" s="480"/>
      <c r="Z736" s="480"/>
      <c r="AA736" s="323"/>
      <c r="AB736" s="220"/>
      <c r="AC736" s="322"/>
      <c r="AD736" s="323"/>
      <c r="AE736" s="220"/>
      <c r="AF736" s="324"/>
      <c r="AG736" s="208"/>
      <c r="AH736" s="208"/>
      <c r="AI736" s="208"/>
      <c r="AJ736" s="208"/>
      <c r="AK736" s="208"/>
      <c r="AL736" s="208"/>
      <c r="AM736" s="208"/>
      <c r="AN736" s="208"/>
      <c r="AO736" s="208"/>
      <c r="AP736" s="208"/>
      <c r="AQ736" s="208"/>
      <c r="AR736" s="208"/>
      <c r="AS736" s="208"/>
      <c r="AT736" s="208"/>
      <c r="AU736" s="208"/>
      <c r="AV736" s="208"/>
      <c r="AW736" s="208"/>
      <c r="AX736" s="208"/>
      <c r="AY736" s="208"/>
      <c r="AZ736" s="208"/>
      <c r="BA736" s="208"/>
      <c r="BB736" s="208"/>
      <c r="BC736" s="208"/>
      <c r="BD736" s="208"/>
      <c r="BE736" s="208"/>
      <c r="BF736" s="208"/>
      <c r="BG736" s="208"/>
      <c r="BH736" s="208"/>
      <c r="BI736" s="323"/>
    </row>
    <row r="737" spans="3:61" ht="15" customHeight="1">
      <c r="C737" s="325"/>
      <c r="D737" s="326"/>
      <c r="E737" s="311"/>
      <c r="F737" s="311"/>
      <c r="G737" s="311"/>
      <c r="H737" s="311"/>
      <c r="I737" s="311"/>
      <c r="J737" s="317"/>
      <c r="K737" s="312"/>
      <c r="L737" s="312"/>
      <c r="M737" s="312"/>
      <c r="N737" s="312"/>
      <c r="O737" s="312"/>
      <c r="P737" s="318" t="str">
        <f t="shared" si="35"/>
        <v/>
      </c>
      <c r="Q737" s="205" t="str">
        <f t="shared" si="33"/>
        <v/>
      </c>
      <c r="R737" s="205"/>
      <c r="S737" s="319" t="str">
        <f t="shared" si="34"/>
        <v/>
      </c>
      <c r="U737" s="318"/>
      <c r="V737" s="794"/>
      <c r="W737" s="795"/>
      <c r="X737" s="482"/>
      <c r="Y737" s="482"/>
      <c r="Z737" s="482"/>
      <c r="AA737" s="319"/>
      <c r="AB737" s="220"/>
      <c r="AC737" s="318"/>
      <c r="AD737" s="319"/>
      <c r="AE737" s="220"/>
      <c r="AF737" s="320"/>
      <c r="AG737" s="205"/>
      <c r="AH737" s="205"/>
      <c r="AI737" s="205"/>
      <c r="AJ737" s="205"/>
      <c r="AK737" s="205"/>
      <c r="AL737" s="205"/>
      <c r="AM737" s="205"/>
      <c r="AN737" s="205"/>
      <c r="AO737" s="205"/>
      <c r="AP737" s="205"/>
      <c r="AQ737" s="205"/>
      <c r="AR737" s="205"/>
      <c r="AS737" s="205"/>
      <c r="AT737" s="205"/>
      <c r="AU737" s="205"/>
      <c r="AV737" s="205"/>
      <c r="AW737" s="205"/>
      <c r="AX737" s="205"/>
      <c r="AY737" s="205"/>
      <c r="AZ737" s="205"/>
      <c r="BA737" s="205"/>
      <c r="BB737" s="205"/>
      <c r="BC737" s="205"/>
      <c r="BD737" s="205"/>
      <c r="BE737" s="205"/>
      <c r="BF737" s="205"/>
      <c r="BG737" s="205"/>
      <c r="BH737" s="205"/>
      <c r="BI737" s="319"/>
    </row>
    <row r="738" spans="3:61" ht="15" customHeight="1">
      <c r="C738" s="325"/>
      <c r="D738" s="326"/>
      <c r="E738" s="311"/>
      <c r="F738" s="311"/>
      <c r="G738" s="311"/>
      <c r="H738" s="311"/>
      <c r="I738" s="311"/>
      <c r="J738" s="317"/>
      <c r="K738" s="312"/>
      <c r="L738" s="312"/>
      <c r="M738" s="312"/>
      <c r="N738" s="312"/>
      <c r="O738" s="312"/>
      <c r="P738" s="322" t="str">
        <f t="shared" si="35"/>
        <v/>
      </c>
      <c r="Q738" s="208" t="str">
        <f t="shared" si="33"/>
        <v/>
      </c>
      <c r="R738" s="208"/>
      <c r="S738" s="323" t="str">
        <f t="shared" si="34"/>
        <v/>
      </c>
      <c r="U738" s="322"/>
      <c r="V738" s="791"/>
      <c r="W738" s="792"/>
      <c r="X738" s="480"/>
      <c r="Y738" s="480"/>
      <c r="Z738" s="480"/>
      <c r="AA738" s="323"/>
      <c r="AB738" s="220"/>
      <c r="AC738" s="322"/>
      <c r="AD738" s="323"/>
      <c r="AE738" s="220"/>
      <c r="AF738" s="324"/>
      <c r="AG738" s="208"/>
      <c r="AH738" s="208"/>
      <c r="AI738" s="208"/>
      <c r="AJ738" s="208"/>
      <c r="AK738" s="208"/>
      <c r="AL738" s="208"/>
      <c r="AM738" s="208"/>
      <c r="AN738" s="208"/>
      <c r="AO738" s="208"/>
      <c r="AP738" s="208"/>
      <c r="AQ738" s="208"/>
      <c r="AR738" s="208"/>
      <c r="AS738" s="208"/>
      <c r="AT738" s="208"/>
      <c r="AU738" s="208"/>
      <c r="AV738" s="208"/>
      <c r="AW738" s="208"/>
      <c r="AX738" s="208"/>
      <c r="AY738" s="208"/>
      <c r="AZ738" s="208"/>
      <c r="BA738" s="208"/>
      <c r="BB738" s="208"/>
      <c r="BC738" s="208"/>
      <c r="BD738" s="208"/>
      <c r="BE738" s="208"/>
      <c r="BF738" s="208"/>
      <c r="BG738" s="208"/>
      <c r="BH738" s="208"/>
      <c r="BI738" s="323"/>
    </row>
    <row r="739" spans="3:61" ht="15" customHeight="1">
      <c r="C739" s="325"/>
      <c r="D739" s="326"/>
      <c r="E739" s="311"/>
      <c r="F739" s="311"/>
      <c r="G739" s="311"/>
      <c r="H739" s="311"/>
      <c r="I739" s="311"/>
      <c r="J739" s="317"/>
      <c r="K739" s="312"/>
      <c r="L739" s="312"/>
      <c r="M739" s="312"/>
      <c r="N739" s="312"/>
      <c r="O739" s="312"/>
      <c r="P739" s="318" t="str">
        <f t="shared" si="35"/>
        <v/>
      </c>
      <c r="Q739" s="205" t="str">
        <f t="shared" si="33"/>
        <v/>
      </c>
      <c r="R739" s="205"/>
      <c r="S739" s="319" t="str">
        <f t="shared" si="34"/>
        <v/>
      </c>
      <c r="U739" s="318"/>
      <c r="V739" s="794"/>
      <c r="W739" s="795"/>
      <c r="X739" s="482"/>
      <c r="Y739" s="482"/>
      <c r="Z739" s="482"/>
      <c r="AA739" s="319"/>
      <c r="AB739" s="220"/>
      <c r="AC739" s="318"/>
      <c r="AD739" s="319"/>
      <c r="AE739" s="220"/>
      <c r="AF739" s="320"/>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319"/>
    </row>
    <row r="740" spans="3:61" ht="15" customHeight="1">
      <c r="C740" s="325"/>
      <c r="D740" s="326"/>
      <c r="E740" s="311"/>
      <c r="F740" s="311"/>
      <c r="G740" s="311"/>
      <c r="H740" s="311"/>
      <c r="I740" s="311"/>
      <c r="J740" s="317"/>
      <c r="K740" s="312"/>
      <c r="L740" s="312"/>
      <c r="M740" s="312"/>
      <c r="N740" s="312"/>
      <c r="O740" s="312"/>
      <c r="P740" s="322" t="str">
        <f t="shared" si="35"/>
        <v/>
      </c>
      <c r="Q740" s="208" t="str">
        <f t="shared" si="33"/>
        <v/>
      </c>
      <c r="R740" s="208"/>
      <c r="S740" s="323" t="str">
        <f t="shared" si="34"/>
        <v/>
      </c>
      <c r="U740" s="322"/>
      <c r="V740" s="791"/>
      <c r="W740" s="792"/>
      <c r="X740" s="480"/>
      <c r="Y740" s="480"/>
      <c r="Z740" s="480"/>
      <c r="AA740" s="323"/>
      <c r="AB740" s="220"/>
      <c r="AC740" s="322"/>
      <c r="AD740" s="323"/>
      <c r="AE740" s="220"/>
      <c r="AF740" s="324"/>
      <c r="AG740" s="208"/>
      <c r="AH740" s="208"/>
      <c r="AI740" s="208"/>
      <c r="AJ740" s="208"/>
      <c r="AK740" s="208"/>
      <c r="AL740" s="208"/>
      <c r="AM740" s="208"/>
      <c r="AN740" s="208"/>
      <c r="AO740" s="208"/>
      <c r="AP740" s="208"/>
      <c r="AQ740" s="208"/>
      <c r="AR740" s="208"/>
      <c r="AS740" s="208"/>
      <c r="AT740" s="208"/>
      <c r="AU740" s="208"/>
      <c r="AV740" s="208"/>
      <c r="AW740" s="208"/>
      <c r="AX740" s="208"/>
      <c r="AY740" s="208"/>
      <c r="AZ740" s="208"/>
      <c r="BA740" s="208"/>
      <c r="BB740" s="208"/>
      <c r="BC740" s="208"/>
      <c r="BD740" s="208"/>
      <c r="BE740" s="208"/>
      <c r="BF740" s="208"/>
      <c r="BG740" s="208"/>
      <c r="BH740" s="208"/>
      <c r="BI740" s="323"/>
    </row>
    <row r="741" spans="3:61" ht="15" customHeight="1">
      <c r="C741" s="325"/>
      <c r="D741" s="326"/>
      <c r="E741" s="311"/>
      <c r="F741" s="311"/>
      <c r="G741" s="311"/>
      <c r="H741" s="311"/>
      <c r="I741" s="311"/>
      <c r="J741" s="317"/>
      <c r="K741" s="312"/>
      <c r="L741" s="312"/>
      <c r="M741" s="312"/>
      <c r="N741" s="312"/>
      <c r="O741" s="312"/>
      <c r="P741" s="318" t="str">
        <f t="shared" si="35"/>
        <v/>
      </c>
      <c r="Q741" s="205" t="str">
        <f t="shared" si="33"/>
        <v/>
      </c>
      <c r="R741" s="205"/>
      <c r="S741" s="319" t="str">
        <f t="shared" si="34"/>
        <v/>
      </c>
      <c r="U741" s="318"/>
      <c r="V741" s="794"/>
      <c r="W741" s="795"/>
      <c r="X741" s="482"/>
      <c r="Y741" s="482"/>
      <c r="Z741" s="482"/>
      <c r="AA741" s="319"/>
      <c r="AB741" s="220"/>
      <c r="AC741" s="318"/>
      <c r="AD741" s="319"/>
      <c r="AE741" s="220"/>
      <c r="AF741" s="320"/>
      <c r="AG741" s="205"/>
      <c r="AH741" s="205"/>
      <c r="AI741" s="205"/>
      <c r="AJ741" s="205"/>
      <c r="AK741" s="205"/>
      <c r="AL741" s="205"/>
      <c r="AM741" s="205"/>
      <c r="AN741" s="205"/>
      <c r="AO741" s="205"/>
      <c r="AP741" s="205"/>
      <c r="AQ741" s="205"/>
      <c r="AR741" s="205"/>
      <c r="AS741" s="205"/>
      <c r="AT741" s="205"/>
      <c r="AU741" s="205"/>
      <c r="AV741" s="205"/>
      <c r="AW741" s="205"/>
      <c r="AX741" s="205"/>
      <c r="AY741" s="205"/>
      <c r="AZ741" s="205"/>
      <c r="BA741" s="205"/>
      <c r="BB741" s="205"/>
      <c r="BC741" s="205"/>
      <c r="BD741" s="205"/>
      <c r="BE741" s="205"/>
      <c r="BF741" s="205"/>
      <c r="BG741" s="205"/>
      <c r="BH741" s="205"/>
      <c r="BI741" s="319"/>
    </row>
    <row r="742" spans="3:61" ht="15" customHeight="1">
      <c r="C742" s="325"/>
      <c r="D742" s="326"/>
      <c r="E742" s="311"/>
      <c r="F742" s="311"/>
      <c r="G742" s="311"/>
      <c r="H742" s="311"/>
      <c r="I742" s="311"/>
      <c r="J742" s="317"/>
      <c r="K742" s="312"/>
      <c r="L742" s="312"/>
      <c r="M742" s="312"/>
      <c r="N742" s="312"/>
      <c r="O742" s="312"/>
      <c r="P742" s="322" t="str">
        <f t="shared" si="35"/>
        <v/>
      </c>
      <c r="Q742" s="208" t="str">
        <f t="shared" si="33"/>
        <v/>
      </c>
      <c r="R742" s="208"/>
      <c r="S742" s="323" t="str">
        <f t="shared" si="34"/>
        <v/>
      </c>
      <c r="U742" s="322"/>
      <c r="V742" s="791"/>
      <c r="W742" s="792"/>
      <c r="X742" s="480"/>
      <c r="Y742" s="480"/>
      <c r="Z742" s="480"/>
      <c r="AA742" s="323"/>
      <c r="AB742" s="220"/>
      <c r="AC742" s="322"/>
      <c r="AD742" s="323"/>
      <c r="AE742" s="220"/>
      <c r="AF742" s="324"/>
      <c r="AG742" s="208"/>
      <c r="AH742" s="208"/>
      <c r="AI742" s="208"/>
      <c r="AJ742" s="208"/>
      <c r="AK742" s="208"/>
      <c r="AL742" s="208"/>
      <c r="AM742" s="208"/>
      <c r="AN742" s="208"/>
      <c r="AO742" s="208"/>
      <c r="AP742" s="208"/>
      <c r="AQ742" s="208"/>
      <c r="AR742" s="208"/>
      <c r="AS742" s="208"/>
      <c r="AT742" s="208"/>
      <c r="AU742" s="208"/>
      <c r="AV742" s="208"/>
      <c r="AW742" s="208"/>
      <c r="AX742" s="208"/>
      <c r="AY742" s="208"/>
      <c r="AZ742" s="208"/>
      <c r="BA742" s="208"/>
      <c r="BB742" s="208"/>
      <c r="BC742" s="208"/>
      <c r="BD742" s="208"/>
      <c r="BE742" s="208"/>
      <c r="BF742" s="208"/>
      <c r="BG742" s="208"/>
      <c r="BH742" s="208"/>
      <c r="BI742" s="323"/>
    </row>
    <row r="743" spans="3:61" ht="15" customHeight="1">
      <c r="C743" s="325"/>
      <c r="D743" s="326"/>
      <c r="E743" s="311"/>
      <c r="F743" s="311"/>
      <c r="G743" s="311"/>
      <c r="H743" s="311"/>
      <c r="I743" s="311"/>
      <c r="J743" s="317"/>
      <c r="K743" s="312"/>
      <c r="L743" s="312"/>
      <c r="M743" s="312"/>
      <c r="N743" s="312"/>
      <c r="O743" s="312"/>
      <c r="P743" s="318" t="str">
        <f t="shared" si="35"/>
        <v/>
      </c>
      <c r="Q743" s="205" t="str">
        <f t="shared" si="33"/>
        <v/>
      </c>
      <c r="R743" s="205"/>
      <c r="S743" s="319" t="str">
        <f t="shared" si="34"/>
        <v/>
      </c>
      <c r="U743" s="318"/>
      <c r="V743" s="794"/>
      <c r="W743" s="795"/>
      <c r="X743" s="482"/>
      <c r="Y743" s="482"/>
      <c r="Z743" s="482"/>
      <c r="AA743" s="319"/>
      <c r="AB743" s="220"/>
      <c r="AC743" s="318"/>
      <c r="AD743" s="319"/>
      <c r="AE743" s="220"/>
      <c r="AF743" s="320"/>
      <c r="AG743" s="205"/>
      <c r="AH743" s="205"/>
      <c r="AI743" s="205"/>
      <c r="AJ743" s="205"/>
      <c r="AK743" s="205"/>
      <c r="AL743" s="205"/>
      <c r="AM743" s="205"/>
      <c r="AN743" s="205"/>
      <c r="AO743" s="205"/>
      <c r="AP743" s="205"/>
      <c r="AQ743" s="205"/>
      <c r="AR743" s="205"/>
      <c r="AS743" s="205"/>
      <c r="AT743" s="205"/>
      <c r="AU743" s="205"/>
      <c r="AV743" s="205"/>
      <c r="AW743" s="205"/>
      <c r="AX743" s="205"/>
      <c r="AY743" s="205"/>
      <c r="AZ743" s="205"/>
      <c r="BA743" s="205"/>
      <c r="BB743" s="205"/>
      <c r="BC743" s="205"/>
      <c r="BD743" s="205"/>
      <c r="BE743" s="205"/>
      <c r="BF743" s="205"/>
      <c r="BG743" s="205"/>
      <c r="BH743" s="205"/>
      <c r="BI743" s="319"/>
    </row>
    <row r="744" spans="3:61" ht="15" customHeight="1">
      <c r="C744" s="325"/>
      <c r="D744" s="326"/>
      <c r="E744" s="311"/>
      <c r="F744" s="311"/>
      <c r="G744" s="311"/>
      <c r="H744" s="311"/>
      <c r="I744" s="311"/>
      <c r="J744" s="317"/>
      <c r="K744" s="312"/>
      <c r="L744" s="312"/>
      <c r="M744" s="312"/>
      <c r="N744" s="312"/>
      <c r="O744" s="312"/>
      <c r="P744" s="322" t="str">
        <f t="shared" si="35"/>
        <v/>
      </c>
      <c r="Q744" s="208" t="str">
        <f t="shared" si="33"/>
        <v/>
      </c>
      <c r="R744" s="208"/>
      <c r="S744" s="323" t="str">
        <f t="shared" si="34"/>
        <v/>
      </c>
      <c r="U744" s="322"/>
      <c r="V744" s="791"/>
      <c r="W744" s="792"/>
      <c r="X744" s="480"/>
      <c r="Y744" s="480"/>
      <c r="Z744" s="480"/>
      <c r="AA744" s="323"/>
      <c r="AB744" s="220"/>
      <c r="AC744" s="322"/>
      <c r="AD744" s="323"/>
      <c r="AE744" s="220"/>
      <c r="AF744" s="324"/>
      <c r="AG744" s="208"/>
      <c r="AH744" s="208"/>
      <c r="AI744" s="208"/>
      <c r="AJ744" s="208"/>
      <c r="AK744" s="208"/>
      <c r="AL744" s="208"/>
      <c r="AM744" s="208"/>
      <c r="AN744" s="208"/>
      <c r="AO744" s="208"/>
      <c r="AP744" s="208"/>
      <c r="AQ744" s="208"/>
      <c r="AR744" s="208"/>
      <c r="AS744" s="208"/>
      <c r="AT744" s="208"/>
      <c r="AU744" s="208"/>
      <c r="AV744" s="208"/>
      <c r="AW744" s="208"/>
      <c r="AX744" s="208"/>
      <c r="AY744" s="208"/>
      <c r="AZ744" s="208"/>
      <c r="BA744" s="208"/>
      <c r="BB744" s="208"/>
      <c r="BC744" s="208"/>
      <c r="BD744" s="208"/>
      <c r="BE744" s="208"/>
      <c r="BF744" s="208"/>
      <c r="BG744" s="208"/>
      <c r="BH744" s="208"/>
      <c r="BI744" s="323"/>
    </row>
    <row r="745" spans="3:61" ht="15" customHeight="1">
      <c r="C745" s="325"/>
      <c r="D745" s="326"/>
      <c r="E745" s="311"/>
      <c r="F745" s="311"/>
      <c r="G745" s="311"/>
      <c r="H745" s="311"/>
      <c r="I745" s="311"/>
      <c r="J745" s="317"/>
      <c r="K745" s="312"/>
      <c r="L745" s="312"/>
      <c r="M745" s="312"/>
      <c r="N745" s="312"/>
      <c r="O745" s="312"/>
      <c r="P745" s="318" t="str">
        <f t="shared" si="35"/>
        <v/>
      </c>
      <c r="Q745" s="205" t="str">
        <f t="shared" si="33"/>
        <v/>
      </c>
      <c r="R745" s="205"/>
      <c r="S745" s="319" t="str">
        <f t="shared" si="34"/>
        <v/>
      </c>
      <c r="U745" s="318"/>
      <c r="V745" s="794"/>
      <c r="W745" s="795"/>
      <c r="X745" s="482"/>
      <c r="Y745" s="482"/>
      <c r="Z745" s="482"/>
      <c r="AA745" s="319"/>
      <c r="AB745" s="220"/>
      <c r="AC745" s="318"/>
      <c r="AD745" s="319"/>
      <c r="AE745" s="220"/>
      <c r="AF745" s="320"/>
      <c r="AG745" s="205"/>
      <c r="AH745" s="205"/>
      <c r="AI745" s="205"/>
      <c r="AJ745" s="205"/>
      <c r="AK745" s="205"/>
      <c r="AL745" s="205"/>
      <c r="AM745" s="205"/>
      <c r="AN745" s="205"/>
      <c r="AO745" s="205"/>
      <c r="AP745" s="205"/>
      <c r="AQ745" s="205"/>
      <c r="AR745" s="205"/>
      <c r="AS745" s="205"/>
      <c r="AT745" s="205"/>
      <c r="AU745" s="205"/>
      <c r="AV745" s="205"/>
      <c r="AW745" s="205"/>
      <c r="AX745" s="205"/>
      <c r="AY745" s="205"/>
      <c r="AZ745" s="205"/>
      <c r="BA745" s="205"/>
      <c r="BB745" s="205"/>
      <c r="BC745" s="205"/>
      <c r="BD745" s="205"/>
      <c r="BE745" s="205"/>
      <c r="BF745" s="205"/>
      <c r="BG745" s="205"/>
      <c r="BH745" s="205"/>
      <c r="BI745" s="319"/>
    </row>
    <row r="746" spans="3:61" ht="15" customHeight="1">
      <c r="C746" s="325"/>
      <c r="D746" s="326"/>
      <c r="E746" s="311"/>
      <c r="F746" s="311"/>
      <c r="G746" s="311"/>
      <c r="H746" s="311"/>
      <c r="I746" s="311"/>
      <c r="J746" s="317"/>
      <c r="K746" s="312"/>
      <c r="L746" s="312"/>
      <c r="M746" s="312"/>
      <c r="N746" s="312"/>
      <c r="O746" s="312"/>
      <c r="P746" s="322" t="str">
        <f t="shared" si="35"/>
        <v/>
      </c>
      <c r="Q746" s="208" t="str">
        <f t="shared" si="33"/>
        <v/>
      </c>
      <c r="R746" s="208"/>
      <c r="S746" s="323" t="str">
        <f t="shared" si="34"/>
        <v/>
      </c>
      <c r="U746" s="322"/>
      <c r="V746" s="791"/>
      <c r="W746" s="792"/>
      <c r="X746" s="480"/>
      <c r="Y746" s="480"/>
      <c r="Z746" s="480"/>
      <c r="AA746" s="323"/>
      <c r="AB746" s="220"/>
      <c r="AC746" s="322"/>
      <c r="AD746" s="323"/>
      <c r="AE746" s="220"/>
      <c r="AF746" s="324"/>
      <c r="AG746" s="208"/>
      <c r="AH746" s="208"/>
      <c r="AI746" s="208"/>
      <c r="AJ746" s="208"/>
      <c r="AK746" s="208"/>
      <c r="AL746" s="208"/>
      <c r="AM746" s="208"/>
      <c r="AN746" s="208"/>
      <c r="AO746" s="208"/>
      <c r="AP746" s="208"/>
      <c r="AQ746" s="208"/>
      <c r="AR746" s="208"/>
      <c r="AS746" s="208"/>
      <c r="AT746" s="208"/>
      <c r="AU746" s="208"/>
      <c r="AV746" s="208"/>
      <c r="AW746" s="208"/>
      <c r="AX746" s="208"/>
      <c r="AY746" s="208"/>
      <c r="AZ746" s="208"/>
      <c r="BA746" s="208"/>
      <c r="BB746" s="208"/>
      <c r="BC746" s="208"/>
      <c r="BD746" s="208"/>
      <c r="BE746" s="208"/>
      <c r="BF746" s="208"/>
      <c r="BG746" s="208"/>
      <c r="BH746" s="208"/>
      <c r="BI746" s="323"/>
    </row>
    <row r="747" spans="3:61" ht="15" customHeight="1">
      <c r="C747" s="325"/>
      <c r="D747" s="326"/>
      <c r="E747" s="311"/>
      <c r="F747" s="311"/>
      <c r="G747" s="311"/>
      <c r="H747" s="311"/>
      <c r="I747" s="311"/>
      <c r="J747" s="317"/>
      <c r="K747" s="312"/>
      <c r="L747" s="312"/>
      <c r="M747" s="312"/>
      <c r="N747" s="312"/>
      <c r="O747" s="312"/>
      <c r="P747" s="318" t="str">
        <f t="shared" si="35"/>
        <v/>
      </c>
      <c r="Q747" s="205" t="str">
        <f t="shared" si="33"/>
        <v/>
      </c>
      <c r="R747" s="205"/>
      <c r="S747" s="319" t="str">
        <f t="shared" si="34"/>
        <v/>
      </c>
      <c r="U747" s="318"/>
      <c r="V747" s="794"/>
      <c r="W747" s="795"/>
      <c r="X747" s="482"/>
      <c r="Y747" s="482"/>
      <c r="Z747" s="482"/>
      <c r="AA747" s="319"/>
      <c r="AB747" s="220"/>
      <c r="AC747" s="318"/>
      <c r="AD747" s="319"/>
      <c r="AE747" s="220"/>
      <c r="AF747" s="320"/>
      <c r="AG747" s="205"/>
      <c r="AH747" s="205"/>
      <c r="AI747" s="205"/>
      <c r="AJ747" s="205"/>
      <c r="AK747" s="205"/>
      <c r="AL747" s="205"/>
      <c r="AM747" s="205"/>
      <c r="AN747" s="205"/>
      <c r="AO747" s="205"/>
      <c r="AP747" s="205"/>
      <c r="AQ747" s="205"/>
      <c r="AR747" s="205"/>
      <c r="AS747" s="205"/>
      <c r="AT747" s="205"/>
      <c r="AU747" s="205"/>
      <c r="AV747" s="205"/>
      <c r="AW747" s="205"/>
      <c r="AX747" s="205"/>
      <c r="AY747" s="205"/>
      <c r="AZ747" s="205"/>
      <c r="BA747" s="205"/>
      <c r="BB747" s="205"/>
      <c r="BC747" s="205"/>
      <c r="BD747" s="205"/>
      <c r="BE747" s="205"/>
      <c r="BF747" s="205"/>
      <c r="BG747" s="205"/>
      <c r="BH747" s="205"/>
      <c r="BI747" s="319"/>
    </row>
    <row r="748" spans="3:61" ht="15" customHeight="1">
      <c r="C748" s="325"/>
      <c r="D748" s="326"/>
      <c r="E748" s="311"/>
      <c r="F748" s="311"/>
      <c r="G748" s="311"/>
      <c r="H748" s="311"/>
      <c r="I748" s="311"/>
      <c r="J748" s="317"/>
      <c r="K748" s="312"/>
      <c r="L748" s="312"/>
      <c r="M748" s="312"/>
      <c r="N748" s="312"/>
      <c r="O748" s="312"/>
      <c r="P748" s="322" t="str">
        <f t="shared" si="35"/>
        <v/>
      </c>
      <c r="Q748" s="208" t="str">
        <f t="shared" si="33"/>
        <v/>
      </c>
      <c r="R748" s="208"/>
      <c r="S748" s="323" t="str">
        <f t="shared" si="34"/>
        <v/>
      </c>
      <c r="U748" s="322"/>
      <c r="V748" s="791"/>
      <c r="W748" s="792"/>
      <c r="X748" s="480"/>
      <c r="Y748" s="480"/>
      <c r="Z748" s="480"/>
      <c r="AA748" s="323"/>
      <c r="AB748" s="220"/>
      <c r="AC748" s="322"/>
      <c r="AD748" s="323"/>
      <c r="AE748" s="220"/>
      <c r="AF748" s="324"/>
      <c r="AG748" s="208"/>
      <c r="AH748" s="208"/>
      <c r="AI748" s="208"/>
      <c r="AJ748" s="208"/>
      <c r="AK748" s="208"/>
      <c r="AL748" s="208"/>
      <c r="AM748" s="208"/>
      <c r="AN748" s="208"/>
      <c r="AO748" s="208"/>
      <c r="AP748" s="208"/>
      <c r="AQ748" s="208"/>
      <c r="AR748" s="208"/>
      <c r="AS748" s="208"/>
      <c r="AT748" s="208"/>
      <c r="AU748" s="208"/>
      <c r="AV748" s="208"/>
      <c r="AW748" s="208"/>
      <c r="AX748" s="208"/>
      <c r="AY748" s="208"/>
      <c r="AZ748" s="208"/>
      <c r="BA748" s="208"/>
      <c r="BB748" s="208"/>
      <c r="BC748" s="208"/>
      <c r="BD748" s="208"/>
      <c r="BE748" s="208"/>
      <c r="BF748" s="208"/>
      <c r="BG748" s="208"/>
      <c r="BH748" s="208"/>
      <c r="BI748" s="323"/>
    </row>
    <row r="749" spans="3:61" ht="15" customHeight="1">
      <c r="C749" s="325"/>
      <c r="D749" s="326"/>
      <c r="E749" s="311"/>
      <c r="F749" s="311"/>
      <c r="G749" s="311"/>
      <c r="H749" s="311"/>
      <c r="I749" s="311"/>
      <c r="J749" s="317"/>
      <c r="K749" s="312"/>
      <c r="L749" s="312"/>
      <c r="M749" s="312"/>
      <c r="N749" s="312"/>
      <c r="O749" s="312"/>
      <c r="P749" s="318" t="str">
        <f t="shared" si="35"/>
        <v/>
      </c>
      <c r="Q749" s="205" t="str">
        <f t="shared" si="33"/>
        <v/>
      </c>
      <c r="R749" s="205"/>
      <c r="S749" s="319" t="str">
        <f t="shared" si="34"/>
        <v/>
      </c>
      <c r="U749" s="318"/>
      <c r="V749" s="794"/>
      <c r="W749" s="795"/>
      <c r="X749" s="482"/>
      <c r="Y749" s="482"/>
      <c r="Z749" s="482"/>
      <c r="AA749" s="319"/>
      <c r="AB749" s="220"/>
      <c r="AC749" s="318"/>
      <c r="AD749" s="319"/>
      <c r="AE749" s="220"/>
      <c r="AF749" s="320"/>
      <c r="AG749" s="205"/>
      <c r="AH749" s="205"/>
      <c r="AI749" s="205"/>
      <c r="AJ749" s="205"/>
      <c r="AK749" s="205"/>
      <c r="AL749" s="205"/>
      <c r="AM749" s="205"/>
      <c r="AN749" s="205"/>
      <c r="AO749" s="205"/>
      <c r="AP749" s="205"/>
      <c r="AQ749" s="205"/>
      <c r="AR749" s="205"/>
      <c r="AS749" s="205"/>
      <c r="AT749" s="205"/>
      <c r="AU749" s="205"/>
      <c r="AV749" s="205"/>
      <c r="AW749" s="205"/>
      <c r="AX749" s="205"/>
      <c r="AY749" s="205"/>
      <c r="AZ749" s="205"/>
      <c r="BA749" s="205"/>
      <c r="BB749" s="205"/>
      <c r="BC749" s="205"/>
      <c r="BD749" s="205"/>
      <c r="BE749" s="205"/>
      <c r="BF749" s="205"/>
      <c r="BG749" s="205"/>
      <c r="BH749" s="205"/>
      <c r="BI749" s="319"/>
    </row>
    <row r="750" spans="3:61" ht="15" customHeight="1">
      <c r="C750" s="325"/>
      <c r="D750" s="326"/>
      <c r="E750" s="311"/>
      <c r="F750" s="311"/>
      <c r="G750" s="311"/>
      <c r="H750" s="311"/>
      <c r="I750" s="311"/>
      <c r="J750" s="317"/>
      <c r="K750" s="312"/>
      <c r="L750" s="312"/>
      <c r="M750" s="312"/>
      <c r="N750" s="312"/>
      <c r="O750" s="312"/>
      <c r="P750" s="322" t="str">
        <f t="shared" si="35"/>
        <v/>
      </c>
      <c r="Q750" s="208" t="str">
        <f t="shared" si="33"/>
        <v/>
      </c>
      <c r="R750" s="208"/>
      <c r="S750" s="323" t="str">
        <f t="shared" si="34"/>
        <v/>
      </c>
      <c r="U750" s="322"/>
      <c r="V750" s="791"/>
      <c r="W750" s="792"/>
      <c r="X750" s="480"/>
      <c r="Y750" s="480"/>
      <c r="Z750" s="480"/>
      <c r="AA750" s="323"/>
      <c r="AB750" s="220"/>
      <c r="AC750" s="322"/>
      <c r="AD750" s="323"/>
      <c r="AE750" s="220"/>
      <c r="AF750" s="324"/>
      <c r="AG750" s="208"/>
      <c r="AH750" s="208"/>
      <c r="AI750" s="208"/>
      <c r="AJ750" s="208"/>
      <c r="AK750" s="208"/>
      <c r="AL750" s="208"/>
      <c r="AM750" s="208"/>
      <c r="AN750" s="208"/>
      <c r="AO750" s="208"/>
      <c r="AP750" s="208"/>
      <c r="AQ750" s="208"/>
      <c r="AR750" s="208"/>
      <c r="AS750" s="208"/>
      <c r="AT750" s="208"/>
      <c r="AU750" s="208"/>
      <c r="AV750" s="208"/>
      <c r="AW750" s="208"/>
      <c r="AX750" s="208"/>
      <c r="AY750" s="208"/>
      <c r="AZ750" s="208"/>
      <c r="BA750" s="208"/>
      <c r="BB750" s="208"/>
      <c r="BC750" s="208"/>
      <c r="BD750" s="208"/>
      <c r="BE750" s="208"/>
      <c r="BF750" s="208"/>
      <c r="BG750" s="208"/>
      <c r="BH750" s="208"/>
      <c r="BI750" s="323"/>
    </row>
    <row r="751" spans="3:61" ht="15" customHeight="1">
      <c r="C751" s="325"/>
      <c r="D751" s="326"/>
      <c r="E751" s="311"/>
      <c r="F751" s="311"/>
      <c r="G751" s="311"/>
      <c r="H751" s="311"/>
      <c r="I751" s="311"/>
      <c r="J751" s="317"/>
      <c r="K751" s="312"/>
      <c r="L751" s="312"/>
      <c r="M751" s="312"/>
      <c r="N751" s="312"/>
      <c r="O751" s="312"/>
      <c r="P751" s="318" t="str">
        <f t="shared" si="35"/>
        <v/>
      </c>
      <c r="Q751" s="205" t="str">
        <f t="shared" si="33"/>
        <v/>
      </c>
      <c r="R751" s="205"/>
      <c r="S751" s="319" t="str">
        <f t="shared" si="34"/>
        <v/>
      </c>
      <c r="U751" s="318"/>
      <c r="V751" s="794"/>
      <c r="W751" s="795"/>
      <c r="X751" s="482"/>
      <c r="Y751" s="482"/>
      <c r="Z751" s="482"/>
      <c r="AA751" s="319"/>
      <c r="AB751" s="220"/>
      <c r="AC751" s="318"/>
      <c r="AD751" s="319"/>
      <c r="AE751" s="220"/>
      <c r="AF751" s="320"/>
      <c r="AG751" s="205"/>
      <c r="AH751" s="205"/>
      <c r="AI751" s="205"/>
      <c r="AJ751" s="205"/>
      <c r="AK751" s="205"/>
      <c r="AL751" s="205"/>
      <c r="AM751" s="205"/>
      <c r="AN751" s="205"/>
      <c r="AO751" s="205"/>
      <c r="AP751" s="205"/>
      <c r="AQ751" s="205"/>
      <c r="AR751" s="205"/>
      <c r="AS751" s="205"/>
      <c r="AT751" s="205"/>
      <c r="AU751" s="205"/>
      <c r="AV751" s="205"/>
      <c r="AW751" s="205"/>
      <c r="AX751" s="205"/>
      <c r="AY751" s="205"/>
      <c r="AZ751" s="205"/>
      <c r="BA751" s="205"/>
      <c r="BB751" s="205"/>
      <c r="BC751" s="205"/>
      <c r="BD751" s="205"/>
      <c r="BE751" s="205"/>
      <c r="BF751" s="205"/>
      <c r="BG751" s="205"/>
      <c r="BH751" s="205"/>
      <c r="BI751" s="319"/>
    </row>
    <row r="752" spans="3:61" ht="15" customHeight="1">
      <c r="C752" s="325"/>
      <c r="D752" s="326"/>
      <c r="E752" s="311"/>
      <c r="F752" s="311"/>
      <c r="G752" s="311"/>
      <c r="H752" s="311"/>
      <c r="I752" s="311"/>
      <c r="J752" s="317"/>
      <c r="K752" s="312"/>
      <c r="L752" s="312"/>
      <c r="M752" s="312"/>
      <c r="N752" s="312"/>
      <c r="O752" s="312"/>
      <c r="P752" s="322" t="str">
        <f t="shared" si="35"/>
        <v/>
      </c>
      <c r="Q752" s="208" t="str">
        <f t="shared" si="33"/>
        <v/>
      </c>
      <c r="R752" s="208"/>
      <c r="S752" s="323" t="str">
        <f t="shared" si="34"/>
        <v/>
      </c>
      <c r="U752" s="322"/>
      <c r="V752" s="791"/>
      <c r="W752" s="792"/>
      <c r="X752" s="480"/>
      <c r="Y752" s="480"/>
      <c r="Z752" s="480"/>
      <c r="AA752" s="323"/>
      <c r="AB752" s="220"/>
      <c r="AC752" s="322"/>
      <c r="AD752" s="323"/>
      <c r="AE752" s="220"/>
      <c r="AF752" s="324"/>
      <c r="AG752" s="208"/>
      <c r="AH752" s="208"/>
      <c r="AI752" s="208"/>
      <c r="AJ752" s="208"/>
      <c r="AK752" s="208"/>
      <c r="AL752" s="208"/>
      <c r="AM752" s="208"/>
      <c r="AN752" s="208"/>
      <c r="AO752" s="208"/>
      <c r="AP752" s="208"/>
      <c r="AQ752" s="208"/>
      <c r="AR752" s="208"/>
      <c r="AS752" s="208"/>
      <c r="AT752" s="208"/>
      <c r="AU752" s="208"/>
      <c r="AV752" s="208"/>
      <c r="AW752" s="208"/>
      <c r="AX752" s="208"/>
      <c r="AY752" s="208"/>
      <c r="AZ752" s="208"/>
      <c r="BA752" s="208"/>
      <c r="BB752" s="208"/>
      <c r="BC752" s="208"/>
      <c r="BD752" s="208"/>
      <c r="BE752" s="208"/>
      <c r="BF752" s="208"/>
      <c r="BG752" s="208"/>
      <c r="BH752" s="208"/>
      <c r="BI752" s="323"/>
    </row>
    <row r="753" spans="3:61" ht="15" customHeight="1">
      <c r="C753" s="325"/>
      <c r="D753" s="326"/>
      <c r="E753" s="311"/>
      <c r="F753" s="311"/>
      <c r="G753" s="311"/>
      <c r="H753" s="311"/>
      <c r="I753" s="311"/>
      <c r="J753" s="317"/>
      <c r="K753" s="312"/>
      <c r="L753" s="312"/>
      <c r="M753" s="312"/>
      <c r="N753" s="312"/>
      <c r="O753" s="312"/>
      <c r="P753" s="318" t="str">
        <f t="shared" si="35"/>
        <v/>
      </c>
      <c r="Q753" s="205" t="str">
        <f t="shared" si="33"/>
        <v/>
      </c>
      <c r="R753" s="205"/>
      <c r="S753" s="319" t="str">
        <f t="shared" si="34"/>
        <v/>
      </c>
      <c r="U753" s="318"/>
      <c r="V753" s="794"/>
      <c r="W753" s="795"/>
      <c r="X753" s="482"/>
      <c r="Y753" s="482"/>
      <c r="Z753" s="482"/>
      <c r="AA753" s="319"/>
      <c r="AB753" s="220"/>
      <c r="AC753" s="318"/>
      <c r="AD753" s="319"/>
      <c r="AE753" s="220"/>
      <c r="AF753" s="320"/>
      <c r="AG753" s="205"/>
      <c r="AH753" s="205"/>
      <c r="AI753" s="205"/>
      <c r="AJ753" s="205"/>
      <c r="AK753" s="205"/>
      <c r="AL753" s="205"/>
      <c r="AM753" s="205"/>
      <c r="AN753" s="205"/>
      <c r="AO753" s="205"/>
      <c r="AP753" s="205"/>
      <c r="AQ753" s="205"/>
      <c r="AR753" s="205"/>
      <c r="AS753" s="205"/>
      <c r="AT753" s="205"/>
      <c r="AU753" s="205"/>
      <c r="AV753" s="205"/>
      <c r="AW753" s="205"/>
      <c r="AX753" s="205"/>
      <c r="AY753" s="205"/>
      <c r="AZ753" s="205"/>
      <c r="BA753" s="205"/>
      <c r="BB753" s="205"/>
      <c r="BC753" s="205"/>
      <c r="BD753" s="205"/>
      <c r="BE753" s="205"/>
      <c r="BF753" s="205"/>
      <c r="BG753" s="205"/>
      <c r="BH753" s="205"/>
      <c r="BI753" s="319"/>
    </row>
    <row r="754" spans="3:61" ht="15" customHeight="1">
      <c r="C754" s="325"/>
      <c r="D754" s="326"/>
      <c r="E754" s="311"/>
      <c r="F754" s="311"/>
      <c r="G754" s="311"/>
      <c r="H754" s="311"/>
      <c r="I754" s="311"/>
      <c r="J754" s="317"/>
      <c r="K754" s="312"/>
      <c r="L754" s="312"/>
      <c r="M754" s="312"/>
      <c r="N754" s="312"/>
      <c r="O754" s="312"/>
      <c r="P754" s="322" t="str">
        <f t="shared" si="35"/>
        <v/>
      </c>
      <c r="Q754" s="208" t="str">
        <f t="shared" si="33"/>
        <v/>
      </c>
      <c r="R754" s="208"/>
      <c r="S754" s="323" t="str">
        <f t="shared" si="34"/>
        <v/>
      </c>
      <c r="U754" s="322"/>
      <c r="V754" s="791"/>
      <c r="W754" s="792"/>
      <c r="X754" s="480"/>
      <c r="Y754" s="480"/>
      <c r="Z754" s="480"/>
      <c r="AA754" s="323"/>
      <c r="AB754" s="220"/>
      <c r="AC754" s="322"/>
      <c r="AD754" s="323"/>
      <c r="AE754" s="220"/>
      <c r="AF754" s="324"/>
      <c r="AG754" s="208"/>
      <c r="AH754" s="208"/>
      <c r="AI754" s="208"/>
      <c r="AJ754" s="208"/>
      <c r="AK754" s="208"/>
      <c r="AL754" s="208"/>
      <c r="AM754" s="208"/>
      <c r="AN754" s="208"/>
      <c r="AO754" s="208"/>
      <c r="AP754" s="208"/>
      <c r="AQ754" s="208"/>
      <c r="AR754" s="208"/>
      <c r="AS754" s="208"/>
      <c r="AT754" s="208"/>
      <c r="AU754" s="208"/>
      <c r="AV754" s="208"/>
      <c r="AW754" s="208"/>
      <c r="AX754" s="208"/>
      <c r="AY754" s="208"/>
      <c r="AZ754" s="208"/>
      <c r="BA754" s="208"/>
      <c r="BB754" s="208"/>
      <c r="BC754" s="208"/>
      <c r="BD754" s="208"/>
      <c r="BE754" s="208"/>
      <c r="BF754" s="208"/>
      <c r="BG754" s="208"/>
      <c r="BH754" s="208"/>
      <c r="BI754" s="323"/>
    </row>
    <row r="755" spans="3:61" ht="15" customHeight="1">
      <c r="C755" s="325"/>
      <c r="D755" s="326"/>
      <c r="E755" s="311"/>
      <c r="F755" s="311"/>
      <c r="G755" s="311"/>
      <c r="H755" s="311"/>
      <c r="I755" s="311"/>
      <c r="J755" s="317"/>
      <c r="K755" s="312"/>
      <c r="L755" s="312"/>
      <c r="M755" s="312"/>
      <c r="N755" s="312"/>
      <c r="O755" s="312"/>
      <c r="P755" s="318" t="str">
        <f t="shared" si="35"/>
        <v/>
      </c>
      <c r="Q755" s="205" t="str">
        <f t="shared" si="33"/>
        <v/>
      </c>
      <c r="R755" s="205"/>
      <c r="S755" s="319" t="str">
        <f t="shared" si="34"/>
        <v/>
      </c>
      <c r="U755" s="318"/>
      <c r="V755" s="794"/>
      <c r="W755" s="795"/>
      <c r="X755" s="482"/>
      <c r="Y755" s="482"/>
      <c r="Z755" s="482"/>
      <c r="AA755" s="319"/>
      <c r="AB755" s="220"/>
      <c r="AC755" s="318"/>
      <c r="AD755" s="319"/>
      <c r="AE755" s="220"/>
      <c r="AF755" s="320"/>
      <c r="AG755" s="205"/>
      <c r="AH755" s="205"/>
      <c r="AI755" s="205"/>
      <c r="AJ755" s="205"/>
      <c r="AK755" s="205"/>
      <c r="AL755" s="205"/>
      <c r="AM755" s="205"/>
      <c r="AN755" s="205"/>
      <c r="AO755" s="205"/>
      <c r="AP755" s="205"/>
      <c r="AQ755" s="205"/>
      <c r="AR755" s="205"/>
      <c r="AS755" s="205"/>
      <c r="AT755" s="205"/>
      <c r="AU755" s="205"/>
      <c r="AV755" s="205"/>
      <c r="AW755" s="205"/>
      <c r="AX755" s="205"/>
      <c r="AY755" s="205"/>
      <c r="AZ755" s="205"/>
      <c r="BA755" s="205"/>
      <c r="BB755" s="205"/>
      <c r="BC755" s="205"/>
      <c r="BD755" s="205"/>
      <c r="BE755" s="205"/>
      <c r="BF755" s="205"/>
      <c r="BG755" s="205"/>
      <c r="BH755" s="205"/>
      <c r="BI755" s="319"/>
    </row>
    <row r="756" spans="3:61" ht="15" customHeight="1">
      <c r="C756" s="325"/>
      <c r="D756" s="326"/>
      <c r="E756" s="311"/>
      <c r="F756" s="311"/>
      <c r="G756" s="311"/>
      <c r="H756" s="311"/>
      <c r="I756" s="311"/>
      <c r="J756" s="317"/>
      <c r="K756" s="312"/>
      <c r="L756" s="312"/>
      <c r="M756" s="312"/>
      <c r="N756" s="312"/>
      <c r="O756" s="312"/>
      <c r="P756" s="322" t="str">
        <f t="shared" si="35"/>
        <v/>
      </c>
      <c r="Q756" s="208" t="str">
        <f t="shared" si="33"/>
        <v/>
      </c>
      <c r="R756" s="208"/>
      <c r="S756" s="323" t="str">
        <f t="shared" si="34"/>
        <v/>
      </c>
      <c r="U756" s="322"/>
      <c r="V756" s="791"/>
      <c r="W756" s="792"/>
      <c r="X756" s="480"/>
      <c r="Y756" s="480"/>
      <c r="Z756" s="480"/>
      <c r="AA756" s="323"/>
      <c r="AB756" s="220"/>
      <c r="AC756" s="322"/>
      <c r="AD756" s="323"/>
      <c r="AE756" s="220"/>
      <c r="AF756" s="324"/>
      <c r="AG756" s="208"/>
      <c r="AH756" s="208"/>
      <c r="AI756" s="208"/>
      <c r="AJ756" s="208"/>
      <c r="AK756" s="208"/>
      <c r="AL756" s="208"/>
      <c r="AM756" s="208"/>
      <c r="AN756" s="208"/>
      <c r="AO756" s="208"/>
      <c r="AP756" s="208"/>
      <c r="AQ756" s="208"/>
      <c r="AR756" s="208"/>
      <c r="AS756" s="208"/>
      <c r="AT756" s="208"/>
      <c r="AU756" s="208"/>
      <c r="AV756" s="208"/>
      <c r="AW756" s="208"/>
      <c r="AX756" s="208"/>
      <c r="AY756" s="208"/>
      <c r="AZ756" s="208"/>
      <c r="BA756" s="208"/>
      <c r="BB756" s="208"/>
      <c r="BC756" s="208"/>
      <c r="BD756" s="208"/>
      <c r="BE756" s="208"/>
      <c r="BF756" s="208"/>
      <c r="BG756" s="208"/>
      <c r="BH756" s="208"/>
      <c r="BI756" s="323"/>
    </row>
    <row r="757" spans="3:61" ht="15" customHeight="1">
      <c r="C757" s="325"/>
      <c r="D757" s="326"/>
      <c r="E757" s="311"/>
      <c r="F757" s="311"/>
      <c r="G757" s="311"/>
      <c r="H757" s="311"/>
      <c r="I757" s="311"/>
      <c r="J757" s="317"/>
      <c r="K757" s="312"/>
      <c r="L757" s="312"/>
      <c r="M757" s="312"/>
      <c r="N757" s="312"/>
      <c r="O757" s="312"/>
      <c r="P757" s="318" t="str">
        <f t="shared" si="35"/>
        <v/>
      </c>
      <c r="Q757" s="205" t="str">
        <f t="shared" si="33"/>
        <v/>
      </c>
      <c r="R757" s="205"/>
      <c r="S757" s="319" t="str">
        <f t="shared" si="34"/>
        <v/>
      </c>
      <c r="U757" s="318"/>
      <c r="V757" s="794"/>
      <c r="W757" s="795"/>
      <c r="X757" s="482"/>
      <c r="Y757" s="482"/>
      <c r="Z757" s="482"/>
      <c r="AA757" s="319"/>
      <c r="AB757" s="220"/>
      <c r="AC757" s="318"/>
      <c r="AD757" s="319"/>
      <c r="AE757" s="220"/>
      <c r="AF757" s="320"/>
      <c r="AG757" s="205"/>
      <c r="AH757" s="205"/>
      <c r="AI757" s="205"/>
      <c r="AJ757" s="205"/>
      <c r="AK757" s="205"/>
      <c r="AL757" s="205"/>
      <c r="AM757" s="205"/>
      <c r="AN757" s="205"/>
      <c r="AO757" s="205"/>
      <c r="AP757" s="205"/>
      <c r="AQ757" s="205"/>
      <c r="AR757" s="205"/>
      <c r="AS757" s="205"/>
      <c r="AT757" s="205"/>
      <c r="AU757" s="205"/>
      <c r="AV757" s="205"/>
      <c r="AW757" s="205"/>
      <c r="AX757" s="205"/>
      <c r="AY757" s="205"/>
      <c r="AZ757" s="205"/>
      <c r="BA757" s="205"/>
      <c r="BB757" s="205"/>
      <c r="BC757" s="205"/>
      <c r="BD757" s="205"/>
      <c r="BE757" s="205"/>
      <c r="BF757" s="205"/>
      <c r="BG757" s="205"/>
      <c r="BH757" s="205"/>
      <c r="BI757" s="319"/>
    </row>
    <row r="758" spans="3:61" ht="15" customHeight="1">
      <c r="C758" s="325"/>
      <c r="D758" s="326"/>
      <c r="E758" s="311"/>
      <c r="F758" s="311"/>
      <c r="G758" s="311"/>
      <c r="H758" s="311"/>
      <c r="I758" s="311"/>
      <c r="J758" s="317"/>
      <c r="K758" s="312"/>
      <c r="L758" s="312"/>
      <c r="M758" s="312"/>
      <c r="N758" s="312"/>
      <c r="O758" s="312"/>
      <c r="P758" s="322" t="str">
        <f t="shared" si="35"/>
        <v/>
      </c>
      <c r="Q758" s="208" t="str">
        <f t="shared" si="33"/>
        <v/>
      </c>
      <c r="R758" s="208"/>
      <c r="S758" s="323" t="str">
        <f t="shared" si="34"/>
        <v/>
      </c>
      <c r="U758" s="322"/>
      <c r="V758" s="791"/>
      <c r="W758" s="792"/>
      <c r="X758" s="480"/>
      <c r="Y758" s="480"/>
      <c r="Z758" s="480"/>
      <c r="AA758" s="323"/>
      <c r="AB758" s="220"/>
      <c r="AC758" s="322"/>
      <c r="AD758" s="323"/>
      <c r="AE758" s="220"/>
      <c r="AF758" s="324"/>
      <c r="AG758" s="208"/>
      <c r="AH758" s="208"/>
      <c r="AI758" s="208"/>
      <c r="AJ758" s="208"/>
      <c r="AK758" s="208"/>
      <c r="AL758" s="208"/>
      <c r="AM758" s="208"/>
      <c r="AN758" s="208"/>
      <c r="AO758" s="208"/>
      <c r="AP758" s="208"/>
      <c r="AQ758" s="208"/>
      <c r="AR758" s="208"/>
      <c r="AS758" s="208"/>
      <c r="AT758" s="208"/>
      <c r="AU758" s="208"/>
      <c r="AV758" s="208"/>
      <c r="AW758" s="208"/>
      <c r="AX758" s="208"/>
      <c r="AY758" s="208"/>
      <c r="AZ758" s="208"/>
      <c r="BA758" s="208"/>
      <c r="BB758" s="208"/>
      <c r="BC758" s="208"/>
      <c r="BD758" s="208"/>
      <c r="BE758" s="208"/>
      <c r="BF758" s="208"/>
      <c r="BG758" s="208"/>
      <c r="BH758" s="208"/>
      <c r="BI758" s="323"/>
    </row>
    <row r="759" spans="3:61" ht="15" customHeight="1">
      <c r="C759" s="325"/>
      <c r="D759" s="326"/>
      <c r="E759" s="311"/>
      <c r="F759" s="311"/>
      <c r="G759" s="311"/>
      <c r="H759" s="311"/>
      <c r="I759" s="311"/>
      <c r="J759" s="317"/>
      <c r="K759" s="312"/>
      <c r="L759" s="312"/>
      <c r="M759" s="312"/>
      <c r="N759" s="312"/>
      <c r="O759" s="312"/>
      <c r="P759" s="318" t="str">
        <f t="shared" si="35"/>
        <v/>
      </c>
      <c r="Q759" s="205" t="str">
        <f t="shared" si="33"/>
        <v/>
      </c>
      <c r="R759" s="205"/>
      <c r="S759" s="319" t="str">
        <f t="shared" si="34"/>
        <v/>
      </c>
      <c r="U759" s="318"/>
      <c r="V759" s="794"/>
      <c r="W759" s="795"/>
      <c r="X759" s="482"/>
      <c r="Y759" s="482"/>
      <c r="Z759" s="482"/>
      <c r="AA759" s="319"/>
      <c r="AB759" s="220"/>
      <c r="AC759" s="318"/>
      <c r="AD759" s="319"/>
      <c r="AE759" s="220"/>
      <c r="AF759" s="320"/>
      <c r="AG759" s="205"/>
      <c r="AH759" s="205"/>
      <c r="AI759" s="205"/>
      <c r="AJ759" s="205"/>
      <c r="AK759" s="205"/>
      <c r="AL759" s="205"/>
      <c r="AM759" s="205"/>
      <c r="AN759" s="205"/>
      <c r="AO759" s="205"/>
      <c r="AP759" s="205"/>
      <c r="AQ759" s="205"/>
      <c r="AR759" s="205"/>
      <c r="AS759" s="205"/>
      <c r="AT759" s="205"/>
      <c r="AU759" s="205"/>
      <c r="AV759" s="205"/>
      <c r="AW759" s="205"/>
      <c r="AX759" s="205"/>
      <c r="AY759" s="205"/>
      <c r="AZ759" s="205"/>
      <c r="BA759" s="205"/>
      <c r="BB759" s="205"/>
      <c r="BC759" s="205"/>
      <c r="BD759" s="205"/>
      <c r="BE759" s="205"/>
      <c r="BF759" s="205"/>
      <c r="BG759" s="205"/>
      <c r="BH759" s="205"/>
      <c r="BI759" s="319"/>
    </row>
    <row r="760" spans="3:61" ht="15" customHeight="1">
      <c r="C760" s="325"/>
      <c r="D760" s="326"/>
      <c r="E760" s="311"/>
      <c r="F760" s="311"/>
      <c r="G760" s="311"/>
      <c r="H760" s="311"/>
      <c r="I760" s="311"/>
      <c r="J760" s="317"/>
      <c r="K760" s="312"/>
      <c r="L760" s="312"/>
      <c r="M760" s="312"/>
      <c r="N760" s="312"/>
      <c r="O760" s="312"/>
      <c r="P760" s="322" t="str">
        <f t="shared" si="35"/>
        <v/>
      </c>
      <c r="Q760" s="208" t="str">
        <f t="shared" si="33"/>
        <v/>
      </c>
      <c r="R760" s="208"/>
      <c r="S760" s="323" t="str">
        <f t="shared" si="34"/>
        <v/>
      </c>
      <c r="U760" s="322"/>
      <c r="V760" s="791"/>
      <c r="W760" s="792"/>
      <c r="X760" s="480"/>
      <c r="Y760" s="480"/>
      <c r="Z760" s="480"/>
      <c r="AA760" s="323"/>
      <c r="AB760" s="220"/>
      <c r="AC760" s="322"/>
      <c r="AD760" s="323"/>
      <c r="AE760" s="220"/>
      <c r="AF760" s="324"/>
      <c r="AG760" s="208"/>
      <c r="AH760" s="208"/>
      <c r="AI760" s="208"/>
      <c r="AJ760" s="208"/>
      <c r="AK760" s="208"/>
      <c r="AL760" s="208"/>
      <c r="AM760" s="208"/>
      <c r="AN760" s="208"/>
      <c r="AO760" s="208"/>
      <c r="AP760" s="208"/>
      <c r="AQ760" s="208"/>
      <c r="AR760" s="208"/>
      <c r="AS760" s="208"/>
      <c r="AT760" s="208"/>
      <c r="AU760" s="208"/>
      <c r="AV760" s="208"/>
      <c r="AW760" s="208"/>
      <c r="AX760" s="208"/>
      <c r="AY760" s="208"/>
      <c r="AZ760" s="208"/>
      <c r="BA760" s="208"/>
      <c r="BB760" s="208"/>
      <c r="BC760" s="208"/>
      <c r="BD760" s="208"/>
      <c r="BE760" s="208"/>
      <c r="BF760" s="208"/>
      <c r="BG760" s="208"/>
      <c r="BH760" s="208"/>
      <c r="BI760" s="323"/>
    </row>
    <row r="761" spans="3:61" ht="15" customHeight="1">
      <c r="C761" s="325"/>
      <c r="D761" s="326"/>
      <c r="E761" s="311"/>
      <c r="F761" s="311"/>
      <c r="G761" s="311"/>
      <c r="H761" s="311"/>
      <c r="I761" s="311"/>
      <c r="J761" s="317"/>
      <c r="K761" s="312"/>
      <c r="L761" s="312"/>
      <c r="M761" s="312"/>
      <c r="N761" s="312"/>
      <c r="O761" s="312"/>
      <c r="P761" s="318" t="str">
        <f t="shared" si="35"/>
        <v/>
      </c>
      <c r="Q761" s="205" t="str">
        <f t="shared" si="33"/>
        <v/>
      </c>
      <c r="R761" s="205"/>
      <c r="S761" s="319" t="str">
        <f t="shared" si="34"/>
        <v/>
      </c>
      <c r="U761" s="318"/>
      <c r="V761" s="794"/>
      <c r="W761" s="795"/>
      <c r="X761" s="482"/>
      <c r="Y761" s="482"/>
      <c r="Z761" s="482"/>
      <c r="AA761" s="319"/>
      <c r="AB761" s="220"/>
      <c r="AC761" s="318"/>
      <c r="AD761" s="319"/>
      <c r="AE761" s="220"/>
      <c r="AF761" s="320"/>
      <c r="AG761" s="205"/>
      <c r="AH761" s="205"/>
      <c r="AI761" s="205"/>
      <c r="AJ761" s="205"/>
      <c r="AK761" s="205"/>
      <c r="AL761" s="205"/>
      <c r="AM761" s="205"/>
      <c r="AN761" s="205"/>
      <c r="AO761" s="205"/>
      <c r="AP761" s="205"/>
      <c r="AQ761" s="205"/>
      <c r="AR761" s="205"/>
      <c r="AS761" s="205"/>
      <c r="AT761" s="205"/>
      <c r="AU761" s="205"/>
      <c r="AV761" s="205"/>
      <c r="AW761" s="205"/>
      <c r="AX761" s="205"/>
      <c r="AY761" s="205"/>
      <c r="AZ761" s="205"/>
      <c r="BA761" s="205"/>
      <c r="BB761" s="205"/>
      <c r="BC761" s="205"/>
      <c r="BD761" s="205"/>
      <c r="BE761" s="205"/>
      <c r="BF761" s="205"/>
      <c r="BG761" s="205"/>
      <c r="BH761" s="205"/>
      <c r="BI761" s="319"/>
    </row>
    <row r="762" spans="3:61" ht="15" customHeight="1">
      <c r="C762" s="325"/>
      <c r="D762" s="326"/>
      <c r="E762" s="311"/>
      <c r="F762" s="311"/>
      <c r="G762" s="311"/>
      <c r="H762" s="311"/>
      <c r="I762" s="311"/>
      <c r="J762" s="317"/>
      <c r="K762" s="312"/>
      <c r="L762" s="312"/>
      <c r="M762" s="312"/>
      <c r="N762" s="312"/>
      <c r="O762" s="312"/>
      <c r="P762" s="322" t="str">
        <f t="shared" si="35"/>
        <v/>
      </c>
      <c r="Q762" s="208" t="str">
        <f t="shared" si="33"/>
        <v/>
      </c>
      <c r="R762" s="208"/>
      <c r="S762" s="323" t="str">
        <f t="shared" si="34"/>
        <v/>
      </c>
      <c r="U762" s="322"/>
      <c r="V762" s="791"/>
      <c r="W762" s="792"/>
      <c r="X762" s="480"/>
      <c r="Y762" s="480"/>
      <c r="Z762" s="480"/>
      <c r="AA762" s="323"/>
      <c r="AB762" s="220"/>
      <c r="AC762" s="322"/>
      <c r="AD762" s="323"/>
      <c r="AE762" s="220"/>
      <c r="AF762" s="324"/>
      <c r="AG762" s="208"/>
      <c r="AH762" s="208"/>
      <c r="AI762" s="208"/>
      <c r="AJ762" s="208"/>
      <c r="AK762" s="208"/>
      <c r="AL762" s="208"/>
      <c r="AM762" s="208"/>
      <c r="AN762" s="208"/>
      <c r="AO762" s="208"/>
      <c r="AP762" s="208"/>
      <c r="AQ762" s="208"/>
      <c r="AR762" s="208"/>
      <c r="AS762" s="208"/>
      <c r="AT762" s="208"/>
      <c r="AU762" s="208"/>
      <c r="AV762" s="208"/>
      <c r="AW762" s="208"/>
      <c r="AX762" s="208"/>
      <c r="AY762" s="208"/>
      <c r="AZ762" s="208"/>
      <c r="BA762" s="208"/>
      <c r="BB762" s="208"/>
      <c r="BC762" s="208"/>
      <c r="BD762" s="208"/>
      <c r="BE762" s="208"/>
      <c r="BF762" s="208"/>
      <c r="BG762" s="208"/>
      <c r="BH762" s="208"/>
      <c r="BI762" s="323"/>
    </row>
    <row r="763" spans="3:61" ht="15" customHeight="1">
      <c r="C763" s="325"/>
      <c r="D763" s="326"/>
      <c r="E763" s="311"/>
      <c r="F763" s="311"/>
      <c r="G763" s="311"/>
      <c r="H763" s="311"/>
      <c r="I763" s="311"/>
      <c r="J763" s="317"/>
      <c r="K763" s="312"/>
      <c r="L763" s="312"/>
      <c r="M763" s="312"/>
      <c r="N763" s="312"/>
      <c r="O763" s="312"/>
      <c r="P763" s="318" t="str">
        <f t="shared" si="35"/>
        <v/>
      </c>
      <c r="Q763" s="205" t="str">
        <f t="shared" si="33"/>
        <v/>
      </c>
      <c r="R763" s="205"/>
      <c r="S763" s="319" t="str">
        <f t="shared" si="34"/>
        <v/>
      </c>
      <c r="U763" s="318"/>
      <c r="V763" s="794"/>
      <c r="W763" s="795"/>
      <c r="X763" s="482"/>
      <c r="Y763" s="482"/>
      <c r="Z763" s="482"/>
      <c r="AA763" s="319"/>
      <c r="AB763" s="220"/>
      <c r="AC763" s="318"/>
      <c r="AD763" s="319"/>
      <c r="AE763" s="220"/>
      <c r="AF763" s="320"/>
      <c r="AG763" s="205"/>
      <c r="AH763" s="205"/>
      <c r="AI763" s="205"/>
      <c r="AJ763" s="205"/>
      <c r="AK763" s="205"/>
      <c r="AL763" s="205"/>
      <c r="AM763" s="205"/>
      <c r="AN763" s="205"/>
      <c r="AO763" s="205"/>
      <c r="AP763" s="205"/>
      <c r="AQ763" s="205"/>
      <c r="AR763" s="205"/>
      <c r="AS763" s="205"/>
      <c r="AT763" s="205"/>
      <c r="AU763" s="205"/>
      <c r="AV763" s="205"/>
      <c r="AW763" s="205"/>
      <c r="AX763" s="205"/>
      <c r="AY763" s="205"/>
      <c r="AZ763" s="205"/>
      <c r="BA763" s="205"/>
      <c r="BB763" s="205"/>
      <c r="BC763" s="205"/>
      <c r="BD763" s="205"/>
      <c r="BE763" s="205"/>
      <c r="BF763" s="205"/>
      <c r="BG763" s="205"/>
      <c r="BH763" s="205"/>
      <c r="BI763" s="319"/>
    </row>
    <row r="764" spans="3:61" ht="15" customHeight="1">
      <c r="C764" s="325"/>
      <c r="D764" s="326"/>
      <c r="E764" s="311"/>
      <c r="F764" s="311"/>
      <c r="G764" s="311"/>
      <c r="H764" s="311"/>
      <c r="I764" s="311"/>
      <c r="J764" s="317"/>
      <c r="K764" s="312"/>
      <c r="L764" s="312"/>
      <c r="M764" s="312"/>
      <c r="N764" s="312"/>
      <c r="O764" s="312"/>
      <c r="P764" s="322" t="str">
        <f t="shared" si="35"/>
        <v/>
      </c>
      <c r="Q764" s="208" t="str">
        <f t="shared" si="33"/>
        <v/>
      </c>
      <c r="R764" s="208"/>
      <c r="S764" s="323" t="str">
        <f t="shared" si="34"/>
        <v/>
      </c>
      <c r="U764" s="322"/>
      <c r="V764" s="791"/>
      <c r="W764" s="792"/>
      <c r="X764" s="480"/>
      <c r="Y764" s="480"/>
      <c r="Z764" s="480"/>
      <c r="AA764" s="323"/>
      <c r="AB764" s="220"/>
      <c r="AC764" s="322"/>
      <c r="AD764" s="323"/>
      <c r="AE764" s="220"/>
      <c r="AF764" s="324"/>
      <c r="AG764" s="208"/>
      <c r="AH764" s="208"/>
      <c r="AI764" s="208"/>
      <c r="AJ764" s="208"/>
      <c r="AK764" s="208"/>
      <c r="AL764" s="208"/>
      <c r="AM764" s="208"/>
      <c r="AN764" s="208"/>
      <c r="AO764" s="208"/>
      <c r="AP764" s="208"/>
      <c r="AQ764" s="208"/>
      <c r="AR764" s="208"/>
      <c r="AS764" s="208"/>
      <c r="AT764" s="208"/>
      <c r="AU764" s="208"/>
      <c r="AV764" s="208"/>
      <c r="AW764" s="208"/>
      <c r="AX764" s="208"/>
      <c r="AY764" s="208"/>
      <c r="AZ764" s="208"/>
      <c r="BA764" s="208"/>
      <c r="BB764" s="208"/>
      <c r="BC764" s="208"/>
      <c r="BD764" s="208"/>
      <c r="BE764" s="208"/>
      <c r="BF764" s="208"/>
      <c r="BG764" s="208"/>
      <c r="BH764" s="208"/>
      <c r="BI764" s="323"/>
    </row>
    <row r="765" spans="3:61" ht="15" customHeight="1">
      <c r="C765" s="325"/>
      <c r="D765" s="326"/>
      <c r="E765" s="311"/>
      <c r="F765" s="311"/>
      <c r="G765" s="311"/>
      <c r="H765" s="311"/>
      <c r="I765" s="311"/>
      <c r="J765" s="317"/>
      <c r="K765" s="312"/>
      <c r="L765" s="312"/>
      <c r="M765" s="312"/>
      <c r="N765" s="312"/>
      <c r="O765" s="312"/>
      <c r="P765" s="318" t="str">
        <f t="shared" si="35"/>
        <v/>
      </c>
      <c r="Q765" s="205" t="str">
        <f t="shared" si="33"/>
        <v/>
      </c>
      <c r="R765" s="205"/>
      <c r="S765" s="319" t="str">
        <f t="shared" si="34"/>
        <v/>
      </c>
      <c r="U765" s="318"/>
      <c r="V765" s="794"/>
      <c r="W765" s="795"/>
      <c r="X765" s="482"/>
      <c r="Y765" s="482"/>
      <c r="Z765" s="482"/>
      <c r="AA765" s="319"/>
      <c r="AB765" s="220"/>
      <c r="AC765" s="318"/>
      <c r="AD765" s="319"/>
      <c r="AE765" s="220"/>
      <c r="AF765" s="320"/>
      <c r="AG765" s="205"/>
      <c r="AH765" s="205"/>
      <c r="AI765" s="205"/>
      <c r="AJ765" s="205"/>
      <c r="AK765" s="205"/>
      <c r="AL765" s="205"/>
      <c r="AM765" s="205"/>
      <c r="AN765" s="205"/>
      <c r="AO765" s="205"/>
      <c r="AP765" s="205"/>
      <c r="AQ765" s="205"/>
      <c r="AR765" s="205"/>
      <c r="AS765" s="205"/>
      <c r="AT765" s="205"/>
      <c r="AU765" s="205"/>
      <c r="AV765" s="205"/>
      <c r="AW765" s="205"/>
      <c r="AX765" s="205"/>
      <c r="AY765" s="205"/>
      <c r="AZ765" s="205"/>
      <c r="BA765" s="205"/>
      <c r="BB765" s="205"/>
      <c r="BC765" s="205"/>
      <c r="BD765" s="205"/>
      <c r="BE765" s="205"/>
      <c r="BF765" s="205"/>
      <c r="BG765" s="205"/>
      <c r="BH765" s="205"/>
      <c r="BI765" s="319"/>
    </row>
    <row r="766" spans="3:61" ht="15" customHeight="1">
      <c r="C766" s="325"/>
      <c r="D766" s="326"/>
      <c r="E766" s="311"/>
      <c r="F766" s="311"/>
      <c r="G766" s="311"/>
      <c r="H766" s="311"/>
      <c r="I766" s="311"/>
      <c r="J766" s="317"/>
      <c r="K766" s="312"/>
      <c r="L766" s="312"/>
      <c r="M766" s="312"/>
      <c r="N766" s="312"/>
      <c r="O766" s="312"/>
      <c r="P766" s="322" t="str">
        <f t="shared" si="35"/>
        <v/>
      </c>
      <c r="Q766" s="208" t="str">
        <f t="shared" si="33"/>
        <v/>
      </c>
      <c r="R766" s="208"/>
      <c r="S766" s="323" t="str">
        <f t="shared" si="34"/>
        <v/>
      </c>
      <c r="U766" s="322"/>
      <c r="V766" s="791"/>
      <c r="W766" s="792"/>
      <c r="X766" s="480"/>
      <c r="Y766" s="480"/>
      <c r="Z766" s="480"/>
      <c r="AA766" s="323"/>
      <c r="AB766" s="220"/>
      <c r="AC766" s="322"/>
      <c r="AD766" s="323"/>
      <c r="AE766" s="220"/>
      <c r="AF766" s="324"/>
      <c r="AG766" s="208"/>
      <c r="AH766" s="208"/>
      <c r="AI766" s="208"/>
      <c r="AJ766" s="208"/>
      <c r="AK766" s="208"/>
      <c r="AL766" s="208"/>
      <c r="AM766" s="208"/>
      <c r="AN766" s="208"/>
      <c r="AO766" s="208"/>
      <c r="AP766" s="208"/>
      <c r="AQ766" s="208"/>
      <c r="AR766" s="208"/>
      <c r="AS766" s="208"/>
      <c r="AT766" s="208"/>
      <c r="AU766" s="208"/>
      <c r="AV766" s="208"/>
      <c r="AW766" s="208"/>
      <c r="AX766" s="208"/>
      <c r="AY766" s="208"/>
      <c r="AZ766" s="208"/>
      <c r="BA766" s="208"/>
      <c r="BB766" s="208"/>
      <c r="BC766" s="208"/>
      <c r="BD766" s="208"/>
      <c r="BE766" s="208"/>
      <c r="BF766" s="208"/>
      <c r="BG766" s="208"/>
      <c r="BH766" s="208"/>
      <c r="BI766" s="323"/>
    </row>
    <row r="767" spans="3:61" ht="15" customHeight="1">
      <c r="C767" s="325"/>
      <c r="D767" s="326"/>
      <c r="E767" s="311"/>
      <c r="F767" s="311"/>
      <c r="G767" s="311"/>
      <c r="H767" s="311"/>
      <c r="I767" s="311"/>
      <c r="J767" s="317"/>
      <c r="K767" s="312"/>
      <c r="L767" s="312"/>
      <c r="M767" s="312"/>
      <c r="N767" s="312"/>
      <c r="O767" s="312"/>
      <c r="P767" s="318" t="str">
        <f t="shared" si="35"/>
        <v/>
      </c>
      <c r="Q767" s="205" t="str">
        <f t="shared" si="33"/>
        <v/>
      </c>
      <c r="R767" s="205"/>
      <c r="S767" s="319" t="str">
        <f t="shared" si="34"/>
        <v/>
      </c>
      <c r="U767" s="318"/>
      <c r="V767" s="794"/>
      <c r="W767" s="795"/>
      <c r="X767" s="482"/>
      <c r="Y767" s="482"/>
      <c r="Z767" s="482"/>
      <c r="AA767" s="319"/>
      <c r="AB767" s="220"/>
      <c r="AC767" s="318"/>
      <c r="AD767" s="319"/>
      <c r="AE767" s="220"/>
      <c r="AF767" s="320"/>
      <c r="AG767" s="205"/>
      <c r="AH767" s="205"/>
      <c r="AI767" s="205"/>
      <c r="AJ767" s="205"/>
      <c r="AK767" s="205"/>
      <c r="AL767" s="205"/>
      <c r="AM767" s="205"/>
      <c r="AN767" s="205"/>
      <c r="AO767" s="205"/>
      <c r="AP767" s="205"/>
      <c r="AQ767" s="205"/>
      <c r="AR767" s="205"/>
      <c r="AS767" s="205"/>
      <c r="AT767" s="205"/>
      <c r="AU767" s="205"/>
      <c r="AV767" s="205"/>
      <c r="AW767" s="205"/>
      <c r="AX767" s="205"/>
      <c r="AY767" s="205"/>
      <c r="AZ767" s="205"/>
      <c r="BA767" s="205"/>
      <c r="BB767" s="205"/>
      <c r="BC767" s="205"/>
      <c r="BD767" s="205"/>
      <c r="BE767" s="205"/>
      <c r="BF767" s="205"/>
      <c r="BG767" s="205"/>
      <c r="BH767" s="205"/>
      <c r="BI767" s="319"/>
    </row>
    <row r="768" spans="3:61" ht="15" customHeight="1">
      <c r="C768" s="325"/>
      <c r="D768" s="326"/>
      <c r="E768" s="311"/>
      <c r="F768" s="311"/>
      <c r="G768" s="311"/>
      <c r="H768" s="311"/>
      <c r="I768" s="311"/>
      <c r="J768" s="317"/>
      <c r="K768" s="312"/>
      <c r="L768" s="312"/>
      <c r="M768" s="312"/>
      <c r="N768" s="312"/>
      <c r="O768" s="312"/>
      <c r="P768" s="322" t="str">
        <f t="shared" si="35"/>
        <v/>
      </c>
      <c r="Q768" s="208" t="str">
        <f t="shared" si="33"/>
        <v/>
      </c>
      <c r="R768" s="208"/>
      <c r="S768" s="323" t="str">
        <f t="shared" si="34"/>
        <v/>
      </c>
      <c r="U768" s="322"/>
      <c r="V768" s="791"/>
      <c r="W768" s="792"/>
      <c r="X768" s="480"/>
      <c r="Y768" s="480"/>
      <c r="Z768" s="480"/>
      <c r="AA768" s="323"/>
      <c r="AB768" s="220"/>
      <c r="AC768" s="322"/>
      <c r="AD768" s="323"/>
      <c r="AE768" s="220"/>
      <c r="AF768" s="324"/>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323"/>
    </row>
    <row r="769" spans="3:61" ht="15" customHeight="1">
      <c r="C769" s="325"/>
      <c r="D769" s="326"/>
      <c r="E769" s="311"/>
      <c r="F769" s="311"/>
      <c r="G769" s="311"/>
      <c r="H769" s="311"/>
      <c r="I769" s="311"/>
      <c r="J769" s="317"/>
      <c r="K769" s="312"/>
      <c r="L769" s="312"/>
      <c r="M769" s="312"/>
      <c r="N769" s="312"/>
      <c r="O769" s="312"/>
      <c r="P769" s="318" t="str">
        <f t="shared" si="35"/>
        <v/>
      </c>
      <c r="Q769" s="205" t="str">
        <f t="shared" si="33"/>
        <v/>
      </c>
      <c r="R769" s="205"/>
      <c r="S769" s="319" t="str">
        <f t="shared" si="34"/>
        <v/>
      </c>
      <c r="U769" s="318"/>
      <c r="V769" s="794"/>
      <c r="W769" s="795"/>
      <c r="X769" s="482"/>
      <c r="Y769" s="482"/>
      <c r="Z769" s="482"/>
      <c r="AA769" s="319"/>
      <c r="AB769" s="220"/>
      <c r="AC769" s="318"/>
      <c r="AD769" s="319"/>
      <c r="AE769" s="220"/>
      <c r="AF769" s="320"/>
      <c r="AG769" s="205"/>
      <c r="AH769" s="205"/>
      <c r="AI769" s="205"/>
      <c r="AJ769" s="205"/>
      <c r="AK769" s="205"/>
      <c r="AL769" s="205"/>
      <c r="AM769" s="205"/>
      <c r="AN769" s="205"/>
      <c r="AO769" s="205"/>
      <c r="AP769" s="205"/>
      <c r="AQ769" s="205"/>
      <c r="AR769" s="205"/>
      <c r="AS769" s="205"/>
      <c r="AT769" s="205"/>
      <c r="AU769" s="205"/>
      <c r="AV769" s="205"/>
      <c r="AW769" s="205"/>
      <c r="AX769" s="205"/>
      <c r="AY769" s="205"/>
      <c r="AZ769" s="205"/>
      <c r="BA769" s="205"/>
      <c r="BB769" s="205"/>
      <c r="BC769" s="205"/>
      <c r="BD769" s="205"/>
      <c r="BE769" s="205"/>
      <c r="BF769" s="205"/>
      <c r="BG769" s="205"/>
      <c r="BH769" s="205"/>
      <c r="BI769" s="319"/>
    </row>
    <row r="770" spans="3:61" ht="15" customHeight="1">
      <c r="C770" s="325"/>
      <c r="D770" s="326"/>
      <c r="E770" s="311"/>
      <c r="F770" s="311"/>
      <c r="G770" s="311"/>
      <c r="H770" s="311"/>
      <c r="I770" s="311"/>
      <c r="J770" s="317"/>
      <c r="K770" s="312"/>
      <c r="L770" s="312"/>
      <c r="M770" s="312"/>
      <c r="N770" s="312"/>
      <c r="O770" s="312"/>
      <c r="P770" s="322" t="str">
        <f t="shared" si="35"/>
        <v/>
      </c>
      <c r="Q770" s="208" t="str">
        <f t="shared" si="33"/>
        <v/>
      </c>
      <c r="R770" s="208"/>
      <c r="S770" s="323" t="str">
        <f t="shared" si="34"/>
        <v/>
      </c>
      <c r="U770" s="322"/>
      <c r="V770" s="791"/>
      <c r="W770" s="792"/>
      <c r="X770" s="480"/>
      <c r="Y770" s="480"/>
      <c r="Z770" s="480"/>
      <c r="AA770" s="323"/>
      <c r="AB770" s="220"/>
      <c r="AC770" s="322"/>
      <c r="AD770" s="323"/>
      <c r="AE770" s="220"/>
      <c r="AF770" s="324"/>
      <c r="AG770" s="208"/>
      <c r="AH770" s="208"/>
      <c r="AI770" s="208"/>
      <c r="AJ770" s="208"/>
      <c r="AK770" s="208"/>
      <c r="AL770" s="208"/>
      <c r="AM770" s="208"/>
      <c r="AN770" s="208"/>
      <c r="AO770" s="208"/>
      <c r="AP770" s="208"/>
      <c r="AQ770" s="208"/>
      <c r="AR770" s="208"/>
      <c r="AS770" s="208"/>
      <c r="AT770" s="208"/>
      <c r="AU770" s="208"/>
      <c r="AV770" s="208"/>
      <c r="AW770" s="208"/>
      <c r="AX770" s="208"/>
      <c r="AY770" s="208"/>
      <c r="AZ770" s="208"/>
      <c r="BA770" s="208"/>
      <c r="BB770" s="208"/>
      <c r="BC770" s="208"/>
      <c r="BD770" s="208"/>
      <c r="BE770" s="208"/>
      <c r="BF770" s="208"/>
      <c r="BG770" s="208"/>
      <c r="BH770" s="208"/>
      <c r="BI770" s="323"/>
    </row>
    <row r="771" spans="3:61" ht="15" customHeight="1">
      <c r="C771" s="325"/>
      <c r="D771" s="326"/>
      <c r="E771" s="311"/>
      <c r="F771" s="311"/>
      <c r="G771" s="311"/>
      <c r="H771" s="311"/>
      <c r="I771" s="311"/>
      <c r="J771" s="317"/>
      <c r="K771" s="312"/>
      <c r="L771" s="312"/>
      <c r="M771" s="312"/>
      <c r="N771" s="312"/>
      <c r="O771" s="312"/>
      <c r="P771" s="318" t="str">
        <f t="shared" si="35"/>
        <v/>
      </c>
      <c r="Q771" s="205" t="str">
        <f t="shared" si="33"/>
        <v/>
      </c>
      <c r="R771" s="205"/>
      <c r="S771" s="319" t="str">
        <f t="shared" si="34"/>
        <v/>
      </c>
      <c r="U771" s="318"/>
      <c r="V771" s="794"/>
      <c r="W771" s="795"/>
      <c r="X771" s="482"/>
      <c r="Y771" s="482"/>
      <c r="Z771" s="482"/>
      <c r="AA771" s="319"/>
      <c r="AB771" s="220"/>
      <c r="AC771" s="318"/>
      <c r="AD771" s="319"/>
      <c r="AE771" s="220"/>
      <c r="AF771" s="320"/>
      <c r="AG771" s="205"/>
      <c r="AH771" s="205"/>
      <c r="AI771" s="205"/>
      <c r="AJ771" s="205"/>
      <c r="AK771" s="205"/>
      <c r="AL771" s="205"/>
      <c r="AM771" s="205"/>
      <c r="AN771" s="205"/>
      <c r="AO771" s="205"/>
      <c r="AP771" s="205"/>
      <c r="AQ771" s="205"/>
      <c r="AR771" s="205"/>
      <c r="AS771" s="205"/>
      <c r="AT771" s="205"/>
      <c r="AU771" s="205"/>
      <c r="AV771" s="205"/>
      <c r="AW771" s="205"/>
      <c r="AX771" s="205"/>
      <c r="AY771" s="205"/>
      <c r="AZ771" s="205"/>
      <c r="BA771" s="205"/>
      <c r="BB771" s="205"/>
      <c r="BC771" s="205"/>
      <c r="BD771" s="205"/>
      <c r="BE771" s="205"/>
      <c r="BF771" s="205"/>
      <c r="BG771" s="205"/>
      <c r="BH771" s="205"/>
      <c r="BI771" s="319"/>
    </row>
    <row r="772" spans="3:61" ht="15" customHeight="1">
      <c r="C772" s="325"/>
      <c r="D772" s="326"/>
      <c r="E772" s="311"/>
      <c r="F772" s="311"/>
      <c r="G772" s="311"/>
      <c r="H772" s="311"/>
      <c r="I772" s="311"/>
      <c r="J772" s="317"/>
      <c r="K772" s="312"/>
      <c r="L772" s="312"/>
      <c r="M772" s="312"/>
      <c r="N772" s="312"/>
      <c r="O772" s="312"/>
      <c r="P772" s="322" t="str">
        <f t="shared" si="35"/>
        <v/>
      </c>
      <c r="Q772" s="208" t="str">
        <f t="shared" si="33"/>
        <v/>
      </c>
      <c r="R772" s="208"/>
      <c r="S772" s="323" t="str">
        <f t="shared" si="34"/>
        <v/>
      </c>
      <c r="U772" s="322"/>
      <c r="V772" s="791"/>
      <c r="W772" s="792"/>
      <c r="X772" s="480"/>
      <c r="Y772" s="480"/>
      <c r="Z772" s="480"/>
      <c r="AA772" s="323"/>
      <c r="AB772" s="220"/>
      <c r="AC772" s="322"/>
      <c r="AD772" s="323"/>
      <c r="AE772" s="220"/>
      <c r="AF772" s="324"/>
      <c r="AG772" s="208"/>
      <c r="AH772" s="208"/>
      <c r="AI772" s="208"/>
      <c r="AJ772" s="208"/>
      <c r="AK772" s="208"/>
      <c r="AL772" s="208"/>
      <c r="AM772" s="208"/>
      <c r="AN772" s="208"/>
      <c r="AO772" s="208"/>
      <c r="AP772" s="208"/>
      <c r="AQ772" s="208"/>
      <c r="AR772" s="208"/>
      <c r="AS772" s="208"/>
      <c r="AT772" s="208"/>
      <c r="AU772" s="208"/>
      <c r="AV772" s="208"/>
      <c r="AW772" s="208"/>
      <c r="AX772" s="208"/>
      <c r="AY772" s="208"/>
      <c r="AZ772" s="208"/>
      <c r="BA772" s="208"/>
      <c r="BB772" s="208"/>
      <c r="BC772" s="208"/>
      <c r="BD772" s="208"/>
      <c r="BE772" s="208"/>
      <c r="BF772" s="208"/>
      <c r="BG772" s="208"/>
      <c r="BH772" s="208"/>
      <c r="BI772" s="323"/>
    </row>
    <row r="773" spans="3:61" ht="15" customHeight="1">
      <c r="C773" s="325"/>
      <c r="D773" s="326"/>
      <c r="E773" s="311"/>
      <c r="F773" s="311"/>
      <c r="G773" s="311"/>
      <c r="H773" s="311"/>
      <c r="I773" s="311"/>
      <c r="J773" s="317"/>
      <c r="K773" s="312"/>
      <c r="L773" s="312"/>
      <c r="M773" s="312"/>
      <c r="N773" s="312"/>
      <c r="O773" s="312"/>
      <c r="P773" s="318" t="str">
        <f t="shared" si="35"/>
        <v/>
      </c>
      <c r="Q773" s="205" t="str">
        <f t="shared" si="33"/>
        <v/>
      </c>
      <c r="R773" s="205"/>
      <c r="S773" s="319" t="str">
        <f t="shared" si="34"/>
        <v/>
      </c>
      <c r="U773" s="318"/>
      <c r="V773" s="794"/>
      <c r="W773" s="795"/>
      <c r="X773" s="482"/>
      <c r="Y773" s="482"/>
      <c r="Z773" s="482"/>
      <c r="AA773" s="319"/>
      <c r="AB773" s="220"/>
      <c r="AC773" s="318"/>
      <c r="AD773" s="319"/>
      <c r="AE773" s="220"/>
      <c r="AF773" s="320"/>
      <c r="AG773" s="205"/>
      <c r="AH773" s="205"/>
      <c r="AI773" s="205"/>
      <c r="AJ773" s="205"/>
      <c r="AK773" s="205"/>
      <c r="AL773" s="205"/>
      <c r="AM773" s="205"/>
      <c r="AN773" s="205"/>
      <c r="AO773" s="205"/>
      <c r="AP773" s="205"/>
      <c r="AQ773" s="205"/>
      <c r="AR773" s="205"/>
      <c r="AS773" s="205"/>
      <c r="AT773" s="205"/>
      <c r="AU773" s="205"/>
      <c r="AV773" s="205"/>
      <c r="AW773" s="205"/>
      <c r="AX773" s="205"/>
      <c r="AY773" s="205"/>
      <c r="AZ773" s="205"/>
      <c r="BA773" s="205"/>
      <c r="BB773" s="205"/>
      <c r="BC773" s="205"/>
      <c r="BD773" s="205"/>
      <c r="BE773" s="205"/>
      <c r="BF773" s="205"/>
      <c r="BG773" s="205"/>
      <c r="BH773" s="205"/>
      <c r="BI773" s="319"/>
    </row>
    <row r="774" spans="3:61" ht="15" customHeight="1">
      <c r="C774" s="325"/>
      <c r="D774" s="326"/>
      <c r="E774" s="311"/>
      <c r="F774" s="311"/>
      <c r="G774" s="311"/>
      <c r="H774" s="311"/>
      <c r="I774" s="311"/>
      <c r="J774" s="317"/>
      <c r="K774" s="312"/>
      <c r="L774" s="312"/>
      <c r="M774" s="312"/>
      <c r="N774" s="312"/>
      <c r="O774" s="312"/>
      <c r="P774" s="322" t="str">
        <f t="shared" si="35"/>
        <v/>
      </c>
      <c r="Q774" s="208" t="str">
        <f t="shared" si="33"/>
        <v/>
      </c>
      <c r="R774" s="208"/>
      <c r="S774" s="323" t="str">
        <f t="shared" si="34"/>
        <v/>
      </c>
      <c r="U774" s="322"/>
      <c r="V774" s="791"/>
      <c r="W774" s="792"/>
      <c r="X774" s="480"/>
      <c r="Y774" s="480"/>
      <c r="Z774" s="480"/>
      <c r="AA774" s="323"/>
      <c r="AB774" s="220"/>
      <c r="AC774" s="322"/>
      <c r="AD774" s="323"/>
      <c r="AE774" s="220"/>
      <c r="AF774" s="324"/>
      <c r="AG774" s="208"/>
      <c r="AH774" s="208"/>
      <c r="AI774" s="208"/>
      <c r="AJ774" s="208"/>
      <c r="AK774" s="208"/>
      <c r="AL774" s="208"/>
      <c r="AM774" s="208"/>
      <c r="AN774" s="208"/>
      <c r="AO774" s="208"/>
      <c r="AP774" s="208"/>
      <c r="AQ774" s="208"/>
      <c r="AR774" s="208"/>
      <c r="AS774" s="208"/>
      <c r="AT774" s="208"/>
      <c r="AU774" s="208"/>
      <c r="AV774" s="208"/>
      <c r="AW774" s="208"/>
      <c r="AX774" s="208"/>
      <c r="AY774" s="208"/>
      <c r="AZ774" s="208"/>
      <c r="BA774" s="208"/>
      <c r="BB774" s="208"/>
      <c r="BC774" s="208"/>
      <c r="BD774" s="208"/>
      <c r="BE774" s="208"/>
      <c r="BF774" s="208"/>
      <c r="BG774" s="208"/>
      <c r="BH774" s="208"/>
      <c r="BI774" s="323"/>
    </row>
    <row r="775" spans="3:61" ht="15" customHeight="1">
      <c r="C775" s="325"/>
      <c r="D775" s="326"/>
      <c r="E775" s="311"/>
      <c r="F775" s="311"/>
      <c r="G775" s="311"/>
      <c r="H775" s="311"/>
      <c r="I775" s="311"/>
      <c r="J775" s="317"/>
      <c r="K775" s="312"/>
      <c r="L775" s="312"/>
      <c r="M775" s="312"/>
      <c r="N775" s="312"/>
      <c r="O775" s="312"/>
      <c r="P775" s="318" t="str">
        <f t="shared" si="35"/>
        <v/>
      </c>
      <c r="Q775" s="205" t="str">
        <f t="shared" si="33"/>
        <v/>
      </c>
      <c r="R775" s="205"/>
      <c r="S775" s="319" t="str">
        <f t="shared" si="34"/>
        <v/>
      </c>
      <c r="U775" s="318"/>
      <c r="V775" s="794"/>
      <c r="W775" s="795"/>
      <c r="X775" s="482"/>
      <c r="Y775" s="482"/>
      <c r="Z775" s="482"/>
      <c r="AA775" s="319"/>
      <c r="AB775" s="220"/>
      <c r="AC775" s="318"/>
      <c r="AD775" s="319"/>
      <c r="AE775" s="220"/>
      <c r="AF775" s="320"/>
      <c r="AG775" s="205"/>
      <c r="AH775" s="205"/>
      <c r="AI775" s="205"/>
      <c r="AJ775" s="205"/>
      <c r="AK775" s="205"/>
      <c r="AL775" s="205"/>
      <c r="AM775" s="205"/>
      <c r="AN775" s="205"/>
      <c r="AO775" s="205"/>
      <c r="AP775" s="205"/>
      <c r="AQ775" s="205"/>
      <c r="AR775" s="205"/>
      <c r="AS775" s="205"/>
      <c r="AT775" s="205"/>
      <c r="AU775" s="205"/>
      <c r="AV775" s="205"/>
      <c r="AW775" s="205"/>
      <c r="AX775" s="205"/>
      <c r="AY775" s="205"/>
      <c r="AZ775" s="205"/>
      <c r="BA775" s="205"/>
      <c r="BB775" s="205"/>
      <c r="BC775" s="205"/>
      <c r="BD775" s="205"/>
      <c r="BE775" s="205"/>
      <c r="BF775" s="205"/>
      <c r="BG775" s="205"/>
      <c r="BH775" s="205"/>
      <c r="BI775" s="319"/>
    </row>
    <row r="776" spans="3:61" ht="15" customHeight="1">
      <c r="C776" s="325"/>
      <c r="D776" s="326"/>
      <c r="E776" s="311"/>
      <c r="F776" s="311"/>
      <c r="G776" s="311"/>
      <c r="H776" s="311"/>
      <c r="I776" s="311"/>
      <c r="J776" s="317"/>
      <c r="K776" s="312"/>
      <c r="L776" s="312"/>
      <c r="M776" s="312"/>
      <c r="N776" s="312"/>
      <c r="O776" s="312"/>
      <c r="P776" s="322" t="str">
        <f t="shared" si="35"/>
        <v/>
      </c>
      <c r="Q776" s="208" t="str">
        <f t="shared" si="33"/>
        <v/>
      </c>
      <c r="R776" s="208"/>
      <c r="S776" s="323" t="str">
        <f t="shared" si="34"/>
        <v/>
      </c>
      <c r="U776" s="322"/>
      <c r="V776" s="791"/>
      <c r="W776" s="792"/>
      <c r="X776" s="480"/>
      <c r="Y776" s="480"/>
      <c r="Z776" s="480"/>
      <c r="AA776" s="323"/>
      <c r="AB776" s="220"/>
      <c r="AC776" s="322"/>
      <c r="AD776" s="323"/>
      <c r="AE776" s="220"/>
      <c r="AF776" s="324"/>
      <c r="AG776" s="208"/>
      <c r="AH776" s="208"/>
      <c r="AI776" s="208"/>
      <c r="AJ776" s="208"/>
      <c r="AK776" s="208"/>
      <c r="AL776" s="208"/>
      <c r="AM776" s="208"/>
      <c r="AN776" s="208"/>
      <c r="AO776" s="208"/>
      <c r="AP776" s="208"/>
      <c r="AQ776" s="208"/>
      <c r="AR776" s="208"/>
      <c r="AS776" s="208"/>
      <c r="AT776" s="208"/>
      <c r="AU776" s="208"/>
      <c r="AV776" s="208"/>
      <c r="AW776" s="208"/>
      <c r="AX776" s="208"/>
      <c r="AY776" s="208"/>
      <c r="AZ776" s="208"/>
      <c r="BA776" s="208"/>
      <c r="BB776" s="208"/>
      <c r="BC776" s="208"/>
      <c r="BD776" s="208"/>
      <c r="BE776" s="208"/>
      <c r="BF776" s="208"/>
      <c r="BG776" s="208"/>
      <c r="BH776" s="208"/>
      <c r="BI776" s="323"/>
    </row>
    <row r="777" spans="3:61" ht="15" customHeight="1">
      <c r="C777" s="325"/>
      <c r="D777" s="326"/>
      <c r="E777" s="311"/>
      <c r="F777" s="311"/>
      <c r="G777" s="311"/>
      <c r="H777" s="311"/>
      <c r="I777" s="311"/>
      <c r="J777" s="317"/>
      <c r="K777" s="312"/>
      <c r="L777" s="312"/>
      <c r="M777" s="312"/>
      <c r="N777" s="312"/>
      <c r="O777" s="312"/>
      <c r="P777" s="318" t="str">
        <f t="shared" si="35"/>
        <v/>
      </c>
      <c r="Q777" s="205" t="str">
        <f t="shared" si="33"/>
        <v/>
      </c>
      <c r="R777" s="205"/>
      <c r="S777" s="319" t="str">
        <f t="shared" si="34"/>
        <v/>
      </c>
      <c r="U777" s="318"/>
      <c r="V777" s="794"/>
      <c r="W777" s="795"/>
      <c r="X777" s="482"/>
      <c r="Y777" s="482"/>
      <c r="Z777" s="482"/>
      <c r="AA777" s="319"/>
      <c r="AB777" s="220"/>
      <c r="AC777" s="318"/>
      <c r="AD777" s="319"/>
      <c r="AE777" s="220"/>
      <c r="AF777" s="320"/>
      <c r="AG777" s="205"/>
      <c r="AH777" s="205"/>
      <c r="AI777" s="205"/>
      <c r="AJ777" s="205"/>
      <c r="AK777" s="205"/>
      <c r="AL777" s="205"/>
      <c r="AM777" s="205"/>
      <c r="AN777" s="205"/>
      <c r="AO777" s="205"/>
      <c r="AP777" s="205"/>
      <c r="AQ777" s="205"/>
      <c r="AR777" s="205"/>
      <c r="AS777" s="205"/>
      <c r="AT777" s="205"/>
      <c r="AU777" s="205"/>
      <c r="AV777" s="205"/>
      <c r="AW777" s="205"/>
      <c r="AX777" s="205"/>
      <c r="AY777" s="205"/>
      <c r="AZ777" s="205"/>
      <c r="BA777" s="205"/>
      <c r="BB777" s="205"/>
      <c r="BC777" s="205"/>
      <c r="BD777" s="205"/>
      <c r="BE777" s="205"/>
      <c r="BF777" s="205"/>
      <c r="BG777" s="205"/>
      <c r="BH777" s="205"/>
      <c r="BI777" s="319"/>
    </row>
    <row r="778" spans="3:61" ht="15" customHeight="1">
      <c r="C778" s="325"/>
      <c r="D778" s="326"/>
      <c r="E778" s="311"/>
      <c r="F778" s="311"/>
      <c r="G778" s="311"/>
      <c r="H778" s="311"/>
      <c r="I778" s="311"/>
      <c r="J778" s="317"/>
      <c r="K778" s="312"/>
      <c r="L778" s="312"/>
      <c r="M778" s="312"/>
      <c r="N778" s="312"/>
      <c r="O778" s="312"/>
      <c r="P778" s="322" t="str">
        <f t="shared" si="35"/>
        <v/>
      </c>
      <c r="Q778" s="208" t="str">
        <f t="shared" si="33"/>
        <v/>
      </c>
      <c r="R778" s="208"/>
      <c r="S778" s="323" t="str">
        <f t="shared" si="34"/>
        <v/>
      </c>
      <c r="U778" s="322"/>
      <c r="V778" s="791"/>
      <c r="W778" s="792"/>
      <c r="X778" s="480"/>
      <c r="Y778" s="480"/>
      <c r="Z778" s="480"/>
      <c r="AA778" s="323"/>
      <c r="AB778" s="220"/>
      <c r="AC778" s="322"/>
      <c r="AD778" s="323"/>
      <c r="AE778" s="220"/>
      <c r="AF778" s="324"/>
      <c r="AG778" s="208"/>
      <c r="AH778" s="208"/>
      <c r="AI778" s="208"/>
      <c r="AJ778" s="208"/>
      <c r="AK778" s="208"/>
      <c r="AL778" s="208"/>
      <c r="AM778" s="208"/>
      <c r="AN778" s="208"/>
      <c r="AO778" s="208"/>
      <c r="AP778" s="208"/>
      <c r="AQ778" s="208"/>
      <c r="AR778" s="208"/>
      <c r="AS778" s="208"/>
      <c r="AT778" s="208"/>
      <c r="AU778" s="208"/>
      <c r="AV778" s="208"/>
      <c r="AW778" s="208"/>
      <c r="AX778" s="208"/>
      <c r="AY778" s="208"/>
      <c r="AZ778" s="208"/>
      <c r="BA778" s="208"/>
      <c r="BB778" s="208"/>
      <c r="BC778" s="208"/>
      <c r="BD778" s="208"/>
      <c r="BE778" s="208"/>
      <c r="BF778" s="208"/>
      <c r="BG778" s="208"/>
      <c r="BH778" s="208"/>
      <c r="BI778" s="323"/>
    </row>
    <row r="779" spans="3:61" ht="15" customHeight="1">
      <c r="C779" s="325"/>
      <c r="D779" s="326"/>
      <c r="E779" s="311"/>
      <c r="F779" s="311"/>
      <c r="G779" s="311"/>
      <c r="H779" s="311"/>
      <c r="I779" s="311"/>
      <c r="J779" s="317"/>
      <c r="K779" s="312"/>
      <c r="L779" s="312"/>
      <c r="M779" s="312"/>
      <c r="N779" s="312"/>
      <c r="O779" s="312"/>
      <c r="P779" s="318" t="str">
        <f t="shared" si="35"/>
        <v/>
      </c>
      <c r="Q779" s="205" t="str">
        <f t="shared" ref="Q779:Q842" si="36">IF($AA779 = "", "", $AA779/$AA$10*100)</f>
        <v/>
      </c>
      <c r="R779" s="205"/>
      <c r="S779" s="319" t="str">
        <f t="shared" ref="S779:S842" si="37">IF($AD779 = "", "", $AD779/$AD$10*100)</f>
        <v/>
      </c>
      <c r="U779" s="318"/>
      <c r="V779" s="794"/>
      <c r="W779" s="795"/>
      <c r="X779" s="482"/>
      <c r="Y779" s="482"/>
      <c r="Z779" s="482"/>
      <c r="AA779" s="319"/>
      <c r="AB779" s="220"/>
      <c r="AC779" s="318"/>
      <c r="AD779" s="319"/>
      <c r="AE779" s="220"/>
      <c r="AF779" s="320"/>
      <c r="AG779" s="205"/>
      <c r="AH779" s="205"/>
      <c r="AI779" s="205"/>
      <c r="AJ779" s="205"/>
      <c r="AK779" s="205"/>
      <c r="AL779" s="205"/>
      <c r="AM779" s="205"/>
      <c r="AN779" s="205"/>
      <c r="AO779" s="205"/>
      <c r="AP779" s="205"/>
      <c r="AQ779" s="205"/>
      <c r="AR779" s="205"/>
      <c r="AS779" s="205"/>
      <c r="AT779" s="205"/>
      <c r="AU779" s="205"/>
      <c r="AV779" s="205"/>
      <c r="AW779" s="205"/>
      <c r="AX779" s="205"/>
      <c r="AY779" s="205"/>
      <c r="AZ779" s="205"/>
      <c r="BA779" s="205"/>
      <c r="BB779" s="205"/>
      <c r="BC779" s="205"/>
      <c r="BD779" s="205"/>
      <c r="BE779" s="205"/>
      <c r="BF779" s="205"/>
      <c r="BG779" s="205"/>
      <c r="BH779" s="205"/>
      <c r="BI779" s="319"/>
    </row>
    <row r="780" spans="3:61" ht="15" customHeight="1">
      <c r="C780" s="325"/>
      <c r="D780" s="326"/>
      <c r="E780" s="311"/>
      <c r="F780" s="311"/>
      <c r="G780" s="311"/>
      <c r="H780" s="311"/>
      <c r="I780" s="311"/>
      <c r="J780" s="317"/>
      <c r="K780" s="312"/>
      <c r="L780" s="312"/>
      <c r="M780" s="312"/>
      <c r="N780" s="312"/>
      <c r="O780" s="312"/>
      <c r="P780" s="322" t="str">
        <f t="shared" ref="P780:P843" si="38">IF(U780="", "", U780)</f>
        <v/>
      </c>
      <c r="Q780" s="208" t="str">
        <f t="shared" si="36"/>
        <v/>
      </c>
      <c r="R780" s="208"/>
      <c r="S780" s="323" t="str">
        <f t="shared" si="37"/>
        <v/>
      </c>
      <c r="U780" s="322"/>
      <c r="V780" s="791"/>
      <c r="W780" s="792"/>
      <c r="X780" s="480"/>
      <c r="Y780" s="480"/>
      <c r="Z780" s="480"/>
      <c r="AA780" s="323"/>
      <c r="AB780" s="220"/>
      <c r="AC780" s="322"/>
      <c r="AD780" s="323"/>
      <c r="AE780" s="220"/>
      <c r="AF780" s="324"/>
      <c r="AG780" s="208"/>
      <c r="AH780" s="208"/>
      <c r="AI780" s="208"/>
      <c r="AJ780" s="208"/>
      <c r="AK780" s="208"/>
      <c r="AL780" s="208"/>
      <c r="AM780" s="208"/>
      <c r="AN780" s="208"/>
      <c r="AO780" s="208"/>
      <c r="AP780" s="208"/>
      <c r="AQ780" s="208"/>
      <c r="AR780" s="208"/>
      <c r="AS780" s="208"/>
      <c r="AT780" s="208"/>
      <c r="AU780" s="208"/>
      <c r="AV780" s="208"/>
      <c r="AW780" s="208"/>
      <c r="AX780" s="208"/>
      <c r="AY780" s="208"/>
      <c r="AZ780" s="208"/>
      <c r="BA780" s="208"/>
      <c r="BB780" s="208"/>
      <c r="BC780" s="208"/>
      <c r="BD780" s="208"/>
      <c r="BE780" s="208"/>
      <c r="BF780" s="208"/>
      <c r="BG780" s="208"/>
      <c r="BH780" s="208"/>
      <c r="BI780" s="323"/>
    </row>
    <row r="781" spans="3:61" ht="15" customHeight="1">
      <c r="C781" s="325"/>
      <c r="D781" s="326"/>
      <c r="E781" s="311"/>
      <c r="F781" s="311"/>
      <c r="G781" s="311"/>
      <c r="H781" s="311"/>
      <c r="I781" s="311"/>
      <c r="J781" s="317"/>
      <c r="K781" s="312"/>
      <c r="L781" s="312"/>
      <c r="M781" s="312"/>
      <c r="N781" s="312"/>
      <c r="O781" s="312"/>
      <c r="P781" s="318" t="str">
        <f t="shared" si="38"/>
        <v/>
      </c>
      <c r="Q781" s="205" t="str">
        <f t="shared" si="36"/>
        <v/>
      </c>
      <c r="R781" s="205"/>
      <c r="S781" s="319" t="str">
        <f t="shared" si="37"/>
        <v/>
      </c>
      <c r="U781" s="318"/>
      <c r="V781" s="794"/>
      <c r="W781" s="795"/>
      <c r="X781" s="482"/>
      <c r="Y781" s="482"/>
      <c r="Z781" s="482"/>
      <c r="AA781" s="319"/>
      <c r="AB781" s="220"/>
      <c r="AC781" s="318"/>
      <c r="AD781" s="319"/>
      <c r="AE781" s="220"/>
      <c r="AF781" s="320"/>
      <c r="AG781" s="205"/>
      <c r="AH781" s="205"/>
      <c r="AI781" s="205"/>
      <c r="AJ781" s="205"/>
      <c r="AK781" s="205"/>
      <c r="AL781" s="205"/>
      <c r="AM781" s="205"/>
      <c r="AN781" s="205"/>
      <c r="AO781" s="205"/>
      <c r="AP781" s="205"/>
      <c r="AQ781" s="205"/>
      <c r="AR781" s="205"/>
      <c r="AS781" s="205"/>
      <c r="AT781" s="205"/>
      <c r="AU781" s="205"/>
      <c r="AV781" s="205"/>
      <c r="AW781" s="205"/>
      <c r="AX781" s="205"/>
      <c r="AY781" s="205"/>
      <c r="AZ781" s="205"/>
      <c r="BA781" s="205"/>
      <c r="BB781" s="205"/>
      <c r="BC781" s="205"/>
      <c r="BD781" s="205"/>
      <c r="BE781" s="205"/>
      <c r="BF781" s="205"/>
      <c r="BG781" s="205"/>
      <c r="BH781" s="205"/>
      <c r="BI781" s="319"/>
    </row>
    <row r="782" spans="3:61" ht="15" customHeight="1">
      <c r="C782" s="325"/>
      <c r="D782" s="326"/>
      <c r="E782" s="311"/>
      <c r="F782" s="311"/>
      <c r="G782" s="311"/>
      <c r="H782" s="311"/>
      <c r="I782" s="311"/>
      <c r="J782" s="317"/>
      <c r="K782" s="312"/>
      <c r="L782" s="312"/>
      <c r="M782" s="312"/>
      <c r="N782" s="312"/>
      <c r="O782" s="312"/>
      <c r="P782" s="322" t="str">
        <f t="shared" si="38"/>
        <v/>
      </c>
      <c r="Q782" s="208" t="str">
        <f t="shared" si="36"/>
        <v/>
      </c>
      <c r="R782" s="208"/>
      <c r="S782" s="323" t="str">
        <f t="shared" si="37"/>
        <v/>
      </c>
      <c r="U782" s="322"/>
      <c r="V782" s="791"/>
      <c r="W782" s="792"/>
      <c r="X782" s="480"/>
      <c r="Y782" s="480"/>
      <c r="Z782" s="480"/>
      <c r="AA782" s="323"/>
      <c r="AB782" s="220"/>
      <c r="AC782" s="322"/>
      <c r="AD782" s="323"/>
      <c r="AE782" s="220"/>
      <c r="AF782" s="324"/>
      <c r="AG782" s="208"/>
      <c r="AH782" s="208"/>
      <c r="AI782" s="208"/>
      <c r="AJ782" s="208"/>
      <c r="AK782" s="208"/>
      <c r="AL782" s="208"/>
      <c r="AM782" s="208"/>
      <c r="AN782" s="208"/>
      <c r="AO782" s="208"/>
      <c r="AP782" s="208"/>
      <c r="AQ782" s="208"/>
      <c r="AR782" s="208"/>
      <c r="AS782" s="208"/>
      <c r="AT782" s="208"/>
      <c r="AU782" s="208"/>
      <c r="AV782" s="208"/>
      <c r="AW782" s="208"/>
      <c r="AX782" s="208"/>
      <c r="AY782" s="208"/>
      <c r="AZ782" s="208"/>
      <c r="BA782" s="208"/>
      <c r="BB782" s="208"/>
      <c r="BC782" s="208"/>
      <c r="BD782" s="208"/>
      <c r="BE782" s="208"/>
      <c r="BF782" s="208"/>
      <c r="BG782" s="208"/>
      <c r="BH782" s="208"/>
      <c r="BI782" s="323"/>
    </row>
    <row r="783" spans="3:61" ht="15" customHeight="1">
      <c r="C783" s="325"/>
      <c r="D783" s="326"/>
      <c r="E783" s="311"/>
      <c r="F783" s="311"/>
      <c r="G783" s="311"/>
      <c r="H783" s="311"/>
      <c r="I783" s="311"/>
      <c r="J783" s="317"/>
      <c r="K783" s="312"/>
      <c r="L783" s="312"/>
      <c r="M783" s="312"/>
      <c r="N783" s="312"/>
      <c r="O783" s="312"/>
      <c r="P783" s="318" t="str">
        <f t="shared" si="38"/>
        <v/>
      </c>
      <c r="Q783" s="205" t="str">
        <f t="shared" si="36"/>
        <v/>
      </c>
      <c r="R783" s="205"/>
      <c r="S783" s="319" t="str">
        <f t="shared" si="37"/>
        <v/>
      </c>
      <c r="U783" s="318"/>
      <c r="V783" s="794"/>
      <c r="W783" s="795"/>
      <c r="X783" s="482"/>
      <c r="Y783" s="482"/>
      <c r="Z783" s="482"/>
      <c r="AA783" s="319"/>
      <c r="AB783" s="220"/>
      <c r="AC783" s="318"/>
      <c r="AD783" s="319"/>
      <c r="AE783" s="220"/>
      <c r="AF783" s="320"/>
      <c r="AG783" s="205"/>
      <c r="AH783" s="205"/>
      <c r="AI783" s="205"/>
      <c r="AJ783" s="205"/>
      <c r="AK783" s="205"/>
      <c r="AL783" s="205"/>
      <c r="AM783" s="205"/>
      <c r="AN783" s="205"/>
      <c r="AO783" s="205"/>
      <c r="AP783" s="205"/>
      <c r="AQ783" s="205"/>
      <c r="AR783" s="205"/>
      <c r="AS783" s="205"/>
      <c r="AT783" s="205"/>
      <c r="AU783" s="205"/>
      <c r="AV783" s="205"/>
      <c r="AW783" s="205"/>
      <c r="AX783" s="205"/>
      <c r="AY783" s="205"/>
      <c r="AZ783" s="205"/>
      <c r="BA783" s="205"/>
      <c r="BB783" s="205"/>
      <c r="BC783" s="205"/>
      <c r="BD783" s="205"/>
      <c r="BE783" s="205"/>
      <c r="BF783" s="205"/>
      <c r="BG783" s="205"/>
      <c r="BH783" s="205"/>
      <c r="BI783" s="319"/>
    </row>
    <row r="784" spans="3:61" ht="15" customHeight="1">
      <c r="C784" s="325"/>
      <c r="D784" s="326"/>
      <c r="E784" s="311"/>
      <c r="F784" s="311"/>
      <c r="G784" s="311"/>
      <c r="H784" s="311"/>
      <c r="I784" s="311"/>
      <c r="J784" s="317"/>
      <c r="K784" s="312"/>
      <c r="L784" s="312"/>
      <c r="M784" s="312"/>
      <c r="N784" s="312"/>
      <c r="O784" s="312"/>
      <c r="P784" s="322" t="str">
        <f t="shared" si="38"/>
        <v/>
      </c>
      <c r="Q784" s="208" t="str">
        <f t="shared" si="36"/>
        <v/>
      </c>
      <c r="R784" s="208"/>
      <c r="S784" s="323" t="str">
        <f t="shared" si="37"/>
        <v/>
      </c>
      <c r="U784" s="322"/>
      <c r="V784" s="791"/>
      <c r="W784" s="792"/>
      <c r="X784" s="480"/>
      <c r="Y784" s="480"/>
      <c r="Z784" s="480"/>
      <c r="AA784" s="323"/>
      <c r="AB784" s="220"/>
      <c r="AC784" s="322"/>
      <c r="AD784" s="323"/>
      <c r="AE784" s="220"/>
      <c r="AF784" s="324"/>
      <c r="AG784" s="208"/>
      <c r="AH784" s="208"/>
      <c r="AI784" s="208"/>
      <c r="AJ784" s="208"/>
      <c r="AK784" s="208"/>
      <c r="AL784" s="208"/>
      <c r="AM784" s="208"/>
      <c r="AN784" s="208"/>
      <c r="AO784" s="208"/>
      <c r="AP784" s="208"/>
      <c r="AQ784" s="208"/>
      <c r="AR784" s="208"/>
      <c r="AS784" s="208"/>
      <c r="AT784" s="208"/>
      <c r="AU784" s="208"/>
      <c r="AV784" s="208"/>
      <c r="AW784" s="208"/>
      <c r="AX784" s="208"/>
      <c r="AY784" s="208"/>
      <c r="AZ784" s="208"/>
      <c r="BA784" s="208"/>
      <c r="BB784" s="208"/>
      <c r="BC784" s="208"/>
      <c r="BD784" s="208"/>
      <c r="BE784" s="208"/>
      <c r="BF784" s="208"/>
      <c r="BG784" s="208"/>
      <c r="BH784" s="208"/>
      <c r="BI784" s="323"/>
    </row>
    <row r="785" spans="3:61" ht="15" customHeight="1">
      <c r="C785" s="325"/>
      <c r="D785" s="326"/>
      <c r="E785" s="311"/>
      <c r="F785" s="311"/>
      <c r="G785" s="311"/>
      <c r="H785" s="311"/>
      <c r="I785" s="311"/>
      <c r="J785" s="317"/>
      <c r="K785" s="312"/>
      <c r="L785" s="312"/>
      <c r="M785" s="312"/>
      <c r="N785" s="312"/>
      <c r="O785" s="312"/>
      <c r="P785" s="318" t="str">
        <f t="shared" si="38"/>
        <v/>
      </c>
      <c r="Q785" s="205" t="str">
        <f t="shared" si="36"/>
        <v/>
      </c>
      <c r="R785" s="205"/>
      <c r="S785" s="319" t="str">
        <f t="shared" si="37"/>
        <v/>
      </c>
      <c r="U785" s="318"/>
      <c r="V785" s="794"/>
      <c r="W785" s="795"/>
      <c r="X785" s="482"/>
      <c r="Y785" s="482"/>
      <c r="Z785" s="482"/>
      <c r="AA785" s="319"/>
      <c r="AB785" s="220"/>
      <c r="AC785" s="318"/>
      <c r="AD785" s="319"/>
      <c r="AE785" s="220"/>
      <c r="AF785" s="320"/>
      <c r="AG785" s="205"/>
      <c r="AH785" s="205"/>
      <c r="AI785" s="205"/>
      <c r="AJ785" s="205"/>
      <c r="AK785" s="205"/>
      <c r="AL785" s="205"/>
      <c r="AM785" s="205"/>
      <c r="AN785" s="205"/>
      <c r="AO785" s="205"/>
      <c r="AP785" s="205"/>
      <c r="AQ785" s="205"/>
      <c r="AR785" s="205"/>
      <c r="AS785" s="205"/>
      <c r="AT785" s="205"/>
      <c r="AU785" s="205"/>
      <c r="AV785" s="205"/>
      <c r="AW785" s="205"/>
      <c r="AX785" s="205"/>
      <c r="AY785" s="205"/>
      <c r="AZ785" s="205"/>
      <c r="BA785" s="205"/>
      <c r="BB785" s="205"/>
      <c r="BC785" s="205"/>
      <c r="BD785" s="205"/>
      <c r="BE785" s="205"/>
      <c r="BF785" s="205"/>
      <c r="BG785" s="205"/>
      <c r="BH785" s="205"/>
      <c r="BI785" s="319"/>
    </row>
    <row r="786" spans="3:61" ht="15" customHeight="1">
      <c r="C786" s="325"/>
      <c r="D786" s="326"/>
      <c r="E786" s="311"/>
      <c r="F786" s="311"/>
      <c r="G786" s="311"/>
      <c r="H786" s="311"/>
      <c r="I786" s="311"/>
      <c r="J786" s="317"/>
      <c r="K786" s="312"/>
      <c r="L786" s="312"/>
      <c r="M786" s="312"/>
      <c r="N786" s="312"/>
      <c r="O786" s="312"/>
      <c r="P786" s="322" t="str">
        <f t="shared" si="38"/>
        <v/>
      </c>
      <c r="Q786" s="208" t="str">
        <f t="shared" si="36"/>
        <v/>
      </c>
      <c r="R786" s="208"/>
      <c r="S786" s="323" t="str">
        <f t="shared" si="37"/>
        <v/>
      </c>
      <c r="U786" s="322"/>
      <c r="V786" s="791"/>
      <c r="W786" s="792"/>
      <c r="X786" s="480"/>
      <c r="Y786" s="480"/>
      <c r="Z786" s="480"/>
      <c r="AA786" s="323"/>
      <c r="AB786" s="220"/>
      <c r="AC786" s="322"/>
      <c r="AD786" s="323"/>
      <c r="AE786" s="220"/>
      <c r="AF786" s="324"/>
      <c r="AG786" s="208"/>
      <c r="AH786" s="208"/>
      <c r="AI786" s="208"/>
      <c r="AJ786" s="208"/>
      <c r="AK786" s="208"/>
      <c r="AL786" s="208"/>
      <c r="AM786" s="208"/>
      <c r="AN786" s="208"/>
      <c r="AO786" s="208"/>
      <c r="AP786" s="208"/>
      <c r="AQ786" s="208"/>
      <c r="AR786" s="208"/>
      <c r="AS786" s="208"/>
      <c r="AT786" s="208"/>
      <c r="AU786" s="208"/>
      <c r="AV786" s="208"/>
      <c r="AW786" s="208"/>
      <c r="AX786" s="208"/>
      <c r="AY786" s="208"/>
      <c r="AZ786" s="208"/>
      <c r="BA786" s="208"/>
      <c r="BB786" s="208"/>
      <c r="BC786" s="208"/>
      <c r="BD786" s="208"/>
      <c r="BE786" s="208"/>
      <c r="BF786" s="208"/>
      <c r="BG786" s="208"/>
      <c r="BH786" s="208"/>
      <c r="BI786" s="323"/>
    </row>
    <row r="787" spans="3:61" ht="15" customHeight="1">
      <c r="C787" s="325"/>
      <c r="D787" s="326"/>
      <c r="E787" s="311"/>
      <c r="F787" s="311"/>
      <c r="G787" s="311"/>
      <c r="H787" s="311"/>
      <c r="I787" s="311"/>
      <c r="J787" s="317"/>
      <c r="K787" s="312"/>
      <c r="L787" s="312"/>
      <c r="M787" s="312"/>
      <c r="N787" s="312"/>
      <c r="O787" s="312"/>
      <c r="P787" s="318" t="str">
        <f t="shared" si="38"/>
        <v/>
      </c>
      <c r="Q787" s="205" t="str">
        <f t="shared" si="36"/>
        <v/>
      </c>
      <c r="R787" s="205"/>
      <c r="S787" s="319" t="str">
        <f t="shared" si="37"/>
        <v/>
      </c>
      <c r="U787" s="318"/>
      <c r="V787" s="794"/>
      <c r="W787" s="795"/>
      <c r="X787" s="482"/>
      <c r="Y787" s="482"/>
      <c r="Z787" s="482"/>
      <c r="AA787" s="319"/>
      <c r="AB787" s="220"/>
      <c r="AC787" s="318"/>
      <c r="AD787" s="319"/>
      <c r="AE787" s="220"/>
      <c r="AF787" s="320"/>
      <c r="AG787" s="205"/>
      <c r="AH787" s="205"/>
      <c r="AI787" s="205"/>
      <c r="AJ787" s="205"/>
      <c r="AK787" s="205"/>
      <c r="AL787" s="205"/>
      <c r="AM787" s="205"/>
      <c r="AN787" s="205"/>
      <c r="AO787" s="205"/>
      <c r="AP787" s="205"/>
      <c r="AQ787" s="205"/>
      <c r="AR787" s="205"/>
      <c r="AS787" s="205"/>
      <c r="AT787" s="205"/>
      <c r="AU787" s="205"/>
      <c r="AV787" s="205"/>
      <c r="AW787" s="205"/>
      <c r="AX787" s="205"/>
      <c r="AY787" s="205"/>
      <c r="AZ787" s="205"/>
      <c r="BA787" s="205"/>
      <c r="BB787" s="205"/>
      <c r="BC787" s="205"/>
      <c r="BD787" s="205"/>
      <c r="BE787" s="205"/>
      <c r="BF787" s="205"/>
      <c r="BG787" s="205"/>
      <c r="BH787" s="205"/>
      <c r="BI787" s="319"/>
    </row>
    <row r="788" spans="3:61" ht="15" customHeight="1">
      <c r="C788" s="325"/>
      <c r="D788" s="326"/>
      <c r="E788" s="311"/>
      <c r="F788" s="311"/>
      <c r="G788" s="311"/>
      <c r="H788" s="311"/>
      <c r="I788" s="311"/>
      <c r="J788" s="317"/>
      <c r="K788" s="312"/>
      <c r="L788" s="312"/>
      <c r="M788" s="312"/>
      <c r="N788" s="312"/>
      <c r="O788" s="312"/>
      <c r="P788" s="322" t="str">
        <f t="shared" si="38"/>
        <v/>
      </c>
      <c r="Q788" s="208" t="str">
        <f t="shared" si="36"/>
        <v/>
      </c>
      <c r="R788" s="208"/>
      <c r="S788" s="323" t="str">
        <f t="shared" si="37"/>
        <v/>
      </c>
      <c r="U788" s="322"/>
      <c r="V788" s="791"/>
      <c r="W788" s="792"/>
      <c r="X788" s="480"/>
      <c r="Y788" s="480"/>
      <c r="Z788" s="480"/>
      <c r="AA788" s="323"/>
      <c r="AB788" s="220"/>
      <c r="AC788" s="322"/>
      <c r="AD788" s="323"/>
      <c r="AE788" s="220"/>
      <c r="AF788" s="324"/>
      <c r="AG788" s="208"/>
      <c r="AH788" s="208"/>
      <c r="AI788" s="208"/>
      <c r="AJ788" s="208"/>
      <c r="AK788" s="208"/>
      <c r="AL788" s="208"/>
      <c r="AM788" s="208"/>
      <c r="AN788" s="208"/>
      <c r="AO788" s="208"/>
      <c r="AP788" s="208"/>
      <c r="AQ788" s="208"/>
      <c r="AR788" s="208"/>
      <c r="AS788" s="208"/>
      <c r="AT788" s="208"/>
      <c r="AU788" s="208"/>
      <c r="AV788" s="208"/>
      <c r="AW788" s="208"/>
      <c r="AX788" s="208"/>
      <c r="AY788" s="208"/>
      <c r="AZ788" s="208"/>
      <c r="BA788" s="208"/>
      <c r="BB788" s="208"/>
      <c r="BC788" s="208"/>
      <c r="BD788" s="208"/>
      <c r="BE788" s="208"/>
      <c r="BF788" s="208"/>
      <c r="BG788" s="208"/>
      <c r="BH788" s="208"/>
      <c r="BI788" s="323"/>
    </row>
    <row r="789" spans="3:61" ht="15" customHeight="1">
      <c r="C789" s="325"/>
      <c r="D789" s="326"/>
      <c r="E789" s="311"/>
      <c r="F789" s="311"/>
      <c r="G789" s="311"/>
      <c r="H789" s="311"/>
      <c r="I789" s="311"/>
      <c r="J789" s="317"/>
      <c r="K789" s="312"/>
      <c r="L789" s="312"/>
      <c r="M789" s="312"/>
      <c r="N789" s="312"/>
      <c r="O789" s="312"/>
      <c r="P789" s="318" t="str">
        <f t="shared" si="38"/>
        <v/>
      </c>
      <c r="Q789" s="205" t="str">
        <f t="shared" si="36"/>
        <v/>
      </c>
      <c r="R789" s="205"/>
      <c r="S789" s="319" t="str">
        <f t="shared" si="37"/>
        <v/>
      </c>
      <c r="U789" s="318"/>
      <c r="V789" s="794"/>
      <c r="W789" s="795"/>
      <c r="X789" s="482"/>
      <c r="Y789" s="482"/>
      <c r="Z789" s="482"/>
      <c r="AA789" s="319"/>
      <c r="AB789" s="220"/>
      <c r="AC789" s="318"/>
      <c r="AD789" s="319"/>
      <c r="AE789" s="220"/>
      <c r="AF789" s="320"/>
      <c r="AG789" s="205"/>
      <c r="AH789" s="205"/>
      <c r="AI789" s="205"/>
      <c r="AJ789" s="205"/>
      <c r="AK789" s="205"/>
      <c r="AL789" s="205"/>
      <c r="AM789" s="205"/>
      <c r="AN789" s="205"/>
      <c r="AO789" s="205"/>
      <c r="AP789" s="205"/>
      <c r="AQ789" s="205"/>
      <c r="AR789" s="205"/>
      <c r="AS789" s="205"/>
      <c r="AT789" s="205"/>
      <c r="AU789" s="205"/>
      <c r="AV789" s="205"/>
      <c r="AW789" s="205"/>
      <c r="AX789" s="205"/>
      <c r="AY789" s="205"/>
      <c r="AZ789" s="205"/>
      <c r="BA789" s="205"/>
      <c r="BB789" s="205"/>
      <c r="BC789" s="205"/>
      <c r="BD789" s="205"/>
      <c r="BE789" s="205"/>
      <c r="BF789" s="205"/>
      <c r="BG789" s="205"/>
      <c r="BH789" s="205"/>
      <c r="BI789" s="319"/>
    </row>
    <row r="790" spans="3:61" ht="15" customHeight="1">
      <c r="C790" s="325"/>
      <c r="D790" s="326"/>
      <c r="E790" s="311"/>
      <c r="F790" s="311"/>
      <c r="G790" s="311"/>
      <c r="H790" s="311"/>
      <c r="I790" s="311"/>
      <c r="J790" s="317"/>
      <c r="K790" s="312"/>
      <c r="L790" s="312"/>
      <c r="M790" s="312"/>
      <c r="N790" s="312"/>
      <c r="O790" s="312"/>
      <c r="P790" s="322" t="str">
        <f t="shared" si="38"/>
        <v/>
      </c>
      <c r="Q790" s="208" t="str">
        <f t="shared" si="36"/>
        <v/>
      </c>
      <c r="R790" s="208"/>
      <c r="S790" s="323" t="str">
        <f t="shared" si="37"/>
        <v/>
      </c>
      <c r="U790" s="322"/>
      <c r="V790" s="791"/>
      <c r="W790" s="792"/>
      <c r="X790" s="480"/>
      <c r="Y790" s="480"/>
      <c r="Z790" s="480"/>
      <c r="AA790" s="323"/>
      <c r="AB790" s="220"/>
      <c r="AC790" s="322"/>
      <c r="AD790" s="323"/>
      <c r="AE790" s="220"/>
      <c r="AF790" s="324"/>
      <c r="AG790" s="208"/>
      <c r="AH790" s="208"/>
      <c r="AI790" s="208"/>
      <c r="AJ790" s="208"/>
      <c r="AK790" s="208"/>
      <c r="AL790" s="208"/>
      <c r="AM790" s="208"/>
      <c r="AN790" s="208"/>
      <c r="AO790" s="208"/>
      <c r="AP790" s="208"/>
      <c r="AQ790" s="208"/>
      <c r="AR790" s="208"/>
      <c r="AS790" s="208"/>
      <c r="AT790" s="208"/>
      <c r="AU790" s="208"/>
      <c r="AV790" s="208"/>
      <c r="AW790" s="208"/>
      <c r="AX790" s="208"/>
      <c r="AY790" s="208"/>
      <c r="AZ790" s="208"/>
      <c r="BA790" s="208"/>
      <c r="BB790" s="208"/>
      <c r="BC790" s="208"/>
      <c r="BD790" s="208"/>
      <c r="BE790" s="208"/>
      <c r="BF790" s="208"/>
      <c r="BG790" s="208"/>
      <c r="BH790" s="208"/>
      <c r="BI790" s="323"/>
    </row>
    <row r="791" spans="3:61" ht="15" customHeight="1">
      <c r="C791" s="325"/>
      <c r="D791" s="326"/>
      <c r="E791" s="311"/>
      <c r="F791" s="311"/>
      <c r="G791" s="311"/>
      <c r="H791" s="311"/>
      <c r="I791" s="311"/>
      <c r="J791" s="317"/>
      <c r="K791" s="312"/>
      <c r="L791" s="312"/>
      <c r="M791" s="312"/>
      <c r="N791" s="312"/>
      <c r="O791" s="312"/>
      <c r="P791" s="318" t="str">
        <f t="shared" si="38"/>
        <v/>
      </c>
      <c r="Q791" s="205" t="str">
        <f t="shared" si="36"/>
        <v/>
      </c>
      <c r="R791" s="205"/>
      <c r="S791" s="319" t="str">
        <f t="shared" si="37"/>
        <v/>
      </c>
      <c r="U791" s="318"/>
      <c r="V791" s="794"/>
      <c r="W791" s="795"/>
      <c r="X791" s="482"/>
      <c r="Y791" s="482"/>
      <c r="Z791" s="482"/>
      <c r="AA791" s="319"/>
      <c r="AB791" s="220"/>
      <c r="AC791" s="318"/>
      <c r="AD791" s="319"/>
      <c r="AE791" s="220"/>
      <c r="AF791" s="320"/>
      <c r="AG791" s="205"/>
      <c r="AH791" s="205"/>
      <c r="AI791" s="205"/>
      <c r="AJ791" s="205"/>
      <c r="AK791" s="205"/>
      <c r="AL791" s="205"/>
      <c r="AM791" s="205"/>
      <c r="AN791" s="205"/>
      <c r="AO791" s="205"/>
      <c r="AP791" s="205"/>
      <c r="AQ791" s="205"/>
      <c r="AR791" s="205"/>
      <c r="AS791" s="205"/>
      <c r="AT791" s="205"/>
      <c r="AU791" s="205"/>
      <c r="AV791" s="205"/>
      <c r="AW791" s="205"/>
      <c r="AX791" s="205"/>
      <c r="AY791" s="205"/>
      <c r="AZ791" s="205"/>
      <c r="BA791" s="205"/>
      <c r="BB791" s="205"/>
      <c r="BC791" s="205"/>
      <c r="BD791" s="205"/>
      <c r="BE791" s="205"/>
      <c r="BF791" s="205"/>
      <c r="BG791" s="205"/>
      <c r="BH791" s="205"/>
      <c r="BI791" s="319"/>
    </row>
    <row r="792" spans="3:61" ht="15" customHeight="1">
      <c r="C792" s="325"/>
      <c r="D792" s="326"/>
      <c r="E792" s="311"/>
      <c r="F792" s="311"/>
      <c r="G792" s="311"/>
      <c r="H792" s="311"/>
      <c r="I792" s="311"/>
      <c r="J792" s="317"/>
      <c r="K792" s="312"/>
      <c r="L792" s="312"/>
      <c r="M792" s="312"/>
      <c r="N792" s="312"/>
      <c r="O792" s="312"/>
      <c r="P792" s="322" t="str">
        <f t="shared" si="38"/>
        <v/>
      </c>
      <c r="Q792" s="208" t="str">
        <f t="shared" si="36"/>
        <v/>
      </c>
      <c r="R792" s="208"/>
      <c r="S792" s="323" t="str">
        <f t="shared" si="37"/>
        <v/>
      </c>
      <c r="U792" s="322"/>
      <c r="V792" s="791"/>
      <c r="W792" s="792"/>
      <c r="X792" s="480"/>
      <c r="Y792" s="480"/>
      <c r="Z792" s="480"/>
      <c r="AA792" s="323"/>
      <c r="AB792" s="220"/>
      <c r="AC792" s="322"/>
      <c r="AD792" s="323"/>
      <c r="AE792" s="220"/>
      <c r="AF792" s="324"/>
      <c r="AG792" s="208"/>
      <c r="AH792" s="208"/>
      <c r="AI792" s="208"/>
      <c r="AJ792" s="208"/>
      <c r="AK792" s="208"/>
      <c r="AL792" s="208"/>
      <c r="AM792" s="208"/>
      <c r="AN792" s="208"/>
      <c r="AO792" s="208"/>
      <c r="AP792" s="208"/>
      <c r="AQ792" s="208"/>
      <c r="AR792" s="208"/>
      <c r="AS792" s="208"/>
      <c r="AT792" s="208"/>
      <c r="AU792" s="208"/>
      <c r="AV792" s="208"/>
      <c r="AW792" s="208"/>
      <c r="AX792" s="208"/>
      <c r="AY792" s="208"/>
      <c r="AZ792" s="208"/>
      <c r="BA792" s="208"/>
      <c r="BB792" s="208"/>
      <c r="BC792" s="208"/>
      <c r="BD792" s="208"/>
      <c r="BE792" s="208"/>
      <c r="BF792" s="208"/>
      <c r="BG792" s="208"/>
      <c r="BH792" s="208"/>
      <c r="BI792" s="323"/>
    </row>
    <row r="793" spans="3:61" ht="15" customHeight="1">
      <c r="C793" s="325"/>
      <c r="D793" s="326"/>
      <c r="E793" s="311"/>
      <c r="F793" s="311"/>
      <c r="G793" s="311"/>
      <c r="H793" s="311"/>
      <c r="I793" s="311"/>
      <c r="J793" s="317"/>
      <c r="K793" s="312"/>
      <c r="L793" s="312"/>
      <c r="M793" s="312"/>
      <c r="N793" s="312"/>
      <c r="O793" s="312"/>
      <c r="P793" s="318" t="str">
        <f t="shared" si="38"/>
        <v/>
      </c>
      <c r="Q793" s="205" t="str">
        <f t="shared" si="36"/>
        <v/>
      </c>
      <c r="R793" s="205"/>
      <c r="S793" s="319" t="str">
        <f t="shared" si="37"/>
        <v/>
      </c>
      <c r="U793" s="318"/>
      <c r="V793" s="794"/>
      <c r="W793" s="795"/>
      <c r="X793" s="482"/>
      <c r="Y793" s="482"/>
      <c r="Z793" s="482"/>
      <c r="AA793" s="319"/>
      <c r="AB793" s="220"/>
      <c r="AC793" s="318"/>
      <c r="AD793" s="319"/>
      <c r="AE793" s="220"/>
      <c r="AF793" s="320"/>
      <c r="AG793" s="205"/>
      <c r="AH793" s="205"/>
      <c r="AI793" s="205"/>
      <c r="AJ793" s="205"/>
      <c r="AK793" s="205"/>
      <c r="AL793" s="205"/>
      <c r="AM793" s="205"/>
      <c r="AN793" s="205"/>
      <c r="AO793" s="205"/>
      <c r="AP793" s="205"/>
      <c r="AQ793" s="205"/>
      <c r="AR793" s="205"/>
      <c r="AS793" s="205"/>
      <c r="AT793" s="205"/>
      <c r="AU793" s="205"/>
      <c r="AV793" s="205"/>
      <c r="AW793" s="205"/>
      <c r="AX793" s="205"/>
      <c r="AY793" s="205"/>
      <c r="AZ793" s="205"/>
      <c r="BA793" s="205"/>
      <c r="BB793" s="205"/>
      <c r="BC793" s="205"/>
      <c r="BD793" s="205"/>
      <c r="BE793" s="205"/>
      <c r="BF793" s="205"/>
      <c r="BG793" s="205"/>
      <c r="BH793" s="205"/>
      <c r="BI793" s="319"/>
    </row>
    <row r="794" spans="3:61" ht="15" customHeight="1">
      <c r="C794" s="325"/>
      <c r="D794" s="326"/>
      <c r="E794" s="311"/>
      <c r="F794" s="311"/>
      <c r="G794" s="311"/>
      <c r="H794" s="311"/>
      <c r="I794" s="311"/>
      <c r="J794" s="317"/>
      <c r="K794" s="312"/>
      <c r="L794" s="312"/>
      <c r="M794" s="312"/>
      <c r="N794" s="312"/>
      <c r="O794" s="312"/>
      <c r="P794" s="322" t="str">
        <f t="shared" si="38"/>
        <v/>
      </c>
      <c r="Q794" s="208" t="str">
        <f t="shared" si="36"/>
        <v/>
      </c>
      <c r="R794" s="208"/>
      <c r="S794" s="323" t="str">
        <f t="shared" si="37"/>
        <v/>
      </c>
      <c r="U794" s="322"/>
      <c r="V794" s="791"/>
      <c r="W794" s="792"/>
      <c r="X794" s="480"/>
      <c r="Y794" s="480"/>
      <c r="Z794" s="480"/>
      <c r="AA794" s="323"/>
      <c r="AB794" s="220"/>
      <c r="AC794" s="322"/>
      <c r="AD794" s="323"/>
      <c r="AE794" s="220"/>
      <c r="AF794" s="324"/>
      <c r="AG794" s="208"/>
      <c r="AH794" s="208"/>
      <c r="AI794" s="208"/>
      <c r="AJ794" s="208"/>
      <c r="AK794" s="208"/>
      <c r="AL794" s="208"/>
      <c r="AM794" s="208"/>
      <c r="AN794" s="208"/>
      <c r="AO794" s="208"/>
      <c r="AP794" s="208"/>
      <c r="AQ794" s="208"/>
      <c r="AR794" s="208"/>
      <c r="AS794" s="208"/>
      <c r="AT794" s="208"/>
      <c r="AU794" s="208"/>
      <c r="AV794" s="208"/>
      <c r="AW794" s="208"/>
      <c r="AX794" s="208"/>
      <c r="AY794" s="208"/>
      <c r="AZ794" s="208"/>
      <c r="BA794" s="208"/>
      <c r="BB794" s="208"/>
      <c r="BC794" s="208"/>
      <c r="BD794" s="208"/>
      <c r="BE794" s="208"/>
      <c r="BF794" s="208"/>
      <c r="BG794" s="208"/>
      <c r="BH794" s="208"/>
      <c r="BI794" s="323"/>
    </row>
    <row r="795" spans="3:61" ht="15" customHeight="1">
      <c r="C795" s="325"/>
      <c r="D795" s="326"/>
      <c r="E795" s="311"/>
      <c r="F795" s="311"/>
      <c r="G795" s="311"/>
      <c r="H795" s="311"/>
      <c r="I795" s="311"/>
      <c r="J795" s="317"/>
      <c r="K795" s="312"/>
      <c r="L795" s="312"/>
      <c r="M795" s="312"/>
      <c r="N795" s="312"/>
      <c r="O795" s="312"/>
      <c r="P795" s="318" t="str">
        <f t="shared" si="38"/>
        <v/>
      </c>
      <c r="Q795" s="205" t="str">
        <f t="shared" si="36"/>
        <v/>
      </c>
      <c r="R795" s="205"/>
      <c r="S795" s="319" t="str">
        <f t="shared" si="37"/>
        <v/>
      </c>
      <c r="U795" s="318"/>
      <c r="V795" s="794"/>
      <c r="W795" s="795"/>
      <c r="X795" s="482"/>
      <c r="Y795" s="482"/>
      <c r="Z795" s="482"/>
      <c r="AA795" s="319"/>
      <c r="AB795" s="220"/>
      <c r="AC795" s="318"/>
      <c r="AD795" s="319"/>
      <c r="AE795" s="220"/>
      <c r="AF795" s="320"/>
      <c r="AG795" s="205"/>
      <c r="AH795" s="205"/>
      <c r="AI795" s="205"/>
      <c r="AJ795" s="205"/>
      <c r="AK795" s="205"/>
      <c r="AL795" s="205"/>
      <c r="AM795" s="205"/>
      <c r="AN795" s="205"/>
      <c r="AO795" s="205"/>
      <c r="AP795" s="205"/>
      <c r="AQ795" s="205"/>
      <c r="AR795" s="205"/>
      <c r="AS795" s="205"/>
      <c r="AT795" s="205"/>
      <c r="AU795" s="205"/>
      <c r="AV795" s="205"/>
      <c r="AW795" s="205"/>
      <c r="AX795" s="205"/>
      <c r="AY795" s="205"/>
      <c r="AZ795" s="205"/>
      <c r="BA795" s="205"/>
      <c r="BB795" s="205"/>
      <c r="BC795" s="205"/>
      <c r="BD795" s="205"/>
      <c r="BE795" s="205"/>
      <c r="BF795" s="205"/>
      <c r="BG795" s="205"/>
      <c r="BH795" s="205"/>
      <c r="BI795" s="319"/>
    </row>
    <row r="796" spans="3:61" ht="15" customHeight="1">
      <c r="C796" s="325"/>
      <c r="D796" s="326"/>
      <c r="E796" s="311"/>
      <c r="F796" s="311"/>
      <c r="G796" s="311"/>
      <c r="H796" s="311"/>
      <c r="I796" s="311"/>
      <c r="J796" s="317"/>
      <c r="K796" s="312"/>
      <c r="L796" s="312"/>
      <c r="M796" s="312"/>
      <c r="N796" s="312"/>
      <c r="O796" s="312"/>
      <c r="P796" s="322" t="str">
        <f t="shared" si="38"/>
        <v/>
      </c>
      <c r="Q796" s="208" t="str">
        <f t="shared" si="36"/>
        <v/>
      </c>
      <c r="R796" s="208"/>
      <c r="S796" s="323" t="str">
        <f t="shared" si="37"/>
        <v/>
      </c>
      <c r="U796" s="322"/>
      <c r="V796" s="791"/>
      <c r="W796" s="792"/>
      <c r="X796" s="480"/>
      <c r="Y796" s="480"/>
      <c r="Z796" s="480"/>
      <c r="AA796" s="323"/>
      <c r="AB796" s="220"/>
      <c r="AC796" s="322"/>
      <c r="AD796" s="323"/>
      <c r="AE796" s="220"/>
      <c r="AF796" s="324"/>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323"/>
    </row>
    <row r="797" spans="3:61" ht="15" customHeight="1">
      <c r="C797" s="325"/>
      <c r="D797" s="326"/>
      <c r="E797" s="311"/>
      <c r="F797" s="311"/>
      <c r="G797" s="311"/>
      <c r="H797" s="311"/>
      <c r="I797" s="311"/>
      <c r="J797" s="317"/>
      <c r="K797" s="312"/>
      <c r="L797" s="312"/>
      <c r="M797" s="312"/>
      <c r="N797" s="312"/>
      <c r="O797" s="312"/>
      <c r="P797" s="318" t="str">
        <f t="shared" si="38"/>
        <v/>
      </c>
      <c r="Q797" s="205" t="str">
        <f t="shared" si="36"/>
        <v/>
      </c>
      <c r="R797" s="205"/>
      <c r="S797" s="319" t="str">
        <f t="shared" si="37"/>
        <v/>
      </c>
      <c r="U797" s="318"/>
      <c r="V797" s="794"/>
      <c r="W797" s="795"/>
      <c r="X797" s="482"/>
      <c r="Y797" s="482"/>
      <c r="Z797" s="482"/>
      <c r="AA797" s="319"/>
      <c r="AB797" s="220"/>
      <c r="AC797" s="318"/>
      <c r="AD797" s="319"/>
      <c r="AE797" s="220"/>
      <c r="AF797" s="320"/>
      <c r="AG797" s="205"/>
      <c r="AH797" s="205"/>
      <c r="AI797" s="205"/>
      <c r="AJ797" s="205"/>
      <c r="AK797" s="205"/>
      <c r="AL797" s="205"/>
      <c r="AM797" s="205"/>
      <c r="AN797" s="205"/>
      <c r="AO797" s="205"/>
      <c r="AP797" s="205"/>
      <c r="AQ797" s="205"/>
      <c r="AR797" s="205"/>
      <c r="AS797" s="205"/>
      <c r="AT797" s="205"/>
      <c r="AU797" s="205"/>
      <c r="AV797" s="205"/>
      <c r="AW797" s="205"/>
      <c r="AX797" s="205"/>
      <c r="AY797" s="205"/>
      <c r="AZ797" s="205"/>
      <c r="BA797" s="205"/>
      <c r="BB797" s="205"/>
      <c r="BC797" s="205"/>
      <c r="BD797" s="205"/>
      <c r="BE797" s="205"/>
      <c r="BF797" s="205"/>
      <c r="BG797" s="205"/>
      <c r="BH797" s="205"/>
      <c r="BI797" s="319"/>
    </row>
    <row r="798" spans="3:61" ht="15" customHeight="1">
      <c r="C798" s="325"/>
      <c r="D798" s="326"/>
      <c r="E798" s="311"/>
      <c r="F798" s="311"/>
      <c r="G798" s="311"/>
      <c r="H798" s="311"/>
      <c r="I798" s="311"/>
      <c r="J798" s="317"/>
      <c r="K798" s="312"/>
      <c r="L798" s="312"/>
      <c r="M798" s="312"/>
      <c r="N798" s="312"/>
      <c r="O798" s="312"/>
      <c r="P798" s="322" t="str">
        <f t="shared" si="38"/>
        <v/>
      </c>
      <c r="Q798" s="208" t="str">
        <f t="shared" si="36"/>
        <v/>
      </c>
      <c r="R798" s="208"/>
      <c r="S798" s="323" t="str">
        <f t="shared" si="37"/>
        <v/>
      </c>
      <c r="U798" s="322"/>
      <c r="V798" s="791"/>
      <c r="W798" s="792"/>
      <c r="X798" s="480"/>
      <c r="Y798" s="480"/>
      <c r="Z798" s="480"/>
      <c r="AA798" s="323"/>
      <c r="AB798" s="220"/>
      <c r="AC798" s="322"/>
      <c r="AD798" s="323"/>
      <c r="AE798" s="220"/>
      <c r="AF798" s="324"/>
      <c r="AG798" s="208"/>
      <c r="AH798" s="208"/>
      <c r="AI798" s="208"/>
      <c r="AJ798" s="208"/>
      <c r="AK798" s="208"/>
      <c r="AL798" s="208"/>
      <c r="AM798" s="208"/>
      <c r="AN798" s="208"/>
      <c r="AO798" s="208"/>
      <c r="AP798" s="208"/>
      <c r="AQ798" s="208"/>
      <c r="AR798" s="208"/>
      <c r="AS798" s="208"/>
      <c r="AT798" s="208"/>
      <c r="AU798" s="208"/>
      <c r="AV798" s="208"/>
      <c r="AW798" s="208"/>
      <c r="AX798" s="208"/>
      <c r="AY798" s="208"/>
      <c r="AZ798" s="208"/>
      <c r="BA798" s="208"/>
      <c r="BB798" s="208"/>
      <c r="BC798" s="208"/>
      <c r="BD798" s="208"/>
      <c r="BE798" s="208"/>
      <c r="BF798" s="208"/>
      <c r="BG798" s="208"/>
      <c r="BH798" s="208"/>
      <c r="BI798" s="323"/>
    </row>
    <row r="799" spans="3:61" ht="15" customHeight="1">
      <c r="C799" s="325"/>
      <c r="D799" s="326"/>
      <c r="E799" s="311"/>
      <c r="F799" s="311"/>
      <c r="G799" s="311"/>
      <c r="H799" s="311"/>
      <c r="I799" s="311"/>
      <c r="J799" s="317"/>
      <c r="K799" s="312"/>
      <c r="L799" s="312"/>
      <c r="M799" s="312"/>
      <c r="N799" s="312"/>
      <c r="O799" s="312"/>
      <c r="P799" s="318" t="str">
        <f t="shared" si="38"/>
        <v/>
      </c>
      <c r="Q799" s="205" t="str">
        <f t="shared" si="36"/>
        <v/>
      </c>
      <c r="R799" s="205"/>
      <c r="S799" s="319" t="str">
        <f t="shared" si="37"/>
        <v/>
      </c>
      <c r="U799" s="318"/>
      <c r="V799" s="794"/>
      <c r="W799" s="795"/>
      <c r="X799" s="482"/>
      <c r="Y799" s="482"/>
      <c r="Z799" s="482"/>
      <c r="AA799" s="319"/>
      <c r="AB799" s="220"/>
      <c r="AC799" s="318"/>
      <c r="AD799" s="319"/>
      <c r="AE799" s="220"/>
      <c r="AF799" s="320"/>
      <c r="AG799" s="205"/>
      <c r="AH799" s="205"/>
      <c r="AI799" s="205"/>
      <c r="AJ799" s="205"/>
      <c r="AK799" s="205"/>
      <c r="AL799" s="205"/>
      <c r="AM799" s="205"/>
      <c r="AN799" s="205"/>
      <c r="AO799" s="205"/>
      <c r="AP799" s="205"/>
      <c r="AQ799" s="205"/>
      <c r="AR799" s="205"/>
      <c r="AS799" s="205"/>
      <c r="AT799" s="205"/>
      <c r="AU799" s="205"/>
      <c r="AV799" s="205"/>
      <c r="AW799" s="205"/>
      <c r="AX799" s="205"/>
      <c r="AY799" s="205"/>
      <c r="AZ799" s="205"/>
      <c r="BA799" s="205"/>
      <c r="BB799" s="205"/>
      <c r="BC799" s="205"/>
      <c r="BD799" s="205"/>
      <c r="BE799" s="205"/>
      <c r="BF799" s="205"/>
      <c r="BG799" s="205"/>
      <c r="BH799" s="205"/>
      <c r="BI799" s="319"/>
    </row>
    <row r="800" spans="3:61" ht="15" customHeight="1">
      <c r="C800" s="325"/>
      <c r="D800" s="326"/>
      <c r="E800" s="311"/>
      <c r="F800" s="311"/>
      <c r="G800" s="311"/>
      <c r="H800" s="311"/>
      <c r="I800" s="311"/>
      <c r="J800" s="317"/>
      <c r="K800" s="312"/>
      <c r="L800" s="312"/>
      <c r="M800" s="312"/>
      <c r="N800" s="312"/>
      <c r="O800" s="312"/>
      <c r="P800" s="322" t="str">
        <f t="shared" si="38"/>
        <v/>
      </c>
      <c r="Q800" s="208" t="str">
        <f t="shared" si="36"/>
        <v/>
      </c>
      <c r="R800" s="208"/>
      <c r="S800" s="323" t="str">
        <f t="shared" si="37"/>
        <v/>
      </c>
      <c r="U800" s="322"/>
      <c r="V800" s="791"/>
      <c r="W800" s="792"/>
      <c r="X800" s="480"/>
      <c r="Y800" s="480"/>
      <c r="Z800" s="480"/>
      <c r="AA800" s="323"/>
      <c r="AB800" s="220"/>
      <c r="AC800" s="322"/>
      <c r="AD800" s="323"/>
      <c r="AE800" s="220"/>
      <c r="AF800" s="324"/>
      <c r="AG800" s="208"/>
      <c r="AH800" s="208"/>
      <c r="AI800" s="208"/>
      <c r="AJ800" s="208"/>
      <c r="AK800" s="208"/>
      <c r="AL800" s="208"/>
      <c r="AM800" s="208"/>
      <c r="AN800" s="208"/>
      <c r="AO800" s="208"/>
      <c r="AP800" s="208"/>
      <c r="AQ800" s="208"/>
      <c r="AR800" s="208"/>
      <c r="AS800" s="208"/>
      <c r="AT800" s="208"/>
      <c r="AU800" s="208"/>
      <c r="AV800" s="208"/>
      <c r="AW800" s="208"/>
      <c r="AX800" s="208"/>
      <c r="AY800" s="208"/>
      <c r="AZ800" s="208"/>
      <c r="BA800" s="208"/>
      <c r="BB800" s="208"/>
      <c r="BC800" s="208"/>
      <c r="BD800" s="208"/>
      <c r="BE800" s="208"/>
      <c r="BF800" s="208"/>
      <c r="BG800" s="208"/>
      <c r="BH800" s="208"/>
      <c r="BI800" s="323"/>
    </row>
    <row r="801" spans="3:61" ht="15" customHeight="1">
      <c r="C801" s="325"/>
      <c r="D801" s="326"/>
      <c r="E801" s="311"/>
      <c r="F801" s="311"/>
      <c r="G801" s="311"/>
      <c r="H801" s="311"/>
      <c r="I801" s="311"/>
      <c r="J801" s="317"/>
      <c r="K801" s="312"/>
      <c r="L801" s="312"/>
      <c r="M801" s="312"/>
      <c r="N801" s="312"/>
      <c r="O801" s="312"/>
      <c r="P801" s="318" t="str">
        <f t="shared" si="38"/>
        <v/>
      </c>
      <c r="Q801" s="205" t="str">
        <f t="shared" si="36"/>
        <v/>
      </c>
      <c r="R801" s="205"/>
      <c r="S801" s="319" t="str">
        <f t="shared" si="37"/>
        <v/>
      </c>
      <c r="U801" s="318"/>
      <c r="V801" s="794"/>
      <c r="W801" s="795"/>
      <c r="X801" s="482"/>
      <c r="Y801" s="482"/>
      <c r="Z801" s="482"/>
      <c r="AA801" s="319"/>
      <c r="AB801" s="220"/>
      <c r="AC801" s="318"/>
      <c r="AD801" s="319"/>
      <c r="AE801" s="220"/>
      <c r="AF801" s="320"/>
      <c r="AG801" s="205"/>
      <c r="AH801" s="205"/>
      <c r="AI801" s="205"/>
      <c r="AJ801" s="205"/>
      <c r="AK801" s="205"/>
      <c r="AL801" s="205"/>
      <c r="AM801" s="205"/>
      <c r="AN801" s="205"/>
      <c r="AO801" s="205"/>
      <c r="AP801" s="205"/>
      <c r="AQ801" s="205"/>
      <c r="AR801" s="205"/>
      <c r="AS801" s="205"/>
      <c r="AT801" s="205"/>
      <c r="AU801" s="205"/>
      <c r="AV801" s="205"/>
      <c r="AW801" s="205"/>
      <c r="AX801" s="205"/>
      <c r="AY801" s="205"/>
      <c r="AZ801" s="205"/>
      <c r="BA801" s="205"/>
      <c r="BB801" s="205"/>
      <c r="BC801" s="205"/>
      <c r="BD801" s="205"/>
      <c r="BE801" s="205"/>
      <c r="BF801" s="205"/>
      <c r="BG801" s="205"/>
      <c r="BH801" s="205"/>
      <c r="BI801" s="319"/>
    </row>
    <row r="802" spans="3:61" ht="15" customHeight="1">
      <c r="C802" s="325"/>
      <c r="D802" s="326"/>
      <c r="E802" s="311"/>
      <c r="F802" s="311"/>
      <c r="G802" s="311"/>
      <c r="H802" s="311"/>
      <c r="I802" s="311"/>
      <c r="J802" s="317"/>
      <c r="K802" s="312"/>
      <c r="L802" s="312"/>
      <c r="M802" s="312"/>
      <c r="N802" s="312"/>
      <c r="O802" s="312"/>
      <c r="P802" s="322" t="str">
        <f t="shared" si="38"/>
        <v/>
      </c>
      <c r="Q802" s="208" t="str">
        <f t="shared" si="36"/>
        <v/>
      </c>
      <c r="R802" s="208"/>
      <c r="S802" s="323" t="str">
        <f t="shared" si="37"/>
        <v/>
      </c>
      <c r="U802" s="322"/>
      <c r="V802" s="791"/>
      <c r="W802" s="792"/>
      <c r="X802" s="480"/>
      <c r="Y802" s="480"/>
      <c r="Z802" s="480"/>
      <c r="AA802" s="323"/>
      <c r="AB802" s="220"/>
      <c r="AC802" s="322"/>
      <c r="AD802" s="323"/>
      <c r="AE802" s="220"/>
      <c r="AF802" s="324"/>
      <c r="AG802" s="208"/>
      <c r="AH802" s="208"/>
      <c r="AI802" s="208"/>
      <c r="AJ802" s="208"/>
      <c r="AK802" s="208"/>
      <c r="AL802" s="208"/>
      <c r="AM802" s="208"/>
      <c r="AN802" s="208"/>
      <c r="AO802" s="208"/>
      <c r="AP802" s="208"/>
      <c r="AQ802" s="208"/>
      <c r="AR802" s="208"/>
      <c r="AS802" s="208"/>
      <c r="AT802" s="208"/>
      <c r="AU802" s="208"/>
      <c r="AV802" s="208"/>
      <c r="AW802" s="208"/>
      <c r="AX802" s="208"/>
      <c r="AY802" s="208"/>
      <c r="AZ802" s="208"/>
      <c r="BA802" s="208"/>
      <c r="BB802" s="208"/>
      <c r="BC802" s="208"/>
      <c r="BD802" s="208"/>
      <c r="BE802" s="208"/>
      <c r="BF802" s="208"/>
      <c r="BG802" s="208"/>
      <c r="BH802" s="208"/>
      <c r="BI802" s="323"/>
    </row>
    <row r="803" spans="3:61" ht="15" customHeight="1">
      <c r="C803" s="325"/>
      <c r="D803" s="326"/>
      <c r="E803" s="311"/>
      <c r="F803" s="311"/>
      <c r="G803" s="311"/>
      <c r="H803" s="311"/>
      <c r="I803" s="311"/>
      <c r="J803" s="317"/>
      <c r="K803" s="312"/>
      <c r="L803" s="312"/>
      <c r="M803" s="312"/>
      <c r="N803" s="312"/>
      <c r="O803" s="312"/>
      <c r="P803" s="318" t="str">
        <f t="shared" si="38"/>
        <v/>
      </c>
      <c r="Q803" s="205" t="str">
        <f t="shared" si="36"/>
        <v/>
      </c>
      <c r="R803" s="205"/>
      <c r="S803" s="319" t="str">
        <f t="shared" si="37"/>
        <v/>
      </c>
      <c r="U803" s="318"/>
      <c r="V803" s="794"/>
      <c r="W803" s="795"/>
      <c r="X803" s="482"/>
      <c r="Y803" s="482"/>
      <c r="Z803" s="482"/>
      <c r="AA803" s="319"/>
      <c r="AB803" s="220"/>
      <c r="AC803" s="318"/>
      <c r="AD803" s="319"/>
      <c r="AE803" s="220"/>
      <c r="AF803" s="320"/>
      <c r="AG803" s="205"/>
      <c r="AH803" s="205"/>
      <c r="AI803" s="205"/>
      <c r="AJ803" s="205"/>
      <c r="AK803" s="205"/>
      <c r="AL803" s="205"/>
      <c r="AM803" s="205"/>
      <c r="AN803" s="205"/>
      <c r="AO803" s="205"/>
      <c r="AP803" s="205"/>
      <c r="AQ803" s="205"/>
      <c r="AR803" s="205"/>
      <c r="AS803" s="205"/>
      <c r="AT803" s="205"/>
      <c r="AU803" s="205"/>
      <c r="AV803" s="205"/>
      <c r="AW803" s="205"/>
      <c r="AX803" s="205"/>
      <c r="AY803" s="205"/>
      <c r="AZ803" s="205"/>
      <c r="BA803" s="205"/>
      <c r="BB803" s="205"/>
      <c r="BC803" s="205"/>
      <c r="BD803" s="205"/>
      <c r="BE803" s="205"/>
      <c r="BF803" s="205"/>
      <c r="BG803" s="205"/>
      <c r="BH803" s="205"/>
      <c r="BI803" s="319"/>
    </row>
    <row r="804" spans="3:61" ht="15" customHeight="1">
      <c r="C804" s="325"/>
      <c r="D804" s="326"/>
      <c r="E804" s="311"/>
      <c r="F804" s="311"/>
      <c r="G804" s="311"/>
      <c r="H804" s="311"/>
      <c r="I804" s="311"/>
      <c r="J804" s="317"/>
      <c r="K804" s="312"/>
      <c r="L804" s="312"/>
      <c r="M804" s="312"/>
      <c r="N804" s="312"/>
      <c r="O804" s="312"/>
      <c r="P804" s="322" t="str">
        <f t="shared" si="38"/>
        <v/>
      </c>
      <c r="Q804" s="208" t="str">
        <f t="shared" si="36"/>
        <v/>
      </c>
      <c r="R804" s="208"/>
      <c r="S804" s="323" t="str">
        <f t="shared" si="37"/>
        <v/>
      </c>
      <c r="U804" s="322"/>
      <c r="V804" s="791"/>
      <c r="W804" s="792"/>
      <c r="X804" s="480"/>
      <c r="Y804" s="480"/>
      <c r="Z804" s="480"/>
      <c r="AA804" s="323"/>
      <c r="AB804" s="220"/>
      <c r="AC804" s="322"/>
      <c r="AD804" s="323"/>
      <c r="AE804" s="220"/>
      <c r="AF804" s="324"/>
      <c r="AG804" s="208"/>
      <c r="AH804" s="208"/>
      <c r="AI804" s="208"/>
      <c r="AJ804" s="208"/>
      <c r="AK804" s="208"/>
      <c r="AL804" s="208"/>
      <c r="AM804" s="208"/>
      <c r="AN804" s="208"/>
      <c r="AO804" s="208"/>
      <c r="AP804" s="208"/>
      <c r="AQ804" s="208"/>
      <c r="AR804" s="208"/>
      <c r="AS804" s="208"/>
      <c r="AT804" s="208"/>
      <c r="AU804" s="208"/>
      <c r="AV804" s="208"/>
      <c r="AW804" s="208"/>
      <c r="AX804" s="208"/>
      <c r="AY804" s="208"/>
      <c r="AZ804" s="208"/>
      <c r="BA804" s="208"/>
      <c r="BB804" s="208"/>
      <c r="BC804" s="208"/>
      <c r="BD804" s="208"/>
      <c r="BE804" s="208"/>
      <c r="BF804" s="208"/>
      <c r="BG804" s="208"/>
      <c r="BH804" s="208"/>
      <c r="BI804" s="323"/>
    </row>
    <row r="805" spans="3:61" ht="15" customHeight="1">
      <c r="C805" s="325"/>
      <c r="D805" s="326"/>
      <c r="E805" s="311"/>
      <c r="F805" s="311"/>
      <c r="G805" s="311"/>
      <c r="H805" s="311"/>
      <c r="I805" s="311"/>
      <c r="J805" s="317"/>
      <c r="K805" s="312"/>
      <c r="L805" s="312"/>
      <c r="M805" s="312"/>
      <c r="N805" s="312"/>
      <c r="O805" s="312"/>
      <c r="P805" s="318" t="str">
        <f t="shared" si="38"/>
        <v/>
      </c>
      <c r="Q805" s="205" t="str">
        <f t="shared" si="36"/>
        <v/>
      </c>
      <c r="R805" s="205"/>
      <c r="S805" s="319" t="str">
        <f t="shared" si="37"/>
        <v/>
      </c>
      <c r="U805" s="318"/>
      <c r="V805" s="794"/>
      <c r="W805" s="795"/>
      <c r="X805" s="482"/>
      <c r="Y805" s="482"/>
      <c r="Z805" s="482"/>
      <c r="AA805" s="319"/>
      <c r="AB805" s="220"/>
      <c r="AC805" s="318"/>
      <c r="AD805" s="319"/>
      <c r="AE805" s="220"/>
      <c r="AF805" s="320"/>
      <c r="AG805" s="205"/>
      <c r="AH805" s="205"/>
      <c r="AI805" s="205"/>
      <c r="AJ805" s="205"/>
      <c r="AK805" s="205"/>
      <c r="AL805" s="205"/>
      <c r="AM805" s="205"/>
      <c r="AN805" s="205"/>
      <c r="AO805" s="205"/>
      <c r="AP805" s="205"/>
      <c r="AQ805" s="205"/>
      <c r="AR805" s="205"/>
      <c r="AS805" s="205"/>
      <c r="AT805" s="205"/>
      <c r="AU805" s="205"/>
      <c r="AV805" s="205"/>
      <c r="AW805" s="205"/>
      <c r="AX805" s="205"/>
      <c r="AY805" s="205"/>
      <c r="AZ805" s="205"/>
      <c r="BA805" s="205"/>
      <c r="BB805" s="205"/>
      <c r="BC805" s="205"/>
      <c r="BD805" s="205"/>
      <c r="BE805" s="205"/>
      <c r="BF805" s="205"/>
      <c r="BG805" s="205"/>
      <c r="BH805" s="205"/>
      <c r="BI805" s="319"/>
    </row>
    <row r="806" spans="3:61" ht="15" customHeight="1">
      <c r="C806" s="325"/>
      <c r="D806" s="326"/>
      <c r="E806" s="311"/>
      <c r="F806" s="311"/>
      <c r="G806" s="311"/>
      <c r="H806" s="311"/>
      <c r="I806" s="311"/>
      <c r="J806" s="317"/>
      <c r="K806" s="312"/>
      <c r="L806" s="312"/>
      <c r="M806" s="312"/>
      <c r="N806" s="312"/>
      <c r="O806" s="312"/>
      <c r="P806" s="322" t="str">
        <f t="shared" si="38"/>
        <v/>
      </c>
      <c r="Q806" s="208" t="str">
        <f t="shared" si="36"/>
        <v/>
      </c>
      <c r="R806" s="208"/>
      <c r="S806" s="323" t="str">
        <f t="shared" si="37"/>
        <v/>
      </c>
      <c r="U806" s="322"/>
      <c r="V806" s="791"/>
      <c r="W806" s="792"/>
      <c r="X806" s="480"/>
      <c r="Y806" s="480"/>
      <c r="Z806" s="480"/>
      <c r="AA806" s="323"/>
      <c r="AB806" s="220"/>
      <c r="AC806" s="322"/>
      <c r="AD806" s="323"/>
      <c r="AE806" s="220"/>
      <c r="AF806" s="324"/>
      <c r="AG806" s="208"/>
      <c r="AH806" s="208"/>
      <c r="AI806" s="208"/>
      <c r="AJ806" s="208"/>
      <c r="AK806" s="208"/>
      <c r="AL806" s="208"/>
      <c r="AM806" s="208"/>
      <c r="AN806" s="208"/>
      <c r="AO806" s="208"/>
      <c r="AP806" s="208"/>
      <c r="AQ806" s="208"/>
      <c r="AR806" s="208"/>
      <c r="AS806" s="208"/>
      <c r="AT806" s="208"/>
      <c r="AU806" s="208"/>
      <c r="AV806" s="208"/>
      <c r="AW806" s="208"/>
      <c r="AX806" s="208"/>
      <c r="AY806" s="208"/>
      <c r="AZ806" s="208"/>
      <c r="BA806" s="208"/>
      <c r="BB806" s="208"/>
      <c r="BC806" s="208"/>
      <c r="BD806" s="208"/>
      <c r="BE806" s="208"/>
      <c r="BF806" s="208"/>
      <c r="BG806" s="208"/>
      <c r="BH806" s="208"/>
      <c r="BI806" s="323"/>
    </row>
    <row r="807" spans="3:61" ht="15" customHeight="1">
      <c r="C807" s="325"/>
      <c r="D807" s="326"/>
      <c r="E807" s="311"/>
      <c r="F807" s="311"/>
      <c r="G807" s="311"/>
      <c r="H807" s="311"/>
      <c r="I807" s="311"/>
      <c r="J807" s="317"/>
      <c r="K807" s="312"/>
      <c r="L807" s="312"/>
      <c r="M807" s="312"/>
      <c r="N807" s="312"/>
      <c r="O807" s="312"/>
      <c r="P807" s="318" t="str">
        <f t="shared" si="38"/>
        <v/>
      </c>
      <c r="Q807" s="205" t="str">
        <f t="shared" si="36"/>
        <v/>
      </c>
      <c r="R807" s="205"/>
      <c r="S807" s="319" t="str">
        <f t="shared" si="37"/>
        <v/>
      </c>
      <c r="U807" s="318"/>
      <c r="V807" s="794"/>
      <c r="W807" s="795"/>
      <c r="X807" s="482"/>
      <c r="Y807" s="482"/>
      <c r="Z807" s="482"/>
      <c r="AA807" s="319"/>
      <c r="AB807" s="220"/>
      <c r="AC807" s="318"/>
      <c r="AD807" s="319"/>
      <c r="AE807" s="220"/>
      <c r="AF807" s="320"/>
      <c r="AG807" s="205"/>
      <c r="AH807" s="205"/>
      <c r="AI807" s="205"/>
      <c r="AJ807" s="205"/>
      <c r="AK807" s="205"/>
      <c r="AL807" s="205"/>
      <c r="AM807" s="205"/>
      <c r="AN807" s="205"/>
      <c r="AO807" s="205"/>
      <c r="AP807" s="205"/>
      <c r="AQ807" s="205"/>
      <c r="AR807" s="205"/>
      <c r="AS807" s="205"/>
      <c r="AT807" s="205"/>
      <c r="AU807" s="205"/>
      <c r="AV807" s="205"/>
      <c r="AW807" s="205"/>
      <c r="AX807" s="205"/>
      <c r="AY807" s="205"/>
      <c r="AZ807" s="205"/>
      <c r="BA807" s="205"/>
      <c r="BB807" s="205"/>
      <c r="BC807" s="205"/>
      <c r="BD807" s="205"/>
      <c r="BE807" s="205"/>
      <c r="BF807" s="205"/>
      <c r="BG807" s="205"/>
      <c r="BH807" s="205"/>
      <c r="BI807" s="319"/>
    </row>
    <row r="808" spans="3:61" ht="15" customHeight="1">
      <c r="C808" s="325"/>
      <c r="D808" s="326"/>
      <c r="E808" s="311"/>
      <c r="F808" s="311"/>
      <c r="G808" s="311"/>
      <c r="H808" s="311"/>
      <c r="I808" s="311"/>
      <c r="J808" s="317"/>
      <c r="K808" s="312"/>
      <c r="L808" s="312"/>
      <c r="M808" s="312"/>
      <c r="N808" s="312"/>
      <c r="O808" s="312"/>
      <c r="P808" s="322" t="str">
        <f t="shared" si="38"/>
        <v/>
      </c>
      <c r="Q808" s="208" t="str">
        <f t="shared" si="36"/>
        <v/>
      </c>
      <c r="R808" s="208"/>
      <c r="S808" s="323" t="str">
        <f t="shared" si="37"/>
        <v/>
      </c>
      <c r="U808" s="322"/>
      <c r="V808" s="791"/>
      <c r="W808" s="792"/>
      <c r="X808" s="480"/>
      <c r="Y808" s="480"/>
      <c r="Z808" s="480"/>
      <c r="AA808" s="323"/>
      <c r="AB808" s="220"/>
      <c r="AC808" s="322"/>
      <c r="AD808" s="323"/>
      <c r="AE808" s="220"/>
      <c r="AF808" s="324"/>
      <c r="AG808" s="208"/>
      <c r="AH808" s="208"/>
      <c r="AI808" s="208"/>
      <c r="AJ808" s="208"/>
      <c r="AK808" s="208"/>
      <c r="AL808" s="208"/>
      <c r="AM808" s="208"/>
      <c r="AN808" s="208"/>
      <c r="AO808" s="208"/>
      <c r="AP808" s="208"/>
      <c r="AQ808" s="208"/>
      <c r="AR808" s="208"/>
      <c r="AS808" s="208"/>
      <c r="AT808" s="208"/>
      <c r="AU808" s="208"/>
      <c r="AV808" s="208"/>
      <c r="AW808" s="208"/>
      <c r="AX808" s="208"/>
      <c r="AY808" s="208"/>
      <c r="AZ808" s="208"/>
      <c r="BA808" s="208"/>
      <c r="BB808" s="208"/>
      <c r="BC808" s="208"/>
      <c r="BD808" s="208"/>
      <c r="BE808" s="208"/>
      <c r="BF808" s="208"/>
      <c r="BG808" s="208"/>
      <c r="BH808" s="208"/>
      <c r="BI808" s="323"/>
    </row>
    <row r="809" spans="3:61" ht="15" customHeight="1">
      <c r="C809" s="325"/>
      <c r="D809" s="326"/>
      <c r="E809" s="311"/>
      <c r="F809" s="311"/>
      <c r="G809" s="311"/>
      <c r="H809" s="311"/>
      <c r="I809" s="311"/>
      <c r="J809" s="317"/>
      <c r="K809" s="312"/>
      <c r="L809" s="312"/>
      <c r="M809" s="312"/>
      <c r="N809" s="312"/>
      <c r="O809" s="312"/>
      <c r="P809" s="318" t="str">
        <f t="shared" si="38"/>
        <v/>
      </c>
      <c r="Q809" s="205" t="str">
        <f t="shared" si="36"/>
        <v/>
      </c>
      <c r="R809" s="205"/>
      <c r="S809" s="319" t="str">
        <f t="shared" si="37"/>
        <v/>
      </c>
      <c r="U809" s="318"/>
      <c r="V809" s="794"/>
      <c r="W809" s="795"/>
      <c r="X809" s="482"/>
      <c r="Y809" s="482"/>
      <c r="Z809" s="482"/>
      <c r="AA809" s="319"/>
      <c r="AB809" s="220"/>
      <c r="AC809" s="318"/>
      <c r="AD809" s="319"/>
      <c r="AE809" s="220"/>
      <c r="AF809" s="320"/>
      <c r="AG809" s="205"/>
      <c r="AH809" s="205"/>
      <c r="AI809" s="205"/>
      <c r="AJ809" s="205"/>
      <c r="AK809" s="205"/>
      <c r="AL809" s="205"/>
      <c r="AM809" s="205"/>
      <c r="AN809" s="205"/>
      <c r="AO809" s="205"/>
      <c r="AP809" s="205"/>
      <c r="AQ809" s="205"/>
      <c r="AR809" s="205"/>
      <c r="AS809" s="205"/>
      <c r="AT809" s="205"/>
      <c r="AU809" s="205"/>
      <c r="AV809" s="205"/>
      <c r="AW809" s="205"/>
      <c r="AX809" s="205"/>
      <c r="AY809" s="205"/>
      <c r="AZ809" s="205"/>
      <c r="BA809" s="205"/>
      <c r="BB809" s="205"/>
      <c r="BC809" s="205"/>
      <c r="BD809" s="205"/>
      <c r="BE809" s="205"/>
      <c r="BF809" s="205"/>
      <c r="BG809" s="205"/>
      <c r="BH809" s="205"/>
      <c r="BI809" s="319"/>
    </row>
    <row r="810" spans="3:61" ht="15" customHeight="1">
      <c r="C810" s="325"/>
      <c r="D810" s="326"/>
      <c r="E810" s="311"/>
      <c r="F810" s="311"/>
      <c r="G810" s="311"/>
      <c r="H810" s="311"/>
      <c r="I810" s="311"/>
      <c r="J810" s="317"/>
      <c r="K810" s="312"/>
      <c r="L810" s="312"/>
      <c r="M810" s="312"/>
      <c r="N810" s="312"/>
      <c r="O810" s="312"/>
      <c r="P810" s="322" t="str">
        <f t="shared" si="38"/>
        <v/>
      </c>
      <c r="Q810" s="208" t="str">
        <f t="shared" si="36"/>
        <v/>
      </c>
      <c r="R810" s="208"/>
      <c r="S810" s="323" t="str">
        <f t="shared" si="37"/>
        <v/>
      </c>
      <c r="U810" s="322"/>
      <c r="V810" s="791"/>
      <c r="W810" s="792"/>
      <c r="X810" s="480"/>
      <c r="Y810" s="480"/>
      <c r="Z810" s="480"/>
      <c r="AA810" s="323"/>
      <c r="AB810" s="220"/>
      <c r="AC810" s="322"/>
      <c r="AD810" s="323"/>
      <c r="AE810" s="220"/>
      <c r="AF810" s="324"/>
      <c r="AG810" s="208"/>
      <c r="AH810" s="208"/>
      <c r="AI810" s="208"/>
      <c r="AJ810" s="208"/>
      <c r="AK810" s="208"/>
      <c r="AL810" s="208"/>
      <c r="AM810" s="208"/>
      <c r="AN810" s="208"/>
      <c r="AO810" s="208"/>
      <c r="AP810" s="208"/>
      <c r="AQ810" s="208"/>
      <c r="AR810" s="208"/>
      <c r="AS810" s="208"/>
      <c r="AT810" s="208"/>
      <c r="AU810" s="208"/>
      <c r="AV810" s="208"/>
      <c r="AW810" s="208"/>
      <c r="AX810" s="208"/>
      <c r="AY810" s="208"/>
      <c r="AZ810" s="208"/>
      <c r="BA810" s="208"/>
      <c r="BB810" s="208"/>
      <c r="BC810" s="208"/>
      <c r="BD810" s="208"/>
      <c r="BE810" s="208"/>
      <c r="BF810" s="208"/>
      <c r="BG810" s="208"/>
      <c r="BH810" s="208"/>
      <c r="BI810" s="323"/>
    </row>
    <row r="811" spans="3:61" ht="15" customHeight="1">
      <c r="C811" s="325"/>
      <c r="D811" s="326"/>
      <c r="E811" s="311"/>
      <c r="F811" s="311"/>
      <c r="G811" s="311"/>
      <c r="H811" s="311"/>
      <c r="I811" s="311"/>
      <c r="J811" s="317"/>
      <c r="K811" s="312"/>
      <c r="L811" s="312"/>
      <c r="M811" s="312"/>
      <c r="N811" s="312"/>
      <c r="O811" s="312"/>
      <c r="P811" s="318" t="str">
        <f t="shared" si="38"/>
        <v/>
      </c>
      <c r="Q811" s="205" t="str">
        <f t="shared" si="36"/>
        <v/>
      </c>
      <c r="R811" s="205"/>
      <c r="S811" s="319" t="str">
        <f t="shared" si="37"/>
        <v/>
      </c>
      <c r="U811" s="318"/>
      <c r="V811" s="794"/>
      <c r="W811" s="795"/>
      <c r="X811" s="482"/>
      <c r="Y811" s="482"/>
      <c r="Z811" s="482"/>
      <c r="AA811" s="319"/>
      <c r="AB811" s="220"/>
      <c r="AC811" s="318"/>
      <c r="AD811" s="319"/>
      <c r="AE811" s="220"/>
      <c r="AF811" s="320"/>
      <c r="AG811" s="205"/>
      <c r="AH811" s="205"/>
      <c r="AI811" s="205"/>
      <c r="AJ811" s="205"/>
      <c r="AK811" s="205"/>
      <c r="AL811" s="205"/>
      <c r="AM811" s="205"/>
      <c r="AN811" s="205"/>
      <c r="AO811" s="205"/>
      <c r="AP811" s="205"/>
      <c r="AQ811" s="205"/>
      <c r="AR811" s="205"/>
      <c r="AS811" s="205"/>
      <c r="AT811" s="205"/>
      <c r="AU811" s="205"/>
      <c r="AV811" s="205"/>
      <c r="AW811" s="205"/>
      <c r="AX811" s="205"/>
      <c r="AY811" s="205"/>
      <c r="AZ811" s="205"/>
      <c r="BA811" s="205"/>
      <c r="BB811" s="205"/>
      <c r="BC811" s="205"/>
      <c r="BD811" s="205"/>
      <c r="BE811" s="205"/>
      <c r="BF811" s="205"/>
      <c r="BG811" s="205"/>
      <c r="BH811" s="205"/>
      <c r="BI811" s="319"/>
    </row>
    <row r="812" spans="3:61" ht="15" customHeight="1">
      <c r="C812" s="325"/>
      <c r="D812" s="326"/>
      <c r="E812" s="311"/>
      <c r="F812" s="311"/>
      <c r="G812" s="311"/>
      <c r="H812" s="311"/>
      <c r="I812" s="311"/>
      <c r="J812" s="317"/>
      <c r="K812" s="312"/>
      <c r="L812" s="312"/>
      <c r="M812" s="312"/>
      <c r="N812" s="312"/>
      <c r="O812" s="312"/>
      <c r="P812" s="322" t="str">
        <f t="shared" si="38"/>
        <v/>
      </c>
      <c r="Q812" s="208" t="str">
        <f t="shared" si="36"/>
        <v/>
      </c>
      <c r="R812" s="208"/>
      <c r="S812" s="323" t="str">
        <f t="shared" si="37"/>
        <v/>
      </c>
      <c r="U812" s="322"/>
      <c r="V812" s="791"/>
      <c r="W812" s="792"/>
      <c r="X812" s="480"/>
      <c r="Y812" s="480"/>
      <c r="Z812" s="480"/>
      <c r="AA812" s="323"/>
      <c r="AB812" s="220"/>
      <c r="AC812" s="322"/>
      <c r="AD812" s="323"/>
      <c r="AE812" s="220"/>
      <c r="AF812" s="324"/>
      <c r="AG812" s="208"/>
      <c r="AH812" s="208"/>
      <c r="AI812" s="208"/>
      <c r="AJ812" s="208"/>
      <c r="AK812" s="208"/>
      <c r="AL812" s="208"/>
      <c r="AM812" s="208"/>
      <c r="AN812" s="208"/>
      <c r="AO812" s="208"/>
      <c r="AP812" s="208"/>
      <c r="AQ812" s="208"/>
      <c r="AR812" s="208"/>
      <c r="AS812" s="208"/>
      <c r="AT812" s="208"/>
      <c r="AU812" s="208"/>
      <c r="AV812" s="208"/>
      <c r="AW812" s="208"/>
      <c r="AX812" s="208"/>
      <c r="AY812" s="208"/>
      <c r="AZ812" s="208"/>
      <c r="BA812" s="208"/>
      <c r="BB812" s="208"/>
      <c r="BC812" s="208"/>
      <c r="BD812" s="208"/>
      <c r="BE812" s="208"/>
      <c r="BF812" s="208"/>
      <c r="BG812" s="208"/>
      <c r="BH812" s="208"/>
      <c r="BI812" s="323"/>
    </row>
    <row r="813" spans="3:61" ht="15" customHeight="1">
      <c r="C813" s="325"/>
      <c r="D813" s="326"/>
      <c r="E813" s="311"/>
      <c r="F813" s="311"/>
      <c r="G813" s="311"/>
      <c r="H813" s="311"/>
      <c r="I813" s="311"/>
      <c r="J813" s="317"/>
      <c r="K813" s="312"/>
      <c r="L813" s="312"/>
      <c r="M813" s="312"/>
      <c r="N813" s="312"/>
      <c r="O813" s="312"/>
      <c r="P813" s="318" t="str">
        <f t="shared" si="38"/>
        <v/>
      </c>
      <c r="Q813" s="205" t="str">
        <f t="shared" si="36"/>
        <v/>
      </c>
      <c r="R813" s="205"/>
      <c r="S813" s="319" t="str">
        <f t="shared" si="37"/>
        <v/>
      </c>
      <c r="U813" s="318"/>
      <c r="V813" s="794"/>
      <c r="W813" s="795"/>
      <c r="X813" s="482"/>
      <c r="Y813" s="482"/>
      <c r="Z813" s="482"/>
      <c r="AA813" s="319"/>
      <c r="AB813" s="220"/>
      <c r="AC813" s="318"/>
      <c r="AD813" s="319"/>
      <c r="AE813" s="220"/>
      <c r="AF813" s="320"/>
      <c r="AG813" s="205"/>
      <c r="AH813" s="205"/>
      <c r="AI813" s="205"/>
      <c r="AJ813" s="205"/>
      <c r="AK813" s="205"/>
      <c r="AL813" s="205"/>
      <c r="AM813" s="205"/>
      <c r="AN813" s="205"/>
      <c r="AO813" s="205"/>
      <c r="AP813" s="205"/>
      <c r="AQ813" s="205"/>
      <c r="AR813" s="205"/>
      <c r="AS813" s="205"/>
      <c r="AT813" s="205"/>
      <c r="AU813" s="205"/>
      <c r="AV813" s="205"/>
      <c r="AW813" s="205"/>
      <c r="AX813" s="205"/>
      <c r="AY813" s="205"/>
      <c r="AZ813" s="205"/>
      <c r="BA813" s="205"/>
      <c r="BB813" s="205"/>
      <c r="BC813" s="205"/>
      <c r="BD813" s="205"/>
      <c r="BE813" s="205"/>
      <c r="BF813" s="205"/>
      <c r="BG813" s="205"/>
      <c r="BH813" s="205"/>
      <c r="BI813" s="319"/>
    </row>
    <row r="814" spans="3:61" ht="15" customHeight="1">
      <c r="C814" s="325"/>
      <c r="D814" s="326"/>
      <c r="E814" s="311"/>
      <c r="F814" s="311"/>
      <c r="G814" s="311"/>
      <c r="H814" s="311"/>
      <c r="I814" s="311"/>
      <c r="J814" s="317"/>
      <c r="K814" s="312"/>
      <c r="L814" s="312"/>
      <c r="M814" s="312"/>
      <c r="N814" s="312"/>
      <c r="O814" s="312"/>
      <c r="P814" s="322" t="str">
        <f t="shared" si="38"/>
        <v/>
      </c>
      <c r="Q814" s="208" t="str">
        <f t="shared" si="36"/>
        <v/>
      </c>
      <c r="R814" s="208"/>
      <c r="S814" s="323" t="str">
        <f t="shared" si="37"/>
        <v/>
      </c>
      <c r="U814" s="322"/>
      <c r="V814" s="791"/>
      <c r="W814" s="792"/>
      <c r="X814" s="480"/>
      <c r="Y814" s="480"/>
      <c r="Z814" s="480"/>
      <c r="AA814" s="323"/>
      <c r="AB814" s="220"/>
      <c r="AC814" s="322"/>
      <c r="AD814" s="323"/>
      <c r="AE814" s="220"/>
      <c r="AF814" s="324"/>
      <c r="AG814" s="208"/>
      <c r="AH814" s="208"/>
      <c r="AI814" s="208"/>
      <c r="AJ814" s="208"/>
      <c r="AK814" s="208"/>
      <c r="AL814" s="208"/>
      <c r="AM814" s="208"/>
      <c r="AN814" s="208"/>
      <c r="AO814" s="208"/>
      <c r="AP814" s="208"/>
      <c r="AQ814" s="208"/>
      <c r="AR814" s="208"/>
      <c r="AS814" s="208"/>
      <c r="AT814" s="208"/>
      <c r="AU814" s="208"/>
      <c r="AV814" s="208"/>
      <c r="AW814" s="208"/>
      <c r="AX814" s="208"/>
      <c r="AY814" s="208"/>
      <c r="AZ814" s="208"/>
      <c r="BA814" s="208"/>
      <c r="BB814" s="208"/>
      <c r="BC814" s="208"/>
      <c r="BD814" s="208"/>
      <c r="BE814" s="208"/>
      <c r="BF814" s="208"/>
      <c r="BG814" s="208"/>
      <c r="BH814" s="208"/>
      <c r="BI814" s="323"/>
    </row>
    <row r="815" spans="3:61" ht="15" customHeight="1">
      <c r="C815" s="325"/>
      <c r="D815" s="326"/>
      <c r="E815" s="311"/>
      <c r="F815" s="311"/>
      <c r="G815" s="311"/>
      <c r="H815" s="311"/>
      <c r="I815" s="311"/>
      <c r="J815" s="317"/>
      <c r="K815" s="312"/>
      <c r="L815" s="312"/>
      <c r="M815" s="312"/>
      <c r="N815" s="312"/>
      <c r="O815" s="312"/>
      <c r="P815" s="318" t="str">
        <f t="shared" si="38"/>
        <v/>
      </c>
      <c r="Q815" s="205" t="str">
        <f t="shared" si="36"/>
        <v/>
      </c>
      <c r="R815" s="205"/>
      <c r="S815" s="319" t="str">
        <f t="shared" si="37"/>
        <v/>
      </c>
      <c r="U815" s="318"/>
      <c r="V815" s="794"/>
      <c r="W815" s="795"/>
      <c r="X815" s="482"/>
      <c r="Y815" s="482"/>
      <c r="Z815" s="482"/>
      <c r="AA815" s="319"/>
      <c r="AB815" s="220"/>
      <c r="AC815" s="318"/>
      <c r="AD815" s="319"/>
      <c r="AE815" s="220"/>
      <c r="AF815" s="320"/>
      <c r="AG815" s="205"/>
      <c r="AH815" s="205"/>
      <c r="AI815" s="205"/>
      <c r="AJ815" s="205"/>
      <c r="AK815" s="205"/>
      <c r="AL815" s="205"/>
      <c r="AM815" s="205"/>
      <c r="AN815" s="205"/>
      <c r="AO815" s="205"/>
      <c r="AP815" s="205"/>
      <c r="AQ815" s="205"/>
      <c r="AR815" s="205"/>
      <c r="AS815" s="205"/>
      <c r="AT815" s="205"/>
      <c r="AU815" s="205"/>
      <c r="AV815" s="205"/>
      <c r="AW815" s="205"/>
      <c r="AX815" s="205"/>
      <c r="AY815" s="205"/>
      <c r="AZ815" s="205"/>
      <c r="BA815" s="205"/>
      <c r="BB815" s="205"/>
      <c r="BC815" s="205"/>
      <c r="BD815" s="205"/>
      <c r="BE815" s="205"/>
      <c r="BF815" s="205"/>
      <c r="BG815" s="205"/>
      <c r="BH815" s="205"/>
      <c r="BI815" s="319"/>
    </row>
    <row r="816" spans="3:61" ht="15" customHeight="1">
      <c r="C816" s="325"/>
      <c r="D816" s="326"/>
      <c r="E816" s="311"/>
      <c r="F816" s="311"/>
      <c r="G816" s="311"/>
      <c r="H816" s="311"/>
      <c r="I816" s="311"/>
      <c r="J816" s="317"/>
      <c r="K816" s="312"/>
      <c r="L816" s="312"/>
      <c r="M816" s="312"/>
      <c r="N816" s="312"/>
      <c r="O816" s="312"/>
      <c r="P816" s="322" t="str">
        <f t="shared" si="38"/>
        <v/>
      </c>
      <c r="Q816" s="208" t="str">
        <f t="shared" si="36"/>
        <v/>
      </c>
      <c r="R816" s="208"/>
      <c r="S816" s="323" t="str">
        <f t="shared" si="37"/>
        <v/>
      </c>
      <c r="U816" s="322"/>
      <c r="V816" s="791"/>
      <c r="W816" s="792"/>
      <c r="X816" s="480"/>
      <c r="Y816" s="480"/>
      <c r="Z816" s="480"/>
      <c r="AA816" s="323"/>
      <c r="AB816" s="220"/>
      <c r="AC816" s="322"/>
      <c r="AD816" s="323"/>
      <c r="AE816" s="220"/>
      <c r="AF816" s="324"/>
      <c r="AG816" s="208"/>
      <c r="AH816" s="208"/>
      <c r="AI816" s="208"/>
      <c r="AJ816" s="208"/>
      <c r="AK816" s="208"/>
      <c r="AL816" s="208"/>
      <c r="AM816" s="208"/>
      <c r="AN816" s="208"/>
      <c r="AO816" s="208"/>
      <c r="AP816" s="208"/>
      <c r="AQ816" s="208"/>
      <c r="AR816" s="208"/>
      <c r="AS816" s="208"/>
      <c r="AT816" s="208"/>
      <c r="AU816" s="208"/>
      <c r="AV816" s="208"/>
      <c r="AW816" s="208"/>
      <c r="AX816" s="208"/>
      <c r="AY816" s="208"/>
      <c r="AZ816" s="208"/>
      <c r="BA816" s="208"/>
      <c r="BB816" s="208"/>
      <c r="BC816" s="208"/>
      <c r="BD816" s="208"/>
      <c r="BE816" s="208"/>
      <c r="BF816" s="208"/>
      <c r="BG816" s="208"/>
      <c r="BH816" s="208"/>
      <c r="BI816" s="323"/>
    </row>
    <row r="817" spans="3:61" ht="15" customHeight="1">
      <c r="C817" s="325"/>
      <c r="D817" s="326"/>
      <c r="E817" s="311"/>
      <c r="F817" s="311"/>
      <c r="G817" s="311"/>
      <c r="H817" s="311"/>
      <c r="I817" s="311"/>
      <c r="J817" s="317"/>
      <c r="K817" s="312"/>
      <c r="L817" s="312"/>
      <c r="M817" s="312"/>
      <c r="N817" s="312"/>
      <c r="O817" s="312"/>
      <c r="P817" s="318" t="str">
        <f t="shared" si="38"/>
        <v/>
      </c>
      <c r="Q817" s="205" t="str">
        <f t="shared" si="36"/>
        <v/>
      </c>
      <c r="R817" s="205"/>
      <c r="S817" s="319" t="str">
        <f t="shared" si="37"/>
        <v/>
      </c>
      <c r="U817" s="318"/>
      <c r="V817" s="794"/>
      <c r="W817" s="795"/>
      <c r="X817" s="482"/>
      <c r="Y817" s="482"/>
      <c r="Z817" s="482"/>
      <c r="AA817" s="319"/>
      <c r="AB817" s="220"/>
      <c r="AC817" s="318"/>
      <c r="AD817" s="319"/>
      <c r="AE817" s="220"/>
      <c r="AF817" s="320"/>
      <c r="AG817" s="205"/>
      <c r="AH817" s="205"/>
      <c r="AI817" s="205"/>
      <c r="AJ817" s="205"/>
      <c r="AK817" s="205"/>
      <c r="AL817" s="205"/>
      <c r="AM817" s="205"/>
      <c r="AN817" s="205"/>
      <c r="AO817" s="205"/>
      <c r="AP817" s="205"/>
      <c r="AQ817" s="205"/>
      <c r="AR817" s="205"/>
      <c r="AS817" s="205"/>
      <c r="AT817" s="205"/>
      <c r="AU817" s="205"/>
      <c r="AV817" s="205"/>
      <c r="AW817" s="205"/>
      <c r="AX817" s="205"/>
      <c r="AY817" s="205"/>
      <c r="AZ817" s="205"/>
      <c r="BA817" s="205"/>
      <c r="BB817" s="205"/>
      <c r="BC817" s="205"/>
      <c r="BD817" s="205"/>
      <c r="BE817" s="205"/>
      <c r="BF817" s="205"/>
      <c r="BG817" s="205"/>
      <c r="BH817" s="205"/>
      <c r="BI817" s="319"/>
    </row>
    <row r="818" spans="3:61" ht="15" customHeight="1">
      <c r="C818" s="325"/>
      <c r="D818" s="326"/>
      <c r="E818" s="311"/>
      <c r="F818" s="311"/>
      <c r="G818" s="311"/>
      <c r="H818" s="311"/>
      <c r="I818" s="311"/>
      <c r="J818" s="317"/>
      <c r="K818" s="312"/>
      <c r="L818" s="312"/>
      <c r="M818" s="312"/>
      <c r="N818" s="312"/>
      <c r="O818" s="312"/>
      <c r="P818" s="322" t="str">
        <f t="shared" si="38"/>
        <v/>
      </c>
      <c r="Q818" s="208" t="str">
        <f t="shared" si="36"/>
        <v/>
      </c>
      <c r="R818" s="208"/>
      <c r="S818" s="323" t="str">
        <f t="shared" si="37"/>
        <v/>
      </c>
      <c r="U818" s="322"/>
      <c r="V818" s="791"/>
      <c r="W818" s="792"/>
      <c r="X818" s="480"/>
      <c r="Y818" s="480"/>
      <c r="Z818" s="480"/>
      <c r="AA818" s="323"/>
      <c r="AB818" s="220"/>
      <c r="AC818" s="322"/>
      <c r="AD818" s="323"/>
      <c r="AE818" s="220"/>
      <c r="AF818" s="324"/>
      <c r="AG818" s="208"/>
      <c r="AH818" s="208"/>
      <c r="AI818" s="208"/>
      <c r="AJ818" s="208"/>
      <c r="AK818" s="208"/>
      <c r="AL818" s="208"/>
      <c r="AM818" s="208"/>
      <c r="AN818" s="208"/>
      <c r="AO818" s="208"/>
      <c r="AP818" s="208"/>
      <c r="AQ818" s="208"/>
      <c r="AR818" s="208"/>
      <c r="AS818" s="208"/>
      <c r="AT818" s="208"/>
      <c r="AU818" s="208"/>
      <c r="AV818" s="208"/>
      <c r="AW818" s="208"/>
      <c r="AX818" s="208"/>
      <c r="AY818" s="208"/>
      <c r="AZ818" s="208"/>
      <c r="BA818" s="208"/>
      <c r="BB818" s="208"/>
      <c r="BC818" s="208"/>
      <c r="BD818" s="208"/>
      <c r="BE818" s="208"/>
      <c r="BF818" s="208"/>
      <c r="BG818" s="208"/>
      <c r="BH818" s="208"/>
      <c r="BI818" s="323"/>
    </row>
    <row r="819" spans="3:61" ht="15" customHeight="1">
      <c r="C819" s="325"/>
      <c r="D819" s="326"/>
      <c r="E819" s="311"/>
      <c r="F819" s="311"/>
      <c r="G819" s="311"/>
      <c r="H819" s="311"/>
      <c r="I819" s="311"/>
      <c r="J819" s="317"/>
      <c r="K819" s="312"/>
      <c r="L819" s="312"/>
      <c r="M819" s="312"/>
      <c r="N819" s="312"/>
      <c r="O819" s="312"/>
      <c r="P819" s="318" t="str">
        <f t="shared" si="38"/>
        <v/>
      </c>
      <c r="Q819" s="205" t="str">
        <f t="shared" si="36"/>
        <v/>
      </c>
      <c r="R819" s="205"/>
      <c r="S819" s="319" t="str">
        <f t="shared" si="37"/>
        <v/>
      </c>
      <c r="U819" s="318"/>
      <c r="V819" s="794"/>
      <c r="W819" s="795"/>
      <c r="X819" s="482"/>
      <c r="Y819" s="482"/>
      <c r="Z819" s="482"/>
      <c r="AA819" s="319"/>
      <c r="AB819" s="220"/>
      <c r="AC819" s="318"/>
      <c r="AD819" s="319"/>
      <c r="AE819" s="220"/>
      <c r="AF819" s="320"/>
      <c r="AG819" s="205"/>
      <c r="AH819" s="205"/>
      <c r="AI819" s="205"/>
      <c r="AJ819" s="205"/>
      <c r="AK819" s="205"/>
      <c r="AL819" s="205"/>
      <c r="AM819" s="205"/>
      <c r="AN819" s="205"/>
      <c r="AO819" s="205"/>
      <c r="AP819" s="205"/>
      <c r="AQ819" s="205"/>
      <c r="AR819" s="205"/>
      <c r="AS819" s="205"/>
      <c r="AT819" s="205"/>
      <c r="AU819" s="205"/>
      <c r="AV819" s="205"/>
      <c r="AW819" s="205"/>
      <c r="AX819" s="205"/>
      <c r="AY819" s="205"/>
      <c r="AZ819" s="205"/>
      <c r="BA819" s="205"/>
      <c r="BB819" s="205"/>
      <c r="BC819" s="205"/>
      <c r="BD819" s="205"/>
      <c r="BE819" s="205"/>
      <c r="BF819" s="205"/>
      <c r="BG819" s="205"/>
      <c r="BH819" s="205"/>
      <c r="BI819" s="319"/>
    </row>
    <row r="820" spans="3:61" ht="15" customHeight="1">
      <c r="C820" s="325"/>
      <c r="D820" s="326"/>
      <c r="E820" s="311"/>
      <c r="F820" s="311"/>
      <c r="G820" s="311"/>
      <c r="H820" s="311"/>
      <c r="I820" s="311"/>
      <c r="J820" s="317"/>
      <c r="K820" s="312"/>
      <c r="L820" s="312"/>
      <c r="M820" s="312"/>
      <c r="N820" s="312"/>
      <c r="O820" s="312"/>
      <c r="P820" s="322" t="str">
        <f t="shared" si="38"/>
        <v/>
      </c>
      <c r="Q820" s="208" t="str">
        <f t="shared" si="36"/>
        <v/>
      </c>
      <c r="R820" s="208"/>
      <c r="S820" s="323" t="str">
        <f t="shared" si="37"/>
        <v/>
      </c>
      <c r="U820" s="322"/>
      <c r="V820" s="791"/>
      <c r="W820" s="792"/>
      <c r="X820" s="480"/>
      <c r="Y820" s="480"/>
      <c r="Z820" s="480"/>
      <c r="AA820" s="323"/>
      <c r="AB820" s="220"/>
      <c r="AC820" s="322"/>
      <c r="AD820" s="323"/>
      <c r="AE820" s="220"/>
      <c r="AF820" s="324"/>
      <c r="AG820" s="208"/>
      <c r="AH820" s="208"/>
      <c r="AI820" s="208"/>
      <c r="AJ820" s="208"/>
      <c r="AK820" s="208"/>
      <c r="AL820" s="208"/>
      <c r="AM820" s="208"/>
      <c r="AN820" s="208"/>
      <c r="AO820" s="208"/>
      <c r="AP820" s="208"/>
      <c r="AQ820" s="208"/>
      <c r="AR820" s="208"/>
      <c r="AS820" s="208"/>
      <c r="AT820" s="208"/>
      <c r="AU820" s="208"/>
      <c r="AV820" s="208"/>
      <c r="AW820" s="208"/>
      <c r="AX820" s="208"/>
      <c r="AY820" s="208"/>
      <c r="AZ820" s="208"/>
      <c r="BA820" s="208"/>
      <c r="BB820" s="208"/>
      <c r="BC820" s="208"/>
      <c r="BD820" s="208"/>
      <c r="BE820" s="208"/>
      <c r="BF820" s="208"/>
      <c r="BG820" s="208"/>
      <c r="BH820" s="208"/>
      <c r="BI820" s="323"/>
    </row>
    <row r="821" spans="3:61" ht="15" customHeight="1">
      <c r="C821" s="325"/>
      <c r="D821" s="326"/>
      <c r="E821" s="311"/>
      <c r="F821" s="311"/>
      <c r="G821" s="311"/>
      <c r="H821" s="311"/>
      <c r="I821" s="311"/>
      <c r="J821" s="317"/>
      <c r="K821" s="312"/>
      <c r="L821" s="312"/>
      <c r="M821" s="312"/>
      <c r="N821" s="312"/>
      <c r="O821" s="312"/>
      <c r="P821" s="318" t="str">
        <f t="shared" si="38"/>
        <v/>
      </c>
      <c r="Q821" s="205" t="str">
        <f t="shared" si="36"/>
        <v/>
      </c>
      <c r="R821" s="205"/>
      <c r="S821" s="319" t="str">
        <f t="shared" si="37"/>
        <v/>
      </c>
      <c r="U821" s="318"/>
      <c r="V821" s="794"/>
      <c r="W821" s="795"/>
      <c r="X821" s="482"/>
      <c r="Y821" s="482"/>
      <c r="Z821" s="482"/>
      <c r="AA821" s="319"/>
      <c r="AB821" s="220"/>
      <c r="AC821" s="318"/>
      <c r="AD821" s="319"/>
      <c r="AE821" s="220"/>
      <c r="AF821" s="320"/>
      <c r="AG821" s="205"/>
      <c r="AH821" s="205"/>
      <c r="AI821" s="205"/>
      <c r="AJ821" s="205"/>
      <c r="AK821" s="205"/>
      <c r="AL821" s="205"/>
      <c r="AM821" s="205"/>
      <c r="AN821" s="205"/>
      <c r="AO821" s="205"/>
      <c r="AP821" s="205"/>
      <c r="AQ821" s="205"/>
      <c r="AR821" s="205"/>
      <c r="AS821" s="205"/>
      <c r="AT821" s="205"/>
      <c r="AU821" s="205"/>
      <c r="AV821" s="205"/>
      <c r="AW821" s="205"/>
      <c r="AX821" s="205"/>
      <c r="AY821" s="205"/>
      <c r="AZ821" s="205"/>
      <c r="BA821" s="205"/>
      <c r="BB821" s="205"/>
      <c r="BC821" s="205"/>
      <c r="BD821" s="205"/>
      <c r="BE821" s="205"/>
      <c r="BF821" s="205"/>
      <c r="BG821" s="205"/>
      <c r="BH821" s="205"/>
      <c r="BI821" s="319"/>
    </row>
    <row r="822" spans="3:61" ht="15" customHeight="1">
      <c r="C822" s="325"/>
      <c r="D822" s="326"/>
      <c r="E822" s="311"/>
      <c r="F822" s="311"/>
      <c r="G822" s="311"/>
      <c r="H822" s="311"/>
      <c r="I822" s="311"/>
      <c r="J822" s="317"/>
      <c r="K822" s="312"/>
      <c r="L822" s="312"/>
      <c r="M822" s="312"/>
      <c r="N822" s="312"/>
      <c r="O822" s="312"/>
      <c r="P822" s="322" t="str">
        <f t="shared" si="38"/>
        <v/>
      </c>
      <c r="Q822" s="208" t="str">
        <f t="shared" si="36"/>
        <v/>
      </c>
      <c r="R822" s="208"/>
      <c r="S822" s="323" t="str">
        <f t="shared" si="37"/>
        <v/>
      </c>
      <c r="U822" s="322"/>
      <c r="V822" s="791"/>
      <c r="W822" s="792"/>
      <c r="X822" s="480"/>
      <c r="Y822" s="480"/>
      <c r="Z822" s="480"/>
      <c r="AA822" s="323"/>
      <c r="AB822" s="220"/>
      <c r="AC822" s="322"/>
      <c r="AD822" s="323"/>
      <c r="AE822" s="220"/>
      <c r="AF822" s="324"/>
      <c r="AG822" s="208"/>
      <c r="AH822" s="208"/>
      <c r="AI822" s="208"/>
      <c r="AJ822" s="208"/>
      <c r="AK822" s="208"/>
      <c r="AL822" s="208"/>
      <c r="AM822" s="208"/>
      <c r="AN822" s="208"/>
      <c r="AO822" s="208"/>
      <c r="AP822" s="208"/>
      <c r="AQ822" s="208"/>
      <c r="AR822" s="208"/>
      <c r="AS822" s="208"/>
      <c r="AT822" s="208"/>
      <c r="AU822" s="208"/>
      <c r="AV822" s="208"/>
      <c r="AW822" s="208"/>
      <c r="AX822" s="208"/>
      <c r="AY822" s="208"/>
      <c r="AZ822" s="208"/>
      <c r="BA822" s="208"/>
      <c r="BB822" s="208"/>
      <c r="BC822" s="208"/>
      <c r="BD822" s="208"/>
      <c r="BE822" s="208"/>
      <c r="BF822" s="208"/>
      <c r="BG822" s="208"/>
      <c r="BH822" s="208"/>
      <c r="BI822" s="323"/>
    </row>
    <row r="823" spans="3:61" ht="15" customHeight="1">
      <c r="C823" s="325"/>
      <c r="D823" s="326"/>
      <c r="E823" s="311"/>
      <c r="F823" s="311"/>
      <c r="G823" s="311"/>
      <c r="H823" s="311"/>
      <c r="I823" s="311"/>
      <c r="J823" s="317"/>
      <c r="K823" s="312"/>
      <c r="L823" s="312"/>
      <c r="M823" s="312"/>
      <c r="N823" s="312"/>
      <c r="O823" s="312"/>
      <c r="P823" s="318" t="str">
        <f t="shared" si="38"/>
        <v/>
      </c>
      <c r="Q823" s="205" t="str">
        <f t="shared" si="36"/>
        <v/>
      </c>
      <c r="R823" s="205"/>
      <c r="S823" s="319" t="str">
        <f t="shared" si="37"/>
        <v/>
      </c>
      <c r="U823" s="318"/>
      <c r="V823" s="794"/>
      <c r="W823" s="795"/>
      <c r="X823" s="482"/>
      <c r="Y823" s="482"/>
      <c r="Z823" s="482"/>
      <c r="AA823" s="319"/>
      <c r="AB823" s="220"/>
      <c r="AC823" s="318"/>
      <c r="AD823" s="319"/>
      <c r="AE823" s="220"/>
      <c r="AF823" s="320"/>
      <c r="AG823" s="205"/>
      <c r="AH823" s="205"/>
      <c r="AI823" s="205"/>
      <c r="AJ823" s="205"/>
      <c r="AK823" s="205"/>
      <c r="AL823" s="205"/>
      <c r="AM823" s="205"/>
      <c r="AN823" s="205"/>
      <c r="AO823" s="205"/>
      <c r="AP823" s="205"/>
      <c r="AQ823" s="205"/>
      <c r="AR823" s="205"/>
      <c r="AS823" s="205"/>
      <c r="AT823" s="205"/>
      <c r="AU823" s="205"/>
      <c r="AV823" s="205"/>
      <c r="AW823" s="205"/>
      <c r="AX823" s="205"/>
      <c r="AY823" s="205"/>
      <c r="AZ823" s="205"/>
      <c r="BA823" s="205"/>
      <c r="BB823" s="205"/>
      <c r="BC823" s="205"/>
      <c r="BD823" s="205"/>
      <c r="BE823" s="205"/>
      <c r="BF823" s="205"/>
      <c r="BG823" s="205"/>
      <c r="BH823" s="205"/>
      <c r="BI823" s="319"/>
    </row>
    <row r="824" spans="3:61" ht="15" customHeight="1">
      <c r="C824" s="325"/>
      <c r="D824" s="326"/>
      <c r="E824" s="311"/>
      <c r="F824" s="311"/>
      <c r="G824" s="311"/>
      <c r="H824" s="311"/>
      <c r="I824" s="311"/>
      <c r="J824" s="317"/>
      <c r="K824" s="312"/>
      <c r="L824" s="312"/>
      <c r="M824" s="312"/>
      <c r="N824" s="312"/>
      <c r="O824" s="312"/>
      <c r="P824" s="322" t="str">
        <f t="shared" si="38"/>
        <v/>
      </c>
      <c r="Q824" s="208" t="str">
        <f t="shared" si="36"/>
        <v/>
      </c>
      <c r="R824" s="208"/>
      <c r="S824" s="323" t="str">
        <f t="shared" si="37"/>
        <v/>
      </c>
      <c r="U824" s="322"/>
      <c r="V824" s="791"/>
      <c r="W824" s="792"/>
      <c r="X824" s="480"/>
      <c r="Y824" s="480"/>
      <c r="Z824" s="480"/>
      <c r="AA824" s="323"/>
      <c r="AB824" s="220"/>
      <c r="AC824" s="322"/>
      <c r="AD824" s="323"/>
      <c r="AE824" s="220"/>
      <c r="AF824" s="324"/>
      <c r="AG824" s="208"/>
      <c r="AH824" s="208"/>
      <c r="AI824" s="208"/>
      <c r="AJ824" s="208"/>
      <c r="AK824" s="208"/>
      <c r="AL824" s="208"/>
      <c r="AM824" s="208"/>
      <c r="AN824" s="208"/>
      <c r="AO824" s="208"/>
      <c r="AP824" s="208"/>
      <c r="AQ824" s="208"/>
      <c r="AR824" s="208"/>
      <c r="AS824" s="208"/>
      <c r="AT824" s="208"/>
      <c r="AU824" s="208"/>
      <c r="AV824" s="208"/>
      <c r="AW824" s="208"/>
      <c r="AX824" s="208"/>
      <c r="AY824" s="208"/>
      <c r="AZ824" s="208"/>
      <c r="BA824" s="208"/>
      <c r="BB824" s="208"/>
      <c r="BC824" s="208"/>
      <c r="BD824" s="208"/>
      <c r="BE824" s="208"/>
      <c r="BF824" s="208"/>
      <c r="BG824" s="208"/>
      <c r="BH824" s="208"/>
      <c r="BI824" s="323"/>
    </row>
    <row r="825" spans="3:61" ht="15" customHeight="1">
      <c r="C825" s="325"/>
      <c r="D825" s="326"/>
      <c r="E825" s="311"/>
      <c r="F825" s="311"/>
      <c r="G825" s="311"/>
      <c r="H825" s="311"/>
      <c r="I825" s="311"/>
      <c r="J825" s="317"/>
      <c r="K825" s="312"/>
      <c r="L825" s="312"/>
      <c r="M825" s="312"/>
      <c r="N825" s="312"/>
      <c r="O825" s="312"/>
      <c r="P825" s="318" t="str">
        <f t="shared" si="38"/>
        <v/>
      </c>
      <c r="Q825" s="205" t="str">
        <f t="shared" si="36"/>
        <v/>
      </c>
      <c r="R825" s="205"/>
      <c r="S825" s="319" t="str">
        <f t="shared" si="37"/>
        <v/>
      </c>
      <c r="U825" s="318"/>
      <c r="V825" s="794"/>
      <c r="W825" s="795"/>
      <c r="X825" s="482"/>
      <c r="Y825" s="482"/>
      <c r="Z825" s="482"/>
      <c r="AA825" s="319"/>
      <c r="AB825" s="220"/>
      <c r="AC825" s="318"/>
      <c r="AD825" s="319"/>
      <c r="AE825" s="220"/>
      <c r="AF825" s="320"/>
      <c r="AG825" s="205"/>
      <c r="AH825" s="205"/>
      <c r="AI825" s="205"/>
      <c r="AJ825" s="205"/>
      <c r="AK825" s="205"/>
      <c r="AL825" s="205"/>
      <c r="AM825" s="205"/>
      <c r="AN825" s="205"/>
      <c r="AO825" s="205"/>
      <c r="AP825" s="205"/>
      <c r="AQ825" s="205"/>
      <c r="AR825" s="205"/>
      <c r="AS825" s="205"/>
      <c r="AT825" s="205"/>
      <c r="AU825" s="205"/>
      <c r="AV825" s="205"/>
      <c r="AW825" s="205"/>
      <c r="AX825" s="205"/>
      <c r="AY825" s="205"/>
      <c r="AZ825" s="205"/>
      <c r="BA825" s="205"/>
      <c r="BB825" s="205"/>
      <c r="BC825" s="205"/>
      <c r="BD825" s="205"/>
      <c r="BE825" s="205"/>
      <c r="BF825" s="205"/>
      <c r="BG825" s="205"/>
      <c r="BH825" s="205"/>
      <c r="BI825" s="319"/>
    </row>
    <row r="826" spans="3:61" ht="15" customHeight="1">
      <c r="C826" s="325"/>
      <c r="D826" s="326"/>
      <c r="E826" s="311"/>
      <c r="F826" s="311"/>
      <c r="G826" s="311"/>
      <c r="H826" s="311"/>
      <c r="I826" s="311"/>
      <c r="J826" s="317"/>
      <c r="K826" s="312"/>
      <c r="L826" s="312"/>
      <c r="M826" s="312"/>
      <c r="N826" s="312"/>
      <c r="O826" s="312"/>
      <c r="P826" s="322" t="str">
        <f t="shared" si="38"/>
        <v/>
      </c>
      <c r="Q826" s="208" t="str">
        <f t="shared" si="36"/>
        <v/>
      </c>
      <c r="R826" s="208"/>
      <c r="S826" s="323" t="str">
        <f t="shared" si="37"/>
        <v/>
      </c>
      <c r="U826" s="322"/>
      <c r="V826" s="791"/>
      <c r="W826" s="792"/>
      <c r="X826" s="480"/>
      <c r="Y826" s="480"/>
      <c r="Z826" s="480"/>
      <c r="AA826" s="323"/>
      <c r="AB826" s="220"/>
      <c r="AC826" s="322"/>
      <c r="AD826" s="323"/>
      <c r="AE826" s="220"/>
      <c r="AF826" s="324"/>
      <c r="AG826" s="208"/>
      <c r="AH826" s="208"/>
      <c r="AI826" s="208"/>
      <c r="AJ826" s="208"/>
      <c r="AK826" s="208"/>
      <c r="AL826" s="208"/>
      <c r="AM826" s="208"/>
      <c r="AN826" s="208"/>
      <c r="AO826" s="208"/>
      <c r="AP826" s="208"/>
      <c r="AQ826" s="208"/>
      <c r="AR826" s="208"/>
      <c r="AS826" s="208"/>
      <c r="AT826" s="208"/>
      <c r="AU826" s="208"/>
      <c r="AV826" s="208"/>
      <c r="AW826" s="208"/>
      <c r="AX826" s="208"/>
      <c r="AY826" s="208"/>
      <c r="AZ826" s="208"/>
      <c r="BA826" s="208"/>
      <c r="BB826" s="208"/>
      <c r="BC826" s="208"/>
      <c r="BD826" s="208"/>
      <c r="BE826" s="208"/>
      <c r="BF826" s="208"/>
      <c r="BG826" s="208"/>
      <c r="BH826" s="208"/>
      <c r="BI826" s="323"/>
    </row>
    <row r="827" spans="3:61" ht="15" customHeight="1">
      <c r="C827" s="325"/>
      <c r="D827" s="326"/>
      <c r="E827" s="311"/>
      <c r="F827" s="311"/>
      <c r="G827" s="311"/>
      <c r="H827" s="311"/>
      <c r="I827" s="311"/>
      <c r="J827" s="317"/>
      <c r="K827" s="312"/>
      <c r="L827" s="312"/>
      <c r="M827" s="312"/>
      <c r="N827" s="312"/>
      <c r="O827" s="312"/>
      <c r="P827" s="318" t="str">
        <f t="shared" si="38"/>
        <v/>
      </c>
      <c r="Q827" s="205" t="str">
        <f t="shared" si="36"/>
        <v/>
      </c>
      <c r="R827" s="205"/>
      <c r="S827" s="319" t="str">
        <f t="shared" si="37"/>
        <v/>
      </c>
      <c r="U827" s="318"/>
      <c r="V827" s="794"/>
      <c r="W827" s="795"/>
      <c r="X827" s="482"/>
      <c r="Y827" s="482"/>
      <c r="Z827" s="482"/>
      <c r="AA827" s="319"/>
      <c r="AB827" s="220"/>
      <c r="AC827" s="318"/>
      <c r="AD827" s="319"/>
      <c r="AE827" s="220"/>
      <c r="AF827" s="320"/>
      <c r="AG827" s="205"/>
      <c r="AH827" s="205"/>
      <c r="AI827" s="205"/>
      <c r="AJ827" s="205"/>
      <c r="AK827" s="205"/>
      <c r="AL827" s="205"/>
      <c r="AM827" s="205"/>
      <c r="AN827" s="205"/>
      <c r="AO827" s="205"/>
      <c r="AP827" s="205"/>
      <c r="AQ827" s="205"/>
      <c r="AR827" s="205"/>
      <c r="AS827" s="205"/>
      <c r="AT827" s="205"/>
      <c r="AU827" s="205"/>
      <c r="AV827" s="205"/>
      <c r="AW827" s="205"/>
      <c r="AX827" s="205"/>
      <c r="AY827" s="205"/>
      <c r="AZ827" s="205"/>
      <c r="BA827" s="205"/>
      <c r="BB827" s="205"/>
      <c r="BC827" s="205"/>
      <c r="BD827" s="205"/>
      <c r="BE827" s="205"/>
      <c r="BF827" s="205"/>
      <c r="BG827" s="205"/>
      <c r="BH827" s="205"/>
      <c r="BI827" s="319"/>
    </row>
    <row r="828" spans="3:61" ht="15" customHeight="1">
      <c r="C828" s="325"/>
      <c r="D828" s="326"/>
      <c r="E828" s="311"/>
      <c r="F828" s="311"/>
      <c r="G828" s="311"/>
      <c r="H828" s="311"/>
      <c r="I828" s="311"/>
      <c r="J828" s="317"/>
      <c r="K828" s="312"/>
      <c r="L828" s="312"/>
      <c r="M828" s="312"/>
      <c r="N828" s="312"/>
      <c r="O828" s="312"/>
      <c r="P828" s="322" t="str">
        <f t="shared" si="38"/>
        <v/>
      </c>
      <c r="Q828" s="208" t="str">
        <f t="shared" si="36"/>
        <v/>
      </c>
      <c r="R828" s="208"/>
      <c r="S828" s="323" t="str">
        <f t="shared" si="37"/>
        <v/>
      </c>
      <c r="U828" s="322"/>
      <c r="V828" s="791"/>
      <c r="W828" s="792"/>
      <c r="X828" s="480"/>
      <c r="Y828" s="480"/>
      <c r="Z828" s="480"/>
      <c r="AA828" s="323"/>
      <c r="AB828" s="220"/>
      <c r="AC828" s="322"/>
      <c r="AD828" s="323"/>
      <c r="AE828" s="220"/>
      <c r="AF828" s="324"/>
      <c r="AG828" s="208"/>
      <c r="AH828" s="208"/>
      <c r="AI828" s="208"/>
      <c r="AJ828" s="208"/>
      <c r="AK828" s="208"/>
      <c r="AL828" s="208"/>
      <c r="AM828" s="208"/>
      <c r="AN828" s="208"/>
      <c r="AO828" s="208"/>
      <c r="AP828" s="208"/>
      <c r="AQ828" s="208"/>
      <c r="AR828" s="208"/>
      <c r="AS828" s="208"/>
      <c r="AT828" s="208"/>
      <c r="AU828" s="208"/>
      <c r="AV828" s="208"/>
      <c r="AW828" s="208"/>
      <c r="AX828" s="208"/>
      <c r="AY828" s="208"/>
      <c r="AZ828" s="208"/>
      <c r="BA828" s="208"/>
      <c r="BB828" s="208"/>
      <c r="BC828" s="208"/>
      <c r="BD828" s="208"/>
      <c r="BE828" s="208"/>
      <c r="BF828" s="208"/>
      <c r="BG828" s="208"/>
      <c r="BH828" s="208"/>
      <c r="BI828" s="323"/>
    </row>
    <row r="829" spans="3:61" ht="15" customHeight="1">
      <c r="C829" s="325"/>
      <c r="D829" s="326"/>
      <c r="E829" s="311"/>
      <c r="F829" s="311"/>
      <c r="G829" s="311"/>
      <c r="H829" s="311"/>
      <c r="I829" s="311"/>
      <c r="J829" s="317"/>
      <c r="K829" s="312"/>
      <c r="L829" s="312"/>
      <c r="M829" s="312"/>
      <c r="N829" s="312"/>
      <c r="O829" s="312"/>
      <c r="P829" s="318" t="str">
        <f t="shared" si="38"/>
        <v/>
      </c>
      <c r="Q829" s="205" t="str">
        <f t="shared" si="36"/>
        <v/>
      </c>
      <c r="R829" s="205"/>
      <c r="S829" s="319" t="str">
        <f t="shared" si="37"/>
        <v/>
      </c>
      <c r="U829" s="318"/>
      <c r="V829" s="794"/>
      <c r="W829" s="795"/>
      <c r="X829" s="482"/>
      <c r="Y829" s="482"/>
      <c r="Z829" s="482"/>
      <c r="AA829" s="319"/>
      <c r="AB829" s="220"/>
      <c r="AC829" s="318"/>
      <c r="AD829" s="319"/>
      <c r="AE829" s="220"/>
      <c r="AF829" s="320"/>
      <c r="AG829" s="205"/>
      <c r="AH829" s="205"/>
      <c r="AI829" s="205"/>
      <c r="AJ829" s="205"/>
      <c r="AK829" s="205"/>
      <c r="AL829" s="205"/>
      <c r="AM829" s="205"/>
      <c r="AN829" s="205"/>
      <c r="AO829" s="205"/>
      <c r="AP829" s="205"/>
      <c r="AQ829" s="205"/>
      <c r="AR829" s="205"/>
      <c r="AS829" s="205"/>
      <c r="AT829" s="205"/>
      <c r="AU829" s="205"/>
      <c r="AV829" s="205"/>
      <c r="AW829" s="205"/>
      <c r="AX829" s="205"/>
      <c r="AY829" s="205"/>
      <c r="AZ829" s="205"/>
      <c r="BA829" s="205"/>
      <c r="BB829" s="205"/>
      <c r="BC829" s="205"/>
      <c r="BD829" s="205"/>
      <c r="BE829" s="205"/>
      <c r="BF829" s="205"/>
      <c r="BG829" s="205"/>
      <c r="BH829" s="205"/>
      <c r="BI829" s="319"/>
    </row>
    <row r="830" spans="3:61" ht="15" customHeight="1">
      <c r="C830" s="325"/>
      <c r="D830" s="326"/>
      <c r="E830" s="311"/>
      <c r="F830" s="311"/>
      <c r="G830" s="311"/>
      <c r="H830" s="311"/>
      <c r="I830" s="311"/>
      <c r="J830" s="317"/>
      <c r="K830" s="312"/>
      <c r="L830" s="312"/>
      <c r="M830" s="312"/>
      <c r="N830" s="312"/>
      <c r="O830" s="312"/>
      <c r="P830" s="322" t="str">
        <f t="shared" si="38"/>
        <v/>
      </c>
      <c r="Q830" s="208" t="str">
        <f t="shared" si="36"/>
        <v/>
      </c>
      <c r="R830" s="208"/>
      <c r="S830" s="323" t="str">
        <f t="shared" si="37"/>
        <v/>
      </c>
      <c r="U830" s="322"/>
      <c r="V830" s="791"/>
      <c r="W830" s="792"/>
      <c r="X830" s="480"/>
      <c r="Y830" s="480"/>
      <c r="Z830" s="480"/>
      <c r="AA830" s="323"/>
      <c r="AB830" s="220"/>
      <c r="AC830" s="322"/>
      <c r="AD830" s="323"/>
      <c r="AE830" s="220"/>
      <c r="AF830" s="324"/>
      <c r="AG830" s="208"/>
      <c r="AH830" s="208"/>
      <c r="AI830" s="208"/>
      <c r="AJ830" s="208"/>
      <c r="AK830" s="208"/>
      <c r="AL830" s="208"/>
      <c r="AM830" s="208"/>
      <c r="AN830" s="208"/>
      <c r="AO830" s="208"/>
      <c r="AP830" s="208"/>
      <c r="AQ830" s="208"/>
      <c r="AR830" s="208"/>
      <c r="AS830" s="208"/>
      <c r="AT830" s="208"/>
      <c r="AU830" s="208"/>
      <c r="AV830" s="208"/>
      <c r="AW830" s="208"/>
      <c r="AX830" s="208"/>
      <c r="AY830" s="208"/>
      <c r="AZ830" s="208"/>
      <c r="BA830" s="208"/>
      <c r="BB830" s="208"/>
      <c r="BC830" s="208"/>
      <c r="BD830" s="208"/>
      <c r="BE830" s="208"/>
      <c r="BF830" s="208"/>
      <c r="BG830" s="208"/>
      <c r="BH830" s="208"/>
      <c r="BI830" s="323"/>
    </row>
    <row r="831" spans="3:61" ht="15" customHeight="1">
      <c r="C831" s="325"/>
      <c r="D831" s="326"/>
      <c r="E831" s="311"/>
      <c r="F831" s="311"/>
      <c r="G831" s="311"/>
      <c r="H831" s="311"/>
      <c r="I831" s="311"/>
      <c r="J831" s="317"/>
      <c r="K831" s="312"/>
      <c r="L831" s="312"/>
      <c r="M831" s="312"/>
      <c r="N831" s="312"/>
      <c r="O831" s="312"/>
      <c r="P831" s="318" t="str">
        <f t="shared" si="38"/>
        <v/>
      </c>
      <c r="Q831" s="205" t="str">
        <f t="shared" si="36"/>
        <v/>
      </c>
      <c r="R831" s="205"/>
      <c r="S831" s="319" t="str">
        <f t="shared" si="37"/>
        <v/>
      </c>
      <c r="U831" s="318"/>
      <c r="V831" s="794"/>
      <c r="W831" s="795"/>
      <c r="X831" s="482"/>
      <c r="Y831" s="482"/>
      <c r="Z831" s="482"/>
      <c r="AA831" s="319"/>
      <c r="AB831" s="220"/>
      <c r="AC831" s="318"/>
      <c r="AD831" s="319"/>
      <c r="AE831" s="220"/>
      <c r="AF831" s="320"/>
      <c r="AG831" s="205"/>
      <c r="AH831" s="205"/>
      <c r="AI831" s="205"/>
      <c r="AJ831" s="205"/>
      <c r="AK831" s="205"/>
      <c r="AL831" s="205"/>
      <c r="AM831" s="205"/>
      <c r="AN831" s="205"/>
      <c r="AO831" s="205"/>
      <c r="AP831" s="205"/>
      <c r="AQ831" s="205"/>
      <c r="AR831" s="205"/>
      <c r="AS831" s="205"/>
      <c r="AT831" s="205"/>
      <c r="AU831" s="205"/>
      <c r="AV831" s="205"/>
      <c r="AW831" s="205"/>
      <c r="AX831" s="205"/>
      <c r="AY831" s="205"/>
      <c r="AZ831" s="205"/>
      <c r="BA831" s="205"/>
      <c r="BB831" s="205"/>
      <c r="BC831" s="205"/>
      <c r="BD831" s="205"/>
      <c r="BE831" s="205"/>
      <c r="BF831" s="205"/>
      <c r="BG831" s="205"/>
      <c r="BH831" s="205"/>
      <c r="BI831" s="319"/>
    </row>
    <row r="832" spans="3:61" ht="15" customHeight="1">
      <c r="C832" s="325"/>
      <c r="D832" s="326"/>
      <c r="E832" s="311"/>
      <c r="F832" s="311"/>
      <c r="G832" s="311"/>
      <c r="H832" s="311"/>
      <c r="I832" s="311"/>
      <c r="J832" s="317"/>
      <c r="K832" s="312"/>
      <c r="L832" s="312"/>
      <c r="M832" s="312"/>
      <c r="N832" s="312"/>
      <c r="O832" s="312"/>
      <c r="P832" s="322" t="str">
        <f t="shared" si="38"/>
        <v/>
      </c>
      <c r="Q832" s="208" t="str">
        <f t="shared" si="36"/>
        <v/>
      </c>
      <c r="R832" s="208"/>
      <c r="S832" s="323" t="str">
        <f t="shared" si="37"/>
        <v/>
      </c>
      <c r="U832" s="322"/>
      <c r="V832" s="791"/>
      <c r="W832" s="792"/>
      <c r="X832" s="480"/>
      <c r="Y832" s="480"/>
      <c r="Z832" s="480"/>
      <c r="AA832" s="323"/>
      <c r="AB832" s="220"/>
      <c r="AC832" s="322"/>
      <c r="AD832" s="323"/>
      <c r="AE832" s="220"/>
      <c r="AF832" s="324"/>
      <c r="AG832" s="208"/>
      <c r="AH832" s="208"/>
      <c r="AI832" s="208"/>
      <c r="AJ832" s="208"/>
      <c r="AK832" s="208"/>
      <c r="AL832" s="208"/>
      <c r="AM832" s="208"/>
      <c r="AN832" s="208"/>
      <c r="AO832" s="208"/>
      <c r="AP832" s="208"/>
      <c r="AQ832" s="208"/>
      <c r="AR832" s="208"/>
      <c r="AS832" s="208"/>
      <c r="AT832" s="208"/>
      <c r="AU832" s="208"/>
      <c r="AV832" s="208"/>
      <c r="AW832" s="208"/>
      <c r="AX832" s="208"/>
      <c r="AY832" s="208"/>
      <c r="AZ832" s="208"/>
      <c r="BA832" s="208"/>
      <c r="BB832" s="208"/>
      <c r="BC832" s="208"/>
      <c r="BD832" s="208"/>
      <c r="BE832" s="208"/>
      <c r="BF832" s="208"/>
      <c r="BG832" s="208"/>
      <c r="BH832" s="208"/>
      <c r="BI832" s="323"/>
    </row>
    <row r="833" spans="3:61" ht="15" customHeight="1">
      <c r="C833" s="325"/>
      <c r="D833" s="326"/>
      <c r="E833" s="311"/>
      <c r="F833" s="311"/>
      <c r="G833" s="311"/>
      <c r="H833" s="311"/>
      <c r="I833" s="311"/>
      <c r="J833" s="317"/>
      <c r="K833" s="312"/>
      <c r="L833" s="312"/>
      <c r="M833" s="312"/>
      <c r="N833" s="312"/>
      <c r="O833" s="312"/>
      <c r="P833" s="318" t="str">
        <f t="shared" si="38"/>
        <v/>
      </c>
      <c r="Q833" s="205" t="str">
        <f t="shared" si="36"/>
        <v/>
      </c>
      <c r="R833" s="205"/>
      <c r="S833" s="319" t="str">
        <f t="shared" si="37"/>
        <v/>
      </c>
      <c r="U833" s="318"/>
      <c r="V833" s="794"/>
      <c r="W833" s="795"/>
      <c r="X833" s="482"/>
      <c r="Y833" s="482"/>
      <c r="Z833" s="482"/>
      <c r="AA833" s="319"/>
      <c r="AB833" s="220"/>
      <c r="AC833" s="318"/>
      <c r="AD833" s="319"/>
      <c r="AE833" s="220"/>
      <c r="AF833" s="320"/>
      <c r="AG833" s="205"/>
      <c r="AH833" s="205"/>
      <c r="AI833" s="205"/>
      <c r="AJ833" s="205"/>
      <c r="AK833" s="205"/>
      <c r="AL833" s="205"/>
      <c r="AM833" s="205"/>
      <c r="AN833" s="205"/>
      <c r="AO833" s="205"/>
      <c r="AP833" s="205"/>
      <c r="AQ833" s="205"/>
      <c r="AR833" s="205"/>
      <c r="AS833" s="205"/>
      <c r="AT833" s="205"/>
      <c r="AU833" s="205"/>
      <c r="AV833" s="205"/>
      <c r="AW833" s="205"/>
      <c r="AX833" s="205"/>
      <c r="AY833" s="205"/>
      <c r="AZ833" s="205"/>
      <c r="BA833" s="205"/>
      <c r="BB833" s="205"/>
      <c r="BC833" s="205"/>
      <c r="BD833" s="205"/>
      <c r="BE833" s="205"/>
      <c r="BF833" s="205"/>
      <c r="BG833" s="205"/>
      <c r="BH833" s="205"/>
      <c r="BI833" s="319"/>
    </row>
    <row r="834" spans="3:61" ht="15" customHeight="1">
      <c r="C834" s="325"/>
      <c r="D834" s="326"/>
      <c r="E834" s="311"/>
      <c r="F834" s="311"/>
      <c r="G834" s="311"/>
      <c r="H834" s="311"/>
      <c r="I834" s="311"/>
      <c r="J834" s="317"/>
      <c r="K834" s="312"/>
      <c r="L834" s="312"/>
      <c r="M834" s="312"/>
      <c r="N834" s="312"/>
      <c r="O834" s="312"/>
      <c r="P834" s="322" t="str">
        <f t="shared" si="38"/>
        <v/>
      </c>
      <c r="Q834" s="208" t="str">
        <f t="shared" si="36"/>
        <v/>
      </c>
      <c r="R834" s="208"/>
      <c r="S834" s="323" t="str">
        <f t="shared" si="37"/>
        <v/>
      </c>
      <c r="U834" s="322"/>
      <c r="V834" s="791"/>
      <c r="W834" s="792"/>
      <c r="X834" s="480"/>
      <c r="Y834" s="480"/>
      <c r="Z834" s="480"/>
      <c r="AA834" s="323"/>
      <c r="AB834" s="220"/>
      <c r="AC834" s="322"/>
      <c r="AD834" s="323"/>
      <c r="AE834" s="220"/>
      <c r="AF834" s="324"/>
      <c r="AG834" s="208"/>
      <c r="AH834" s="208"/>
      <c r="AI834" s="208"/>
      <c r="AJ834" s="208"/>
      <c r="AK834" s="208"/>
      <c r="AL834" s="208"/>
      <c r="AM834" s="208"/>
      <c r="AN834" s="208"/>
      <c r="AO834" s="208"/>
      <c r="AP834" s="208"/>
      <c r="AQ834" s="208"/>
      <c r="AR834" s="208"/>
      <c r="AS834" s="208"/>
      <c r="AT834" s="208"/>
      <c r="AU834" s="208"/>
      <c r="AV834" s="208"/>
      <c r="AW834" s="208"/>
      <c r="AX834" s="208"/>
      <c r="AY834" s="208"/>
      <c r="AZ834" s="208"/>
      <c r="BA834" s="208"/>
      <c r="BB834" s="208"/>
      <c r="BC834" s="208"/>
      <c r="BD834" s="208"/>
      <c r="BE834" s="208"/>
      <c r="BF834" s="208"/>
      <c r="BG834" s="208"/>
      <c r="BH834" s="208"/>
      <c r="BI834" s="323"/>
    </row>
    <row r="835" spans="3:61" ht="15" customHeight="1">
      <c r="C835" s="325"/>
      <c r="D835" s="326"/>
      <c r="E835" s="311"/>
      <c r="F835" s="311"/>
      <c r="G835" s="311"/>
      <c r="H835" s="311"/>
      <c r="I835" s="311"/>
      <c r="J835" s="317"/>
      <c r="K835" s="312"/>
      <c r="L835" s="312"/>
      <c r="M835" s="312"/>
      <c r="N835" s="312"/>
      <c r="O835" s="312"/>
      <c r="P835" s="318" t="str">
        <f t="shared" si="38"/>
        <v/>
      </c>
      <c r="Q835" s="205" t="str">
        <f t="shared" si="36"/>
        <v/>
      </c>
      <c r="R835" s="205"/>
      <c r="S835" s="319" t="str">
        <f t="shared" si="37"/>
        <v/>
      </c>
      <c r="U835" s="318"/>
      <c r="V835" s="794"/>
      <c r="W835" s="795"/>
      <c r="X835" s="482"/>
      <c r="Y835" s="482"/>
      <c r="Z835" s="482"/>
      <c r="AA835" s="319"/>
      <c r="AB835" s="220"/>
      <c r="AC835" s="318"/>
      <c r="AD835" s="319"/>
      <c r="AE835" s="220"/>
      <c r="AF835" s="320"/>
      <c r="AG835" s="205"/>
      <c r="AH835" s="205"/>
      <c r="AI835" s="205"/>
      <c r="AJ835" s="205"/>
      <c r="AK835" s="205"/>
      <c r="AL835" s="205"/>
      <c r="AM835" s="205"/>
      <c r="AN835" s="205"/>
      <c r="AO835" s="205"/>
      <c r="AP835" s="205"/>
      <c r="AQ835" s="205"/>
      <c r="AR835" s="205"/>
      <c r="AS835" s="205"/>
      <c r="AT835" s="205"/>
      <c r="AU835" s="205"/>
      <c r="AV835" s="205"/>
      <c r="AW835" s="205"/>
      <c r="AX835" s="205"/>
      <c r="AY835" s="205"/>
      <c r="AZ835" s="205"/>
      <c r="BA835" s="205"/>
      <c r="BB835" s="205"/>
      <c r="BC835" s="205"/>
      <c r="BD835" s="205"/>
      <c r="BE835" s="205"/>
      <c r="BF835" s="205"/>
      <c r="BG835" s="205"/>
      <c r="BH835" s="205"/>
      <c r="BI835" s="319"/>
    </row>
    <row r="836" spans="3:61" ht="15" customHeight="1">
      <c r="C836" s="325"/>
      <c r="D836" s="326"/>
      <c r="E836" s="311"/>
      <c r="F836" s="311"/>
      <c r="G836" s="311"/>
      <c r="H836" s="311"/>
      <c r="I836" s="311"/>
      <c r="J836" s="317"/>
      <c r="K836" s="312"/>
      <c r="L836" s="312"/>
      <c r="M836" s="312"/>
      <c r="N836" s="312"/>
      <c r="O836" s="312"/>
      <c r="P836" s="322" t="str">
        <f t="shared" si="38"/>
        <v/>
      </c>
      <c r="Q836" s="208" t="str">
        <f t="shared" si="36"/>
        <v/>
      </c>
      <c r="R836" s="208"/>
      <c r="S836" s="323" t="str">
        <f t="shared" si="37"/>
        <v/>
      </c>
      <c r="U836" s="322"/>
      <c r="V836" s="791"/>
      <c r="W836" s="792"/>
      <c r="X836" s="480"/>
      <c r="Y836" s="480"/>
      <c r="Z836" s="480"/>
      <c r="AA836" s="323"/>
      <c r="AB836" s="220"/>
      <c r="AC836" s="322"/>
      <c r="AD836" s="323"/>
      <c r="AE836" s="220"/>
      <c r="AF836" s="324"/>
      <c r="AG836" s="208"/>
      <c r="AH836" s="208"/>
      <c r="AI836" s="208"/>
      <c r="AJ836" s="208"/>
      <c r="AK836" s="208"/>
      <c r="AL836" s="208"/>
      <c r="AM836" s="208"/>
      <c r="AN836" s="208"/>
      <c r="AO836" s="208"/>
      <c r="AP836" s="208"/>
      <c r="AQ836" s="208"/>
      <c r="AR836" s="208"/>
      <c r="AS836" s="208"/>
      <c r="AT836" s="208"/>
      <c r="AU836" s="208"/>
      <c r="AV836" s="208"/>
      <c r="AW836" s="208"/>
      <c r="AX836" s="208"/>
      <c r="AY836" s="208"/>
      <c r="AZ836" s="208"/>
      <c r="BA836" s="208"/>
      <c r="BB836" s="208"/>
      <c r="BC836" s="208"/>
      <c r="BD836" s="208"/>
      <c r="BE836" s="208"/>
      <c r="BF836" s="208"/>
      <c r="BG836" s="208"/>
      <c r="BH836" s="208"/>
      <c r="BI836" s="323"/>
    </row>
    <row r="837" spans="3:61" ht="15" customHeight="1">
      <c r="C837" s="325"/>
      <c r="D837" s="326"/>
      <c r="E837" s="311"/>
      <c r="F837" s="311"/>
      <c r="G837" s="311"/>
      <c r="H837" s="311"/>
      <c r="I837" s="311"/>
      <c r="J837" s="317"/>
      <c r="K837" s="312"/>
      <c r="L837" s="312"/>
      <c r="M837" s="312"/>
      <c r="N837" s="312"/>
      <c r="O837" s="312"/>
      <c r="P837" s="318" t="str">
        <f t="shared" si="38"/>
        <v/>
      </c>
      <c r="Q837" s="205" t="str">
        <f t="shared" si="36"/>
        <v/>
      </c>
      <c r="R837" s="205"/>
      <c r="S837" s="319" t="str">
        <f t="shared" si="37"/>
        <v/>
      </c>
      <c r="U837" s="318"/>
      <c r="V837" s="794"/>
      <c r="W837" s="795"/>
      <c r="X837" s="482"/>
      <c r="Y837" s="482"/>
      <c r="Z837" s="482"/>
      <c r="AA837" s="319"/>
      <c r="AB837" s="220"/>
      <c r="AC837" s="318"/>
      <c r="AD837" s="319"/>
      <c r="AE837" s="220"/>
      <c r="AF837" s="320"/>
      <c r="AG837" s="205"/>
      <c r="AH837" s="205"/>
      <c r="AI837" s="205"/>
      <c r="AJ837" s="205"/>
      <c r="AK837" s="205"/>
      <c r="AL837" s="205"/>
      <c r="AM837" s="205"/>
      <c r="AN837" s="205"/>
      <c r="AO837" s="205"/>
      <c r="AP837" s="205"/>
      <c r="AQ837" s="205"/>
      <c r="AR837" s="205"/>
      <c r="AS837" s="205"/>
      <c r="AT837" s="205"/>
      <c r="AU837" s="205"/>
      <c r="AV837" s="205"/>
      <c r="AW837" s="205"/>
      <c r="AX837" s="205"/>
      <c r="AY837" s="205"/>
      <c r="AZ837" s="205"/>
      <c r="BA837" s="205"/>
      <c r="BB837" s="205"/>
      <c r="BC837" s="205"/>
      <c r="BD837" s="205"/>
      <c r="BE837" s="205"/>
      <c r="BF837" s="205"/>
      <c r="BG837" s="205"/>
      <c r="BH837" s="205"/>
      <c r="BI837" s="319"/>
    </row>
    <row r="838" spans="3:61" ht="15" customHeight="1">
      <c r="C838" s="325"/>
      <c r="D838" s="326"/>
      <c r="E838" s="311"/>
      <c r="F838" s="311"/>
      <c r="G838" s="311"/>
      <c r="H838" s="311"/>
      <c r="I838" s="311"/>
      <c r="J838" s="317"/>
      <c r="K838" s="312"/>
      <c r="L838" s="312"/>
      <c r="M838" s="312"/>
      <c r="N838" s="312"/>
      <c r="O838" s="312"/>
      <c r="P838" s="322" t="str">
        <f t="shared" si="38"/>
        <v/>
      </c>
      <c r="Q838" s="208" t="str">
        <f t="shared" si="36"/>
        <v/>
      </c>
      <c r="R838" s="208"/>
      <c r="S838" s="323" t="str">
        <f t="shared" si="37"/>
        <v/>
      </c>
      <c r="U838" s="322"/>
      <c r="V838" s="791"/>
      <c r="W838" s="792"/>
      <c r="X838" s="480"/>
      <c r="Y838" s="480"/>
      <c r="Z838" s="480"/>
      <c r="AA838" s="323"/>
      <c r="AB838" s="220"/>
      <c r="AC838" s="322"/>
      <c r="AD838" s="323"/>
      <c r="AE838" s="220"/>
      <c r="AF838" s="324"/>
      <c r="AG838" s="208"/>
      <c r="AH838" s="208"/>
      <c r="AI838" s="208"/>
      <c r="AJ838" s="208"/>
      <c r="AK838" s="208"/>
      <c r="AL838" s="208"/>
      <c r="AM838" s="208"/>
      <c r="AN838" s="208"/>
      <c r="AO838" s="208"/>
      <c r="AP838" s="208"/>
      <c r="AQ838" s="208"/>
      <c r="AR838" s="208"/>
      <c r="AS838" s="208"/>
      <c r="AT838" s="208"/>
      <c r="AU838" s="208"/>
      <c r="AV838" s="208"/>
      <c r="AW838" s="208"/>
      <c r="AX838" s="208"/>
      <c r="AY838" s="208"/>
      <c r="AZ838" s="208"/>
      <c r="BA838" s="208"/>
      <c r="BB838" s="208"/>
      <c r="BC838" s="208"/>
      <c r="BD838" s="208"/>
      <c r="BE838" s="208"/>
      <c r="BF838" s="208"/>
      <c r="BG838" s="208"/>
      <c r="BH838" s="208"/>
      <c r="BI838" s="323"/>
    </row>
    <row r="839" spans="3:61" ht="15" customHeight="1">
      <c r="C839" s="325"/>
      <c r="D839" s="326"/>
      <c r="E839" s="311"/>
      <c r="F839" s="311"/>
      <c r="G839" s="311"/>
      <c r="H839" s="311"/>
      <c r="I839" s="311"/>
      <c r="J839" s="317"/>
      <c r="K839" s="312"/>
      <c r="L839" s="312"/>
      <c r="M839" s="312"/>
      <c r="N839" s="312"/>
      <c r="O839" s="312"/>
      <c r="P839" s="318" t="str">
        <f t="shared" si="38"/>
        <v/>
      </c>
      <c r="Q839" s="205" t="str">
        <f t="shared" si="36"/>
        <v/>
      </c>
      <c r="R839" s="205"/>
      <c r="S839" s="319" t="str">
        <f t="shared" si="37"/>
        <v/>
      </c>
      <c r="U839" s="318"/>
      <c r="V839" s="794"/>
      <c r="W839" s="795"/>
      <c r="X839" s="482"/>
      <c r="Y839" s="482"/>
      <c r="Z839" s="482"/>
      <c r="AA839" s="319"/>
      <c r="AB839" s="220"/>
      <c r="AC839" s="318"/>
      <c r="AD839" s="319"/>
      <c r="AE839" s="220"/>
      <c r="AF839" s="320"/>
      <c r="AG839" s="205"/>
      <c r="AH839" s="205"/>
      <c r="AI839" s="205"/>
      <c r="AJ839" s="205"/>
      <c r="AK839" s="205"/>
      <c r="AL839" s="205"/>
      <c r="AM839" s="205"/>
      <c r="AN839" s="205"/>
      <c r="AO839" s="205"/>
      <c r="AP839" s="205"/>
      <c r="AQ839" s="205"/>
      <c r="AR839" s="205"/>
      <c r="AS839" s="205"/>
      <c r="AT839" s="205"/>
      <c r="AU839" s="205"/>
      <c r="AV839" s="205"/>
      <c r="AW839" s="205"/>
      <c r="AX839" s="205"/>
      <c r="AY839" s="205"/>
      <c r="AZ839" s="205"/>
      <c r="BA839" s="205"/>
      <c r="BB839" s="205"/>
      <c r="BC839" s="205"/>
      <c r="BD839" s="205"/>
      <c r="BE839" s="205"/>
      <c r="BF839" s="205"/>
      <c r="BG839" s="205"/>
      <c r="BH839" s="205"/>
      <c r="BI839" s="319"/>
    </row>
    <row r="840" spans="3:61" ht="15" customHeight="1">
      <c r="C840" s="325"/>
      <c r="D840" s="326"/>
      <c r="E840" s="311"/>
      <c r="F840" s="311"/>
      <c r="G840" s="311"/>
      <c r="H840" s="311"/>
      <c r="I840" s="311"/>
      <c r="J840" s="317"/>
      <c r="K840" s="312"/>
      <c r="L840" s="312"/>
      <c r="M840" s="312"/>
      <c r="N840" s="312"/>
      <c r="O840" s="312"/>
      <c r="P840" s="322" t="str">
        <f t="shared" si="38"/>
        <v/>
      </c>
      <c r="Q840" s="208" t="str">
        <f t="shared" si="36"/>
        <v/>
      </c>
      <c r="R840" s="208"/>
      <c r="S840" s="323" t="str">
        <f t="shared" si="37"/>
        <v/>
      </c>
      <c r="U840" s="322"/>
      <c r="V840" s="791"/>
      <c r="W840" s="792"/>
      <c r="X840" s="480"/>
      <c r="Y840" s="480"/>
      <c r="Z840" s="480"/>
      <c r="AA840" s="323"/>
      <c r="AB840" s="220"/>
      <c r="AC840" s="322"/>
      <c r="AD840" s="323"/>
      <c r="AE840" s="220"/>
      <c r="AF840" s="324"/>
      <c r="AG840" s="208"/>
      <c r="AH840" s="208"/>
      <c r="AI840" s="208"/>
      <c r="AJ840" s="208"/>
      <c r="AK840" s="208"/>
      <c r="AL840" s="208"/>
      <c r="AM840" s="208"/>
      <c r="AN840" s="208"/>
      <c r="AO840" s="208"/>
      <c r="AP840" s="208"/>
      <c r="AQ840" s="208"/>
      <c r="AR840" s="208"/>
      <c r="AS840" s="208"/>
      <c r="AT840" s="208"/>
      <c r="AU840" s="208"/>
      <c r="AV840" s="208"/>
      <c r="AW840" s="208"/>
      <c r="AX840" s="208"/>
      <c r="AY840" s="208"/>
      <c r="AZ840" s="208"/>
      <c r="BA840" s="208"/>
      <c r="BB840" s="208"/>
      <c r="BC840" s="208"/>
      <c r="BD840" s="208"/>
      <c r="BE840" s="208"/>
      <c r="BF840" s="208"/>
      <c r="BG840" s="208"/>
      <c r="BH840" s="208"/>
      <c r="BI840" s="323"/>
    </row>
    <row r="841" spans="3:61" ht="15" customHeight="1">
      <c r="C841" s="325"/>
      <c r="D841" s="326"/>
      <c r="E841" s="311"/>
      <c r="F841" s="311"/>
      <c r="G841" s="311"/>
      <c r="H841" s="311"/>
      <c r="I841" s="311"/>
      <c r="J841" s="317"/>
      <c r="K841" s="312"/>
      <c r="L841" s="312"/>
      <c r="M841" s="312"/>
      <c r="N841" s="312"/>
      <c r="O841" s="312"/>
      <c r="P841" s="318" t="str">
        <f t="shared" si="38"/>
        <v/>
      </c>
      <c r="Q841" s="205" t="str">
        <f t="shared" si="36"/>
        <v/>
      </c>
      <c r="R841" s="205"/>
      <c r="S841" s="319" t="str">
        <f t="shared" si="37"/>
        <v/>
      </c>
      <c r="U841" s="318"/>
      <c r="V841" s="794"/>
      <c r="W841" s="795"/>
      <c r="X841" s="482"/>
      <c r="Y841" s="482"/>
      <c r="Z841" s="482"/>
      <c r="AA841" s="319"/>
      <c r="AB841" s="220"/>
      <c r="AC841" s="318"/>
      <c r="AD841" s="319"/>
      <c r="AE841" s="220"/>
      <c r="AF841" s="320"/>
      <c r="AG841" s="205"/>
      <c r="AH841" s="205"/>
      <c r="AI841" s="205"/>
      <c r="AJ841" s="205"/>
      <c r="AK841" s="205"/>
      <c r="AL841" s="205"/>
      <c r="AM841" s="205"/>
      <c r="AN841" s="205"/>
      <c r="AO841" s="205"/>
      <c r="AP841" s="205"/>
      <c r="AQ841" s="205"/>
      <c r="AR841" s="205"/>
      <c r="AS841" s="205"/>
      <c r="AT841" s="205"/>
      <c r="AU841" s="205"/>
      <c r="AV841" s="205"/>
      <c r="AW841" s="205"/>
      <c r="AX841" s="205"/>
      <c r="AY841" s="205"/>
      <c r="AZ841" s="205"/>
      <c r="BA841" s="205"/>
      <c r="BB841" s="205"/>
      <c r="BC841" s="205"/>
      <c r="BD841" s="205"/>
      <c r="BE841" s="205"/>
      <c r="BF841" s="205"/>
      <c r="BG841" s="205"/>
      <c r="BH841" s="205"/>
      <c r="BI841" s="319"/>
    </row>
    <row r="842" spans="3:61" ht="15" customHeight="1">
      <c r="C842" s="325"/>
      <c r="D842" s="326"/>
      <c r="E842" s="311"/>
      <c r="F842" s="311"/>
      <c r="G842" s="311"/>
      <c r="H842" s="311"/>
      <c r="I842" s="311"/>
      <c r="J842" s="317"/>
      <c r="K842" s="312"/>
      <c r="L842" s="312"/>
      <c r="M842" s="312"/>
      <c r="N842" s="312"/>
      <c r="O842" s="312"/>
      <c r="P842" s="322" t="str">
        <f t="shared" si="38"/>
        <v/>
      </c>
      <c r="Q842" s="208" t="str">
        <f t="shared" si="36"/>
        <v/>
      </c>
      <c r="R842" s="208"/>
      <c r="S842" s="323" t="str">
        <f t="shared" si="37"/>
        <v/>
      </c>
      <c r="U842" s="322"/>
      <c r="V842" s="791"/>
      <c r="W842" s="792"/>
      <c r="X842" s="480"/>
      <c r="Y842" s="480"/>
      <c r="Z842" s="480"/>
      <c r="AA842" s="323"/>
      <c r="AB842" s="220"/>
      <c r="AC842" s="322"/>
      <c r="AD842" s="323"/>
      <c r="AE842" s="220"/>
      <c r="AF842" s="324"/>
      <c r="AG842" s="208"/>
      <c r="AH842" s="208"/>
      <c r="AI842" s="208"/>
      <c r="AJ842" s="208"/>
      <c r="AK842" s="208"/>
      <c r="AL842" s="208"/>
      <c r="AM842" s="208"/>
      <c r="AN842" s="208"/>
      <c r="AO842" s="208"/>
      <c r="AP842" s="208"/>
      <c r="AQ842" s="208"/>
      <c r="AR842" s="208"/>
      <c r="AS842" s="208"/>
      <c r="AT842" s="208"/>
      <c r="AU842" s="208"/>
      <c r="AV842" s="208"/>
      <c r="AW842" s="208"/>
      <c r="AX842" s="208"/>
      <c r="AY842" s="208"/>
      <c r="AZ842" s="208"/>
      <c r="BA842" s="208"/>
      <c r="BB842" s="208"/>
      <c r="BC842" s="208"/>
      <c r="BD842" s="208"/>
      <c r="BE842" s="208"/>
      <c r="BF842" s="208"/>
      <c r="BG842" s="208"/>
      <c r="BH842" s="208"/>
      <c r="BI842" s="323"/>
    </row>
    <row r="843" spans="3:61" ht="15" customHeight="1">
      <c r="C843" s="325"/>
      <c r="D843" s="326"/>
      <c r="E843" s="311"/>
      <c r="F843" s="311"/>
      <c r="G843" s="311"/>
      <c r="H843" s="311"/>
      <c r="I843" s="311"/>
      <c r="J843" s="317"/>
      <c r="K843" s="312"/>
      <c r="L843" s="312"/>
      <c r="M843" s="312"/>
      <c r="N843" s="312"/>
      <c r="O843" s="312"/>
      <c r="P843" s="318" t="str">
        <f t="shared" si="38"/>
        <v/>
      </c>
      <c r="Q843" s="205" t="str">
        <f t="shared" ref="Q843:Q906" si="39">IF($AA843 = "", "", $AA843/$AA$10*100)</f>
        <v/>
      </c>
      <c r="R843" s="205"/>
      <c r="S843" s="319" t="str">
        <f t="shared" ref="S843:S906" si="40">IF($AD843 = "", "", $AD843/$AD$10*100)</f>
        <v/>
      </c>
      <c r="U843" s="318"/>
      <c r="V843" s="794"/>
      <c r="W843" s="795"/>
      <c r="X843" s="482"/>
      <c r="Y843" s="482"/>
      <c r="Z843" s="482"/>
      <c r="AA843" s="319"/>
      <c r="AB843" s="220"/>
      <c r="AC843" s="318"/>
      <c r="AD843" s="319"/>
      <c r="AE843" s="220"/>
      <c r="AF843" s="320"/>
      <c r="AG843" s="205"/>
      <c r="AH843" s="205"/>
      <c r="AI843" s="205"/>
      <c r="AJ843" s="205"/>
      <c r="AK843" s="205"/>
      <c r="AL843" s="205"/>
      <c r="AM843" s="205"/>
      <c r="AN843" s="205"/>
      <c r="AO843" s="205"/>
      <c r="AP843" s="205"/>
      <c r="AQ843" s="205"/>
      <c r="AR843" s="205"/>
      <c r="AS843" s="205"/>
      <c r="AT843" s="205"/>
      <c r="AU843" s="205"/>
      <c r="AV843" s="205"/>
      <c r="AW843" s="205"/>
      <c r="AX843" s="205"/>
      <c r="AY843" s="205"/>
      <c r="AZ843" s="205"/>
      <c r="BA843" s="205"/>
      <c r="BB843" s="205"/>
      <c r="BC843" s="205"/>
      <c r="BD843" s="205"/>
      <c r="BE843" s="205"/>
      <c r="BF843" s="205"/>
      <c r="BG843" s="205"/>
      <c r="BH843" s="205"/>
      <c r="BI843" s="319"/>
    </row>
    <row r="844" spans="3:61" ht="15" customHeight="1">
      <c r="C844" s="325"/>
      <c r="D844" s="326"/>
      <c r="E844" s="311"/>
      <c r="F844" s="311"/>
      <c r="G844" s="311"/>
      <c r="H844" s="311"/>
      <c r="I844" s="311"/>
      <c r="J844" s="317"/>
      <c r="K844" s="312"/>
      <c r="L844" s="312"/>
      <c r="M844" s="312"/>
      <c r="N844" s="312"/>
      <c r="O844" s="312"/>
      <c r="P844" s="322" t="str">
        <f t="shared" ref="P844:P907" si="41">IF(U844="", "", U844)</f>
        <v/>
      </c>
      <c r="Q844" s="208" t="str">
        <f t="shared" si="39"/>
        <v/>
      </c>
      <c r="R844" s="208"/>
      <c r="S844" s="323" t="str">
        <f t="shared" si="40"/>
        <v/>
      </c>
      <c r="U844" s="322"/>
      <c r="V844" s="791"/>
      <c r="W844" s="792"/>
      <c r="X844" s="480"/>
      <c r="Y844" s="480"/>
      <c r="Z844" s="480"/>
      <c r="AA844" s="323"/>
      <c r="AB844" s="220"/>
      <c r="AC844" s="322"/>
      <c r="AD844" s="323"/>
      <c r="AE844" s="220"/>
      <c r="AF844" s="324"/>
      <c r="AG844" s="208"/>
      <c r="AH844" s="208"/>
      <c r="AI844" s="208"/>
      <c r="AJ844" s="208"/>
      <c r="AK844" s="208"/>
      <c r="AL844" s="208"/>
      <c r="AM844" s="208"/>
      <c r="AN844" s="208"/>
      <c r="AO844" s="208"/>
      <c r="AP844" s="208"/>
      <c r="AQ844" s="208"/>
      <c r="AR844" s="208"/>
      <c r="AS844" s="208"/>
      <c r="AT844" s="208"/>
      <c r="AU844" s="208"/>
      <c r="AV844" s="208"/>
      <c r="AW844" s="208"/>
      <c r="AX844" s="208"/>
      <c r="AY844" s="208"/>
      <c r="AZ844" s="208"/>
      <c r="BA844" s="208"/>
      <c r="BB844" s="208"/>
      <c r="BC844" s="208"/>
      <c r="BD844" s="208"/>
      <c r="BE844" s="208"/>
      <c r="BF844" s="208"/>
      <c r="BG844" s="208"/>
      <c r="BH844" s="208"/>
      <c r="BI844" s="323"/>
    </row>
    <row r="845" spans="3:61" ht="15" customHeight="1">
      <c r="C845" s="325"/>
      <c r="D845" s="326"/>
      <c r="E845" s="311"/>
      <c r="F845" s="311"/>
      <c r="G845" s="311"/>
      <c r="H845" s="311"/>
      <c r="I845" s="311"/>
      <c r="J845" s="317"/>
      <c r="K845" s="312"/>
      <c r="L845" s="312"/>
      <c r="M845" s="312"/>
      <c r="N845" s="312"/>
      <c r="O845" s="312"/>
      <c r="P845" s="318" t="str">
        <f t="shared" si="41"/>
        <v/>
      </c>
      <c r="Q845" s="205" t="str">
        <f t="shared" si="39"/>
        <v/>
      </c>
      <c r="R845" s="205"/>
      <c r="S845" s="319" t="str">
        <f t="shared" si="40"/>
        <v/>
      </c>
      <c r="U845" s="318"/>
      <c r="V845" s="794"/>
      <c r="W845" s="795"/>
      <c r="X845" s="482"/>
      <c r="Y845" s="482"/>
      <c r="Z845" s="482"/>
      <c r="AA845" s="319"/>
      <c r="AB845" s="220"/>
      <c r="AC845" s="318"/>
      <c r="AD845" s="319"/>
      <c r="AE845" s="220"/>
      <c r="AF845" s="320"/>
      <c r="AG845" s="205"/>
      <c r="AH845" s="205"/>
      <c r="AI845" s="205"/>
      <c r="AJ845" s="205"/>
      <c r="AK845" s="205"/>
      <c r="AL845" s="205"/>
      <c r="AM845" s="205"/>
      <c r="AN845" s="205"/>
      <c r="AO845" s="205"/>
      <c r="AP845" s="205"/>
      <c r="AQ845" s="205"/>
      <c r="AR845" s="205"/>
      <c r="AS845" s="205"/>
      <c r="AT845" s="205"/>
      <c r="AU845" s="205"/>
      <c r="AV845" s="205"/>
      <c r="AW845" s="205"/>
      <c r="AX845" s="205"/>
      <c r="AY845" s="205"/>
      <c r="AZ845" s="205"/>
      <c r="BA845" s="205"/>
      <c r="BB845" s="205"/>
      <c r="BC845" s="205"/>
      <c r="BD845" s="205"/>
      <c r="BE845" s="205"/>
      <c r="BF845" s="205"/>
      <c r="BG845" s="205"/>
      <c r="BH845" s="205"/>
      <c r="BI845" s="319"/>
    </row>
    <row r="846" spans="3:61" ht="15" customHeight="1">
      <c r="C846" s="325"/>
      <c r="D846" s="326"/>
      <c r="E846" s="311"/>
      <c r="F846" s="311"/>
      <c r="G846" s="311"/>
      <c r="H846" s="311"/>
      <c r="I846" s="311"/>
      <c r="J846" s="317"/>
      <c r="K846" s="312"/>
      <c r="L846" s="312"/>
      <c r="M846" s="312"/>
      <c r="N846" s="312"/>
      <c r="O846" s="312"/>
      <c r="P846" s="322" t="str">
        <f t="shared" si="41"/>
        <v/>
      </c>
      <c r="Q846" s="208" t="str">
        <f t="shared" si="39"/>
        <v/>
      </c>
      <c r="R846" s="208"/>
      <c r="S846" s="323" t="str">
        <f t="shared" si="40"/>
        <v/>
      </c>
      <c r="U846" s="322"/>
      <c r="V846" s="791"/>
      <c r="W846" s="792"/>
      <c r="X846" s="480"/>
      <c r="Y846" s="480"/>
      <c r="Z846" s="480"/>
      <c r="AA846" s="323"/>
      <c r="AB846" s="220"/>
      <c r="AC846" s="322"/>
      <c r="AD846" s="323"/>
      <c r="AE846" s="220"/>
      <c r="AF846" s="324"/>
      <c r="AG846" s="208"/>
      <c r="AH846" s="208"/>
      <c r="AI846" s="208"/>
      <c r="AJ846" s="208"/>
      <c r="AK846" s="208"/>
      <c r="AL846" s="208"/>
      <c r="AM846" s="208"/>
      <c r="AN846" s="208"/>
      <c r="AO846" s="208"/>
      <c r="AP846" s="208"/>
      <c r="AQ846" s="208"/>
      <c r="AR846" s="208"/>
      <c r="AS846" s="208"/>
      <c r="AT846" s="208"/>
      <c r="AU846" s="208"/>
      <c r="AV846" s="208"/>
      <c r="AW846" s="208"/>
      <c r="AX846" s="208"/>
      <c r="AY846" s="208"/>
      <c r="AZ846" s="208"/>
      <c r="BA846" s="208"/>
      <c r="BB846" s="208"/>
      <c r="BC846" s="208"/>
      <c r="BD846" s="208"/>
      <c r="BE846" s="208"/>
      <c r="BF846" s="208"/>
      <c r="BG846" s="208"/>
      <c r="BH846" s="208"/>
      <c r="BI846" s="323"/>
    </row>
    <row r="847" spans="3:61" ht="15" customHeight="1">
      <c r="C847" s="325"/>
      <c r="D847" s="326"/>
      <c r="E847" s="311"/>
      <c r="F847" s="311"/>
      <c r="G847" s="311"/>
      <c r="H847" s="311"/>
      <c r="I847" s="311"/>
      <c r="J847" s="317"/>
      <c r="K847" s="312"/>
      <c r="L847" s="312"/>
      <c r="M847" s="312"/>
      <c r="N847" s="312"/>
      <c r="O847" s="312"/>
      <c r="P847" s="318" t="str">
        <f t="shared" si="41"/>
        <v/>
      </c>
      <c r="Q847" s="205" t="str">
        <f t="shared" si="39"/>
        <v/>
      </c>
      <c r="R847" s="205"/>
      <c r="S847" s="319" t="str">
        <f t="shared" si="40"/>
        <v/>
      </c>
      <c r="U847" s="318"/>
      <c r="V847" s="794"/>
      <c r="W847" s="795"/>
      <c r="X847" s="482"/>
      <c r="Y847" s="482"/>
      <c r="Z847" s="482"/>
      <c r="AA847" s="319"/>
      <c r="AB847" s="220"/>
      <c r="AC847" s="318"/>
      <c r="AD847" s="319"/>
      <c r="AE847" s="220"/>
      <c r="AF847" s="320"/>
      <c r="AG847" s="205"/>
      <c r="AH847" s="205"/>
      <c r="AI847" s="205"/>
      <c r="AJ847" s="205"/>
      <c r="AK847" s="205"/>
      <c r="AL847" s="205"/>
      <c r="AM847" s="205"/>
      <c r="AN847" s="205"/>
      <c r="AO847" s="205"/>
      <c r="AP847" s="205"/>
      <c r="AQ847" s="205"/>
      <c r="AR847" s="205"/>
      <c r="AS847" s="205"/>
      <c r="AT847" s="205"/>
      <c r="AU847" s="205"/>
      <c r="AV847" s="205"/>
      <c r="AW847" s="205"/>
      <c r="AX847" s="205"/>
      <c r="AY847" s="205"/>
      <c r="AZ847" s="205"/>
      <c r="BA847" s="205"/>
      <c r="BB847" s="205"/>
      <c r="BC847" s="205"/>
      <c r="BD847" s="205"/>
      <c r="BE847" s="205"/>
      <c r="BF847" s="205"/>
      <c r="BG847" s="205"/>
      <c r="BH847" s="205"/>
      <c r="BI847" s="319"/>
    </row>
    <row r="848" spans="3:61" ht="15" customHeight="1">
      <c r="C848" s="325"/>
      <c r="D848" s="326"/>
      <c r="E848" s="311"/>
      <c r="F848" s="311"/>
      <c r="G848" s="311"/>
      <c r="H848" s="311"/>
      <c r="I848" s="311"/>
      <c r="J848" s="317"/>
      <c r="K848" s="312"/>
      <c r="L848" s="312"/>
      <c r="M848" s="312"/>
      <c r="N848" s="312"/>
      <c r="O848" s="312"/>
      <c r="P848" s="322" t="str">
        <f t="shared" si="41"/>
        <v/>
      </c>
      <c r="Q848" s="208" t="str">
        <f t="shared" si="39"/>
        <v/>
      </c>
      <c r="R848" s="208"/>
      <c r="S848" s="323" t="str">
        <f t="shared" si="40"/>
        <v/>
      </c>
      <c r="U848" s="322"/>
      <c r="V848" s="791"/>
      <c r="W848" s="792"/>
      <c r="X848" s="480"/>
      <c r="Y848" s="480"/>
      <c r="Z848" s="480"/>
      <c r="AA848" s="323"/>
      <c r="AB848" s="220"/>
      <c r="AC848" s="322"/>
      <c r="AD848" s="323"/>
      <c r="AE848" s="220"/>
      <c r="AF848" s="324"/>
      <c r="AG848" s="208"/>
      <c r="AH848" s="208"/>
      <c r="AI848" s="208"/>
      <c r="AJ848" s="208"/>
      <c r="AK848" s="208"/>
      <c r="AL848" s="208"/>
      <c r="AM848" s="208"/>
      <c r="AN848" s="208"/>
      <c r="AO848" s="208"/>
      <c r="AP848" s="208"/>
      <c r="AQ848" s="208"/>
      <c r="AR848" s="208"/>
      <c r="AS848" s="208"/>
      <c r="AT848" s="208"/>
      <c r="AU848" s="208"/>
      <c r="AV848" s="208"/>
      <c r="AW848" s="208"/>
      <c r="AX848" s="208"/>
      <c r="AY848" s="208"/>
      <c r="AZ848" s="208"/>
      <c r="BA848" s="208"/>
      <c r="BB848" s="208"/>
      <c r="BC848" s="208"/>
      <c r="BD848" s="208"/>
      <c r="BE848" s="208"/>
      <c r="BF848" s="208"/>
      <c r="BG848" s="208"/>
      <c r="BH848" s="208"/>
      <c r="BI848" s="323"/>
    </row>
    <row r="849" spans="3:61" ht="15" customHeight="1">
      <c r="C849" s="325"/>
      <c r="D849" s="326"/>
      <c r="E849" s="311"/>
      <c r="F849" s="311"/>
      <c r="G849" s="311"/>
      <c r="H849" s="311"/>
      <c r="I849" s="311"/>
      <c r="J849" s="317"/>
      <c r="K849" s="312"/>
      <c r="L849" s="312"/>
      <c r="M849" s="312"/>
      <c r="N849" s="312"/>
      <c r="O849" s="312"/>
      <c r="P849" s="318" t="str">
        <f t="shared" si="41"/>
        <v/>
      </c>
      <c r="Q849" s="205" t="str">
        <f t="shared" si="39"/>
        <v/>
      </c>
      <c r="R849" s="205"/>
      <c r="S849" s="319" t="str">
        <f t="shared" si="40"/>
        <v/>
      </c>
      <c r="U849" s="318"/>
      <c r="V849" s="794"/>
      <c r="W849" s="795"/>
      <c r="X849" s="482"/>
      <c r="Y849" s="482"/>
      <c r="Z849" s="482"/>
      <c r="AA849" s="319"/>
      <c r="AB849" s="220"/>
      <c r="AC849" s="318"/>
      <c r="AD849" s="319"/>
      <c r="AE849" s="220"/>
      <c r="AF849" s="320"/>
      <c r="AG849" s="205"/>
      <c r="AH849" s="205"/>
      <c r="AI849" s="205"/>
      <c r="AJ849" s="205"/>
      <c r="AK849" s="205"/>
      <c r="AL849" s="205"/>
      <c r="AM849" s="205"/>
      <c r="AN849" s="205"/>
      <c r="AO849" s="205"/>
      <c r="AP849" s="205"/>
      <c r="AQ849" s="205"/>
      <c r="AR849" s="205"/>
      <c r="AS849" s="205"/>
      <c r="AT849" s="205"/>
      <c r="AU849" s="205"/>
      <c r="AV849" s="205"/>
      <c r="AW849" s="205"/>
      <c r="AX849" s="205"/>
      <c r="AY849" s="205"/>
      <c r="AZ849" s="205"/>
      <c r="BA849" s="205"/>
      <c r="BB849" s="205"/>
      <c r="BC849" s="205"/>
      <c r="BD849" s="205"/>
      <c r="BE849" s="205"/>
      <c r="BF849" s="205"/>
      <c r="BG849" s="205"/>
      <c r="BH849" s="205"/>
      <c r="BI849" s="319"/>
    </row>
    <row r="850" spans="3:61" ht="15" customHeight="1">
      <c r="C850" s="325"/>
      <c r="D850" s="326"/>
      <c r="E850" s="311"/>
      <c r="F850" s="311"/>
      <c r="G850" s="311"/>
      <c r="H850" s="311"/>
      <c r="I850" s="311"/>
      <c r="J850" s="317"/>
      <c r="K850" s="312"/>
      <c r="L850" s="312"/>
      <c r="M850" s="312"/>
      <c r="N850" s="312"/>
      <c r="O850" s="312"/>
      <c r="P850" s="322" t="str">
        <f t="shared" si="41"/>
        <v/>
      </c>
      <c r="Q850" s="208" t="str">
        <f t="shared" si="39"/>
        <v/>
      </c>
      <c r="R850" s="208"/>
      <c r="S850" s="323" t="str">
        <f t="shared" si="40"/>
        <v/>
      </c>
      <c r="U850" s="322"/>
      <c r="V850" s="791"/>
      <c r="W850" s="792"/>
      <c r="X850" s="480"/>
      <c r="Y850" s="480"/>
      <c r="Z850" s="480"/>
      <c r="AA850" s="323"/>
      <c r="AB850" s="220"/>
      <c r="AC850" s="322"/>
      <c r="AD850" s="323"/>
      <c r="AE850" s="220"/>
      <c r="AF850" s="324"/>
      <c r="AG850" s="208"/>
      <c r="AH850" s="208"/>
      <c r="AI850" s="208"/>
      <c r="AJ850" s="208"/>
      <c r="AK850" s="208"/>
      <c r="AL850" s="208"/>
      <c r="AM850" s="208"/>
      <c r="AN850" s="208"/>
      <c r="AO850" s="208"/>
      <c r="AP850" s="208"/>
      <c r="AQ850" s="208"/>
      <c r="AR850" s="208"/>
      <c r="AS850" s="208"/>
      <c r="AT850" s="208"/>
      <c r="AU850" s="208"/>
      <c r="AV850" s="208"/>
      <c r="AW850" s="208"/>
      <c r="AX850" s="208"/>
      <c r="AY850" s="208"/>
      <c r="AZ850" s="208"/>
      <c r="BA850" s="208"/>
      <c r="BB850" s="208"/>
      <c r="BC850" s="208"/>
      <c r="BD850" s="208"/>
      <c r="BE850" s="208"/>
      <c r="BF850" s="208"/>
      <c r="BG850" s="208"/>
      <c r="BH850" s="208"/>
      <c r="BI850" s="323"/>
    </row>
    <row r="851" spans="3:61" ht="15" customHeight="1">
      <c r="C851" s="325"/>
      <c r="D851" s="326"/>
      <c r="E851" s="311"/>
      <c r="F851" s="311"/>
      <c r="G851" s="311"/>
      <c r="H851" s="311"/>
      <c r="I851" s="311"/>
      <c r="J851" s="317"/>
      <c r="K851" s="312"/>
      <c r="L851" s="312"/>
      <c r="M851" s="312"/>
      <c r="N851" s="312"/>
      <c r="O851" s="312"/>
      <c r="P851" s="318" t="str">
        <f t="shared" si="41"/>
        <v/>
      </c>
      <c r="Q851" s="205" t="str">
        <f t="shared" si="39"/>
        <v/>
      </c>
      <c r="R851" s="205"/>
      <c r="S851" s="319" t="str">
        <f t="shared" si="40"/>
        <v/>
      </c>
      <c r="U851" s="318"/>
      <c r="V851" s="794"/>
      <c r="W851" s="795"/>
      <c r="X851" s="482"/>
      <c r="Y851" s="482"/>
      <c r="Z851" s="482"/>
      <c r="AA851" s="319"/>
      <c r="AB851" s="220"/>
      <c r="AC851" s="318"/>
      <c r="AD851" s="319"/>
      <c r="AE851" s="220"/>
      <c r="AF851" s="320"/>
      <c r="AG851" s="205"/>
      <c r="AH851" s="205"/>
      <c r="AI851" s="205"/>
      <c r="AJ851" s="205"/>
      <c r="AK851" s="205"/>
      <c r="AL851" s="205"/>
      <c r="AM851" s="205"/>
      <c r="AN851" s="205"/>
      <c r="AO851" s="205"/>
      <c r="AP851" s="205"/>
      <c r="AQ851" s="205"/>
      <c r="AR851" s="205"/>
      <c r="AS851" s="205"/>
      <c r="AT851" s="205"/>
      <c r="AU851" s="205"/>
      <c r="AV851" s="205"/>
      <c r="AW851" s="205"/>
      <c r="AX851" s="205"/>
      <c r="AY851" s="205"/>
      <c r="AZ851" s="205"/>
      <c r="BA851" s="205"/>
      <c r="BB851" s="205"/>
      <c r="BC851" s="205"/>
      <c r="BD851" s="205"/>
      <c r="BE851" s="205"/>
      <c r="BF851" s="205"/>
      <c r="BG851" s="205"/>
      <c r="BH851" s="205"/>
      <c r="BI851" s="319"/>
    </row>
    <row r="852" spans="3:61" ht="15" customHeight="1">
      <c r="C852" s="325"/>
      <c r="D852" s="326"/>
      <c r="E852" s="311"/>
      <c r="F852" s="311"/>
      <c r="G852" s="311"/>
      <c r="H852" s="311"/>
      <c r="I852" s="311"/>
      <c r="J852" s="317"/>
      <c r="K852" s="312"/>
      <c r="L852" s="312"/>
      <c r="M852" s="312"/>
      <c r="N852" s="312"/>
      <c r="O852" s="312"/>
      <c r="P852" s="322" t="str">
        <f t="shared" si="41"/>
        <v/>
      </c>
      <c r="Q852" s="208" t="str">
        <f t="shared" si="39"/>
        <v/>
      </c>
      <c r="R852" s="208"/>
      <c r="S852" s="323" t="str">
        <f t="shared" si="40"/>
        <v/>
      </c>
      <c r="U852" s="322"/>
      <c r="V852" s="791"/>
      <c r="W852" s="792"/>
      <c r="X852" s="480"/>
      <c r="Y852" s="480"/>
      <c r="Z852" s="480"/>
      <c r="AA852" s="323"/>
      <c r="AB852" s="220"/>
      <c r="AC852" s="322"/>
      <c r="AD852" s="323"/>
      <c r="AE852" s="220"/>
      <c r="AF852" s="324"/>
      <c r="AG852" s="208"/>
      <c r="AH852" s="208"/>
      <c r="AI852" s="208"/>
      <c r="AJ852" s="208"/>
      <c r="AK852" s="208"/>
      <c r="AL852" s="208"/>
      <c r="AM852" s="208"/>
      <c r="AN852" s="208"/>
      <c r="AO852" s="208"/>
      <c r="AP852" s="208"/>
      <c r="AQ852" s="208"/>
      <c r="AR852" s="208"/>
      <c r="AS852" s="208"/>
      <c r="AT852" s="208"/>
      <c r="AU852" s="208"/>
      <c r="AV852" s="208"/>
      <c r="AW852" s="208"/>
      <c r="AX852" s="208"/>
      <c r="AY852" s="208"/>
      <c r="AZ852" s="208"/>
      <c r="BA852" s="208"/>
      <c r="BB852" s="208"/>
      <c r="BC852" s="208"/>
      <c r="BD852" s="208"/>
      <c r="BE852" s="208"/>
      <c r="BF852" s="208"/>
      <c r="BG852" s="208"/>
      <c r="BH852" s="208"/>
      <c r="BI852" s="323"/>
    </row>
    <row r="853" spans="3:61" ht="15" customHeight="1">
      <c r="C853" s="325"/>
      <c r="D853" s="326"/>
      <c r="E853" s="311"/>
      <c r="F853" s="311"/>
      <c r="G853" s="311"/>
      <c r="H853" s="311"/>
      <c r="I853" s="311"/>
      <c r="J853" s="317"/>
      <c r="K853" s="312"/>
      <c r="L853" s="312"/>
      <c r="M853" s="312"/>
      <c r="N853" s="312"/>
      <c r="O853" s="312"/>
      <c r="P853" s="318" t="str">
        <f t="shared" si="41"/>
        <v/>
      </c>
      <c r="Q853" s="205" t="str">
        <f t="shared" si="39"/>
        <v/>
      </c>
      <c r="R853" s="205"/>
      <c r="S853" s="319" t="str">
        <f t="shared" si="40"/>
        <v/>
      </c>
      <c r="U853" s="318"/>
      <c r="V853" s="794"/>
      <c r="W853" s="795"/>
      <c r="X853" s="482"/>
      <c r="Y853" s="482"/>
      <c r="Z853" s="482"/>
      <c r="AA853" s="319"/>
      <c r="AB853" s="220"/>
      <c r="AC853" s="318"/>
      <c r="AD853" s="319"/>
      <c r="AE853" s="220"/>
      <c r="AF853" s="320"/>
      <c r="AG853" s="205"/>
      <c r="AH853" s="205"/>
      <c r="AI853" s="205"/>
      <c r="AJ853" s="205"/>
      <c r="AK853" s="205"/>
      <c r="AL853" s="205"/>
      <c r="AM853" s="205"/>
      <c r="AN853" s="205"/>
      <c r="AO853" s="205"/>
      <c r="AP853" s="205"/>
      <c r="AQ853" s="205"/>
      <c r="AR853" s="205"/>
      <c r="AS853" s="205"/>
      <c r="AT853" s="205"/>
      <c r="AU853" s="205"/>
      <c r="AV853" s="205"/>
      <c r="AW853" s="205"/>
      <c r="AX853" s="205"/>
      <c r="AY853" s="205"/>
      <c r="AZ853" s="205"/>
      <c r="BA853" s="205"/>
      <c r="BB853" s="205"/>
      <c r="BC853" s="205"/>
      <c r="BD853" s="205"/>
      <c r="BE853" s="205"/>
      <c r="BF853" s="205"/>
      <c r="BG853" s="205"/>
      <c r="BH853" s="205"/>
      <c r="BI853" s="319"/>
    </row>
    <row r="854" spans="3:61" ht="15" customHeight="1">
      <c r="C854" s="325"/>
      <c r="D854" s="326"/>
      <c r="E854" s="311"/>
      <c r="F854" s="311"/>
      <c r="G854" s="311"/>
      <c r="H854" s="311"/>
      <c r="I854" s="311"/>
      <c r="J854" s="317"/>
      <c r="K854" s="312"/>
      <c r="L854" s="312"/>
      <c r="M854" s="312"/>
      <c r="N854" s="312"/>
      <c r="O854" s="312"/>
      <c r="P854" s="322" t="str">
        <f t="shared" si="41"/>
        <v/>
      </c>
      <c r="Q854" s="208" t="str">
        <f t="shared" si="39"/>
        <v/>
      </c>
      <c r="R854" s="208"/>
      <c r="S854" s="323" t="str">
        <f t="shared" si="40"/>
        <v/>
      </c>
      <c r="U854" s="322"/>
      <c r="V854" s="791"/>
      <c r="W854" s="792"/>
      <c r="X854" s="480"/>
      <c r="Y854" s="480"/>
      <c r="Z854" s="480"/>
      <c r="AA854" s="323"/>
      <c r="AB854" s="220"/>
      <c r="AC854" s="322"/>
      <c r="AD854" s="323"/>
      <c r="AE854" s="220"/>
      <c r="AF854" s="324"/>
      <c r="AG854" s="208"/>
      <c r="AH854" s="208"/>
      <c r="AI854" s="208"/>
      <c r="AJ854" s="208"/>
      <c r="AK854" s="208"/>
      <c r="AL854" s="208"/>
      <c r="AM854" s="208"/>
      <c r="AN854" s="208"/>
      <c r="AO854" s="208"/>
      <c r="AP854" s="208"/>
      <c r="AQ854" s="208"/>
      <c r="AR854" s="208"/>
      <c r="AS854" s="208"/>
      <c r="AT854" s="208"/>
      <c r="AU854" s="208"/>
      <c r="AV854" s="208"/>
      <c r="AW854" s="208"/>
      <c r="AX854" s="208"/>
      <c r="AY854" s="208"/>
      <c r="AZ854" s="208"/>
      <c r="BA854" s="208"/>
      <c r="BB854" s="208"/>
      <c r="BC854" s="208"/>
      <c r="BD854" s="208"/>
      <c r="BE854" s="208"/>
      <c r="BF854" s="208"/>
      <c r="BG854" s="208"/>
      <c r="BH854" s="208"/>
      <c r="BI854" s="323"/>
    </row>
    <row r="855" spans="3:61" ht="15" customHeight="1">
      <c r="C855" s="325"/>
      <c r="D855" s="326"/>
      <c r="E855" s="311"/>
      <c r="F855" s="311"/>
      <c r="G855" s="311"/>
      <c r="H855" s="311"/>
      <c r="I855" s="311"/>
      <c r="J855" s="317"/>
      <c r="K855" s="312"/>
      <c r="L855" s="312"/>
      <c r="M855" s="312"/>
      <c r="N855" s="312"/>
      <c r="O855" s="312"/>
      <c r="P855" s="318" t="str">
        <f t="shared" si="41"/>
        <v/>
      </c>
      <c r="Q855" s="205" t="str">
        <f t="shared" si="39"/>
        <v/>
      </c>
      <c r="R855" s="205"/>
      <c r="S855" s="319" t="str">
        <f t="shared" si="40"/>
        <v/>
      </c>
      <c r="U855" s="318"/>
      <c r="V855" s="794"/>
      <c r="W855" s="795"/>
      <c r="X855" s="482"/>
      <c r="Y855" s="482"/>
      <c r="Z855" s="482"/>
      <c r="AA855" s="319"/>
      <c r="AB855" s="220"/>
      <c r="AC855" s="318"/>
      <c r="AD855" s="319"/>
      <c r="AE855" s="220"/>
      <c r="AF855" s="320"/>
      <c r="AG855" s="205"/>
      <c r="AH855" s="205"/>
      <c r="AI855" s="205"/>
      <c r="AJ855" s="205"/>
      <c r="AK855" s="205"/>
      <c r="AL855" s="205"/>
      <c r="AM855" s="205"/>
      <c r="AN855" s="205"/>
      <c r="AO855" s="205"/>
      <c r="AP855" s="205"/>
      <c r="AQ855" s="205"/>
      <c r="AR855" s="205"/>
      <c r="AS855" s="205"/>
      <c r="AT855" s="205"/>
      <c r="AU855" s="205"/>
      <c r="AV855" s="205"/>
      <c r="AW855" s="205"/>
      <c r="AX855" s="205"/>
      <c r="AY855" s="205"/>
      <c r="AZ855" s="205"/>
      <c r="BA855" s="205"/>
      <c r="BB855" s="205"/>
      <c r="BC855" s="205"/>
      <c r="BD855" s="205"/>
      <c r="BE855" s="205"/>
      <c r="BF855" s="205"/>
      <c r="BG855" s="205"/>
      <c r="BH855" s="205"/>
      <c r="BI855" s="319"/>
    </row>
    <row r="856" spans="3:61" ht="15" customHeight="1">
      <c r="C856" s="325"/>
      <c r="D856" s="326"/>
      <c r="E856" s="311"/>
      <c r="F856" s="311"/>
      <c r="G856" s="311"/>
      <c r="H856" s="311"/>
      <c r="I856" s="311"/>
      <c r="J856" s="317"/>
      <c r="K856" s="312"/>
      <c r="L856" s="312"/>
      <c r="M856" s="312"/>
      <c r="N856" s="312"/>
      <c r="O856" s="312"/>
      <c r="P856" s="322" t="str">
        <f t="shared" si="41"/>
        <v/>
      </c>
      <c r="Q856" s="208" t="str">
        <f t="shared" si="39"/>
        <v/>
      </c>
      <c r="R856" s="208"/>
      <c r="S856" s="323" t="str">
        <f t="shared" si="40"/>
        <v/>
      </c>
      <c r="U856" s="322"/>
      <c r="V856" s="791"/>
      <c r="W856" s="792"/>
      <c r="X856" s="480"/>
      <c r="Y856" s="480"/>
      <c r="Z856" s="480"/>
      <c r="AA856" s="323"/>
      <c r="AB856" s="220"/>
      <c r="AC856" s="322"/>
      <c r="AD856" s="323"/>
      <c r="AE856" s="220"/>
      <c r="AF856" s="324"/>
      <c r="AG856" s="208"/>
      <c r="AH856" s="208"/>
      <c r="AI856" s="208"/>
      <c r="AJ856" s="208"/>
      <c r="AK856" s="208"/>
      <c r="AL856" s="208"/>
      <c r="AM856" s="208"/>
      <c r="AN856" s="208"/>
      <c r="AO856" s="208"/>
      <c r="AP856" s="208"/>
      <c r="AQ856" s="208"/>
      <c r="AR856" s="208"/>
      <c r="AS856" s="208"/>
      <c r="AT856" s="208"/>
      <c r="AU856" s="208"/>
      <c r="AV856" s="208"/>
      <c r="AW856" s="208"/>
      <c r="AX856" s="208"/>
      <c r="AY856" s="208"/>
      <c r="AZ856" s="208"/>
      <c r="BA856" s="208"/>
      <c r="BB856" s="208"/>
      <c r="BC856" s="208"/>
      <c r="BD856" s="208"/>
      <c r="BE856" s="208"/>
      <c r="BF856" s="208"/>
      <c r="BG856" s="208"/>
      <c r="BH856" s="208"/>
      <c r="BI856" s="323"/>
    </row>
    <row r="857" spans="3:61" ht="15" customHeight="1">
      <c r="C857" s="325"/>
      <c r="D857" s="326"/>
      <c r="E857" s="311"/>
      <c r="F857" s="311"/>
      <c r="G857" s="311"/>
      <c r="H857" s="311"/>
      <c r="I857" s="311"/>
      <c r="J857" s="317"/>
      <c r="K857" s="312"/>
      <c r="L857" s="312"/>
      <c r="M857" s="312"/>
      <c r="N857" s="312"/>
      <c r="O857" s="312"/>
      <c r="P857" s="318" t="str">
        <f t="shared" si="41"/>
        <v/>
      </c>
      <c r="Q857" s="205" t="str">
        <f t="shared" si="39"/>
        <v/>
      </c>
      <c r="R857" s="205"/>
      <c r="S857" s="319" t="str">
        <f t="shared" si="40"/>
        <v/>
      </c>
      <c r="U857" s="318"/>
      <c r="V857" s="794"/>
      <c r="W857" s="795"/>
      <c r="X857" s="482"/>
      <c r="Y857" s="482"/>
      <c r="Z857" s="482"/>
      <c r="AA857" s="319"/>
      <c r="AB857" s="220"/>
      <c r="AC857" s="318"/>
      <c r="AD857" s="319"/>
      <c r="AE857" s="220"/>
      <c r="AF857" s="320"/>
      <c r="AG857" s="205"/>
      <c r="AH857" s="205"/>
      <c r="AI857" s="205"/>
      <c r="AJ857" s="205"/>
      <c r="AK857" s="205"/>
      <c r="AL857" s="205"/>
      <c r="AM857" s="205"/>
      <c r="AN857" s="205"/>
      <c r="AO857" s="205"/>
      <c r="AP857" s="205"/>
      <c r="AQ857" s="205"/>
      <c r="AR857" s="205"/>
      <c r="AS857" s="205"/>
      <c r="AT857" s="205"/>
      <c r="AU857" s="205"/>
      <c r="AV857" s="205"/>
      <c r="AW857" s="205"/>
      <c r="AX857" s="205"/>
      <c r="AY857" s="205"/>
      <c r="AZ857" s="205"/>
      <c r="BA857" s="205"/>
      <c r="BB857" s="205"/>
      <c r="BC857" s="205"/>
      <c r="BD857" s="205"/>
      <c r="BE857" s="205"/>
      <c r="BF857" s="205"/>
      <c r="BG857" s="205"/>
      <c r="BH857" s="205"/>
      <c r="BI857" s="319"/>
    </row>
    <row r="858" spans="3:61" ht="15" customHeight="1">
      <c r="C858" s="325"/>
      <c r="D858" s="326"/>
      <c r="E858" s="311"/>
      <c r="F858" s="311"/>
      <c r="G858" s="311"/>
      <c r="H858" s="311"/>
      <c r="I858" s="311"/>
      <c r="J858" s="317"/>
      <c r="K858" s="312"/>
      <c r="L858" s="312"/>
      <c r="M858" s="312"/>
      <c r="N858" s="312"/>
      <c r="O858" s="312"/>
      <c r="P858" s="322" t="str">
        <f t="shared" si="41"/>
        <v/>
      </c>
      <c r="Q858" s="208" t="str">
        <f t="shared" si="39"/>
        <v/>
      </c>
      <c r="R858" s="208"/>
      <c r="S858" s="323" t="str">
        <f t="shared" si="40"/>
        <v/>
      </c>
      <c r="U858" s="322"/>
      <c r="V858" s="791"/>
      <c r="W858" s="792"/>
      <c r="X858" s="480"/>
      <c r="Y858" s="480"/>
      <c r="Z858" s="480"/>
      <c r="AA858" s="323"/>
      <c r="AB858" s="220"/>
      <c r="AC858" s="322"/>
      <c r="AD858" s="323"/>
      <c r="AE858" s="220"/>
      <c r="AF858" s="324"/>
      <c r="AG858" s="208"/>
      <c r="AH858" s="208"/>
      <c r="AI858" s="208"/>
      <c r="AJ858" s="208"/>
      <c r="AK858" s="208"/>
      <c r="AL858" s="208"/>
      <c r="AM858" s="208"/>
      <c r="AN858" s="208"/>
      <c r="AO858" s="208"/>
      <c r="AP858" s="208"/>
      <c r="AQ858" s="208"/>
      <c r="AR858" s="208"/>
      <c r="AS858" s="208"/>
      <c r="AT858" s="208"/>
      <c r="AU858" s="208"/>
      <c r="AV858" s="208"/>
      <c r="AW858" s="208"/>
      <c r="AX858" s="208"/>
      <c r="AY858" s="208"/>
      <c r="AZ858" s="208"/>
      <c r="BA858" s="208"/>
      <c r="BB858" s="208"/>
      <c r="BC858" s="208"/>
      <c r="BD858" s="208"/>
      <c r="BE858" s="208"/>
      <c r="BF858" s="208"/>
      <c r="BG858" s="208"/>
      <c r="BH858" s="208"/>
      <c r="BI858" s="323"/>
    </row>
    <row r="859" spans="3:61" ht="15" customHeight="1">
      <c r="C859" s="325"/>
      <c r="D859" s="326"/>
      <c r="E859" s="311"/>
      <c r="F859" s="311"/>
      <c r="G859" s="311"/>
      <c r="H859" s="311"/>
      <c r="I859" s="311"/>
      <c r="J859" s="317"/>
      <c r="K859" s="312"/>
      <c r="L859" s="312"/>
      <c r="M859" s="312"/>
      <c r="N859" s="312"/>
      <c r="O859" s="312"/>
      <c r="P859" s="318" t="str">
        <f t="shared" si="41"/>
        <v/>
      </c>
      <c r="Q859" s="205" t="str">
        <f t="shared" si="39"/>
        <v/>
      </c>
      <c r="R859" s="205"/>
      <c r="S859" s="319" t="str">
        <f t="shared" si="40"/>
        <v/>
      </c>
      <c r="U859" s="318"/>
      <c r="V859" s="794"/>
      <c r="W859" s="795"/>
      <c r="X859" s="482"/>
      <c r="Y859" s="482"/>
      <c r="Z859" s="482"/>
      <c r="AA859" s="319"/>
      <c r="AB859" s="220"/>
      <c r="AC859" s="318"/>
      <c r="AD859" s="319"/>
      <c r="AE859" s="220"/>
      <c r="AF859" s="320"/>
      <c r="AG859" s="205"/>
      <c r="AH859" s="205"/>
      <c r="AI859" s="205"/>
      <c r="AJ859" s="205"/>
      <c r="AK859" s="205"/>
      <c r="AL859" s="205"/>
      <c r="AM859" s="205"/>
      <c r="AN859" s="205"/>
      <c r="AO859" s="205"/>
      <c r="AP859" s="205"/>
      <c r="AQ859" s="205"/>
      <c r="AR859" s="205"/>
      <c r="AS859" s="205"/>
      <c r="AT859" s="205"/>
      <c r="AU859" s="205"/>
      <c r="AV859" s="205"/>
      <c r="AW859" s="205"/>
      <c r="AX859" s="205"/>
      <c r="AY859" s="205"/>
      <c r="AZ859" s="205"/>
      <c r="BA859" s="205"/>
      <c r="BB859" s="205"/>
      <c r="BC859" s="205"/>
      <c r="BD859" s="205"/>
      <c r="BE859" s="205"/>
      <c r="BF859" s="205"/>
      <c r="BG859" s="205"/>
      <c r="BH859" s="205"/>
      <c r="BI859" s="319"/>
    </row>
    <row r="860" spans="3:61" ht="15" customHeight="1">
      <c r="C860" s="325"/>
      <c r="D860" s="326"/>
      <c r="E860" s="311"/>
      <c r="F860" s="311"/>
      <c r="G860" s="311"/>
      <c r="H860" s="311"/>
      <c r="I860" s="311"/>
      <c r="J860" s="317"/>
      <c r="K860" s="312"/>
      <c r="L860" s="312"/>
      <c r="M860" s="312"/>
      <c r="N860" s="312"/>
      <c r="O860" s="312"/>
      <c r="P860" s="322" t="str">
        <f t="shared" si="41"/>
        <v/>
      </c>
      <c r="Q860" s="208" t="str">
        <f t="shared" si="39"/>
        <v/>
      </c>
      <c r="R860" s="208"/>
      <c r="S860" s="323" t="str">
        <f t="shared" si="40"/>
        <v/>
      </c>
      <c r="U860" s="322"/>
      <c r="V860" s="791"/>
      <c r="W860" s="792"/>
      <c r="X860" s="480"/>
      <c r="Y860" s="480"/>
      <c r="Z860" s="480"/>
      <c r="AA860" s="323"/>
      <c r="AB860" s="220"/>
      <c r="AC860" s="322"/>
      <c r="AD860" s="323"/>
      <c r="AE860" s="220"/>
      <c r="AF860" s="324"/>
      <c r="AG860" s="208"/>
      <c r="AH860" s="208"/>
      <c r="AI860" s="208"/>
      <c r="AJ860" s="208"/>
      <c r="AK860" s="208"/>
      <c r="AL860" s="208"/>
      <c r="AM860" s="208"/>
      <c r="AN860" s="208"/>
      <c r="AO860" s="208"/>
      <c r="AP860" s="208"/>
      <c r="AQ860" s="208"/>
      <c r="AR860" s="208"/>
      <c r="AS860" s="208"/>
      <c r="AT860" s="208"/>
      <c r="AU860" s="208"/>
      <c r="AV860" s="208"/>
      <c r="AW860" s="208"/>
      <c r="AX860" s="208"/>
      <c r="AY860" s="208"/>
      <c r="AZ860" s="208"/>
      <c r="BA860" s="208"/>
      <c r="BB860" s="208"/>
      <c r="BC860" s="208"/>
      <c r="BD860" s="208"/>
      <c r="BE860" s="208"/>
      <c r="BF860" s="208"/>
      <c r="BG860" s="208"/>
      <c r="BH860" s="208"/>
      <c r="BI860" s="323"/>
    </row>
    <row r="861" spans="3:61" ht="15" customHeight="1">
      <c r="C861" s="325"/>
      <c r="D861" s="326"/>
      <c r="E861" s="311"/>
      <c r="F861" s="311"/>
      <c r="G861" s="311"/>
      <c r="H861" s="311"/>
      <c r="I861" s="311"/>
      <c r="J861" s="317"/>
      <c r="K861" s="312"/>
      <c r="L861" s="312"/>
      <c r="M861" s="312"/>
      <c r="N861" s="312"/>
      <c r="O861" s="312"/>
      <c r="P861" s="318" t="str">
        <f t="shared" si="41"/>
        <v/>
      </c>
      <c r="Q861" s="205" t="str">
        <f t="shared" si="39"/>
        <v/>
      </c>
      <c r="R861" s="205"/>
      <c r="S861" s="319" t="str">
        <f t="shared" si="40"/>
        <v/>
      </c>
      <c r="U861" s="318"/>
      <c r="V861" s="794"/>
      <c r="W861" s="795"/>
      <c r="X861" s="482"/>
      <c r="Y861" s="482"/>
      <c r="Z861" s="482"/>
      <c r="AA861" s="319"/>
      <c r="AB861" s="220"/>
      <c r="AC861" s="318"/>
      <c r="AD861" s="319"/>
      <c r="AE861" s="220"/>
      <c r="AF861" s="320"/>
      <c r="AG861" s="205"/>
      <c r="AH861" s="205"/>
      <c r="AI861" s="205"/>
      <c r="AJ861" s="205"/>
      <c r="AK861" s="205"/>
      <c r="AL861" s="205"/>
      <c r="AM861" s="205"/>
      <c r="AN861" s="205"/>
      <c r="AO861" s="205"/>
      <c r="AP861" s="205"/>
      <c r="AQ861" s="205"/>
      <c r="AR861" s="205"/>
      <c r="AS861" s="205"/>
      <c r="AT861" s="205"/>
      <c r="AU861" s="205"/>
      <c r="AV861" s="205"/>
      <c r="AW861" s="205"/>
      <c r="AX861" s="205"/>
      <c r="AY861" s="205"/>
      <c r="AZ861" s="205"/>
      <c r="BA861" s="205"/>
      <c r="BB861" s="205"/>
      <c r="BC861" s="205"/>
      <c r="BD861" s="205"/>
      <c r="BE861" s="205"/>
      <c r="BF861" s="205"/>
      <c r="BG861" s="205"/>
      <c r="BH861" s="205"/>
      <c r="BI861" s="319"/>
    </row>
    <row r="862" spans="3:61" ht="15" customHeight="1">
      <c r="C862" s="325"/>
      <c r="D862" s="326"/>
      <c r="E862" s="311"/>
      <c r="F862" s="311"/>
      <c r="G862" s="311"/>
      <c r="H862" s="311"/>
      <c r="I862" s="311"/>
      <c r="J862" s="317"/>
      <c r="K862" s="312"/>
      <c r="L862" s="312"/>
      <c r="M862" s="312"/>
      <c r="N862" s="312"/>
      <c r="O862" s="312"/>
      <c r="P862" s="322" t="str">
        <f t="shared" si="41"/>
        <v/>
      </c>
      <c r="Q862" s="208" t="str">
        <f t="shared" si="39"/>
        <v/>
      </c>
      <c r="R862" s="208"/>
      <c r="S862" s="323" t="str">
        <f t="shared" si="40"/>
        <v/>
      </c>
      <c r="U862" s="322"/>
      <c r="V862" s="791"/>
      <c r="W862" s="792"/>
      <c r="X862" s="480"/>
      <c r="Y862" s="480"/>
      <c r="Z862" s="480"/>
      <c r="AA862" s="323"/>
      <c r="AB862" s="220"/>
      <c r="AC862" s="322"/>
      <c r="AD862" s="323"/>
      <c r="AE862" s="220"/>
      <c r="AF862" s="324"/>
      <c r="AG862" s="208"/>
      <c r="AH862" s="208"/>
      <c r="AI862" s="208"/>
      <c r="AJ862" s="208"/>
      <c r="AK862" s="208"/>
      <c r="AL862" s="208"/>
      <c r="AM862" s="208"/>
      <c r="AN862" s="208"/>
      <c r="AO862" s="208"/>
      <c r="AP862" s="208"/>
      <c r="AQ862" s="208"/>
      <c r="AR862" s="208"/>
      <c r="AS862" s="208"/>
      <c r="AT862" s="208"/>
      <c r="AU862" s="208"/>
      <c r="AV862" s="208"/>
      <c r="AW862" s="208"/>
      <c r="AX862" s="208"/>
      <c r="AY862" s="208"/>
      <c r="AZ862" s="208"/>
      <c r="BA862" s="208"/>
      <c r="BB862" s="208"/>
      <c r="BC862" s="208"/>
      <c r="BD862" s="208"/>
      <c r="BE862" s="208"/>
      <c r="BF862" s="208"/>
      <c r="BG862" s="208"/>
      <c r="BH862" s="208"/>
      <c r="BI862" s="323"/>
    </row>
    <row r="863" spans="3:61" ht="15" customHeight="1">
      <c r="C863" s="325"/>
      <c r="D863" s="326"/>
      <c r="E863" s="311"/>
      <c r="F863" s="311"/>
      <c r="G863" s="311"/>
      <c r="H863" s="311"/>
      <c r="I863" s="311"/>
      <c r="J863" s="317"/>
      <c r="K863" s="312"/>
      <c r="L863" s="312"/>
      <c r="M863" s="312"/>
      <c r="N863" s="312"/>
      <c r="O863" s="312"/>
      <c r="P863" s="318" t="str">
        <f t="shared" si="41"/>
        <v/>
      </c>
      <c r="Q863" s="205" t="str">
        <f t="shared" si="39"/>
        <v/>
      </c>
      <c r="R863" s="205"/>
      <c r="S863" s="319" t="str">
        <f t="shared" si="40"/>
        <v/>
      </c>
      <c r="U863" s="318"/>
      <c r="V863" s="794"/>
      <c r="W863" s="795"/>
      <c r="X863" s="482"/>
      <c r="Y863" s="482"/>
      <c r="Z863" s="482"/>
      <c r="AA863" s="319"/>
      <c r="AB863" s="220"/>
      <c r="AC863" s="318"/>
      <c r="AD863" s="319"/>
      <c r="AE863" s="220"/>
      <c r="AF863" s="320"/>
      <c r="AG863" s="205"/>
      <c r="AH863" s="205"/>
      <c r="AI863" s="205"/>
      <c r="AJ863" s="205"/>
      <c r="AK863" s="205"/>
      <c r="AL863" s="205"/>
      <c r="AM863" s="205"/>
      <c r="AN863" s="205"/>
      <c r="AO863" s="205"/>
      <c r="AP863" s="205"/>
      <c r="AQ863" s="205"/>
      <c r="AR863" s="205"/>
      <c r="AS863" s="205"/>
      <c r="AT863" s="205"/>
      <c r="AU863" s="205"/>
      <c r="AV863" s="205"/>
      <c r="AW863" s="205"/>
      <c r="AX863" s="205"/>
      <c r="AY863" s="205"/>
      <c r="AZ863" s="205"/>
      <c r="BA863" s="205"/>
      <c r="BB863" s="205"/>
      <c r="BC863" s="205"/>
      <c r="BD863" s="205"/>
      <c r="BE863" s="205"/>
      <c r="BF863" s="205"/>
      <c r="BG863" s="205"/>
      <c r="BH863" s="205"/>
      <c r="BI863" s="319"/>
    </row>
    <row r="864" spans="3:61" ht="15" customHeight="1">
      <c r="C864" s="325"/>
      <c r="D864" s="326"/>
      <c r="E864" s="311"/>
      <c r="F864" s="311"/>
      <c r="G864" s="311"/>
      <c r="H864" s="311"/>
      <c r="I864" s="311"/>
      <c r="J864" s="317"/>
      <c r="K864" s="312"/>
      <c r="L864" s="312"/>
      <c r="M864" s="312"/>
      <c r="N864" s="312"/>
      <c r="O864" s="312"/>
      <c r="P864" s="322" t="str">
        <f t="shared" si="41"/>
        <v/>
      </c>
      <c r="Q864" s="208" t="str">
        <f t="shared" si="39"/>
        <v/>
      </c>
      <c r="R864" s="208"/>
      <c r="S864" s="323" t="str">
        <f t="shared" si="40"/>
        <v/>
      </c>
      <c r="U864" s="322"/>
      <c r="V864" s="791"/>
      <c r="W864" s="792"/>
      <c r="X864" s="480"/>
      <c r="Y864" s="480"/>
      <c r="Z864" s="480"/>
      <c r="AA864" s="323"/>
      <c r="AB864" s="220"/>
      <c r="AC864" s="322"/>
      <c r="AD864" s="323"/>
      <c r="AE864" s="220"/>
      <c r="AF864" s="324"/>
      <c r="AG864" s="208"/>
      <c r="AH864" s="208"/>
      <c r="AI864" s="208"/>
      <c r="AJ864" s="208"/>
      <c r="AK864" s="208"/>
      <c r="AL864" s="208"/>
      <c r="AM864" s="208"/>
      <c r="AN864" s="208"/>
      <c r="AO864" s="208"/>
      <c r="AP864" s="208"/>
      <c r="AQ864" s="208"/>
      <c r="AR864" s="208"/>
      <c r="AS864" s="208"/>
      <c r="AT864" s="208"/>
      <c r="AU864" s="208"/>
      <c r="AV864" s="208"/>
      <c r="AW864" s="208"/>
      <c r="AX864" s="208"/>
      <c r="AY864" s="208"/>
      <c r="AZ864" s="208"/>
      <c r="BA864" s="208"/>
      <c r="BB864" s="208"/>
      <c r="BC864" s="208"/>
      <c r="BD864" s="208"/>
      <c r="BE864" s="208"/>
      <c r="BF864" s="208"/>
      <c r="BG864" s="208"/>
      <c r="BH864" s="208"/>
      <c r="BI864" s="323"/>
    </row>
    <row r="865" spans="3:61" ht="15" customHeight="1">
      <c r="C865" s="325"/>
      <c r="D865" s="326"/>
      <c r="E865" s="311"/>
      <c r="F865" s="311"/>
      <c r="G865" s="311"/>
      <c r="H865" s="311"/>
      <c r="I865" s="311"/>
      <c r="J865" s="317"/>
      <c r="K865" s="312"/>
      <c r="L865" s="312"/>
      <c r="M865" s="312"/>
      <c r="N865" s="312"/>
      <c r="O865" s="312"/>
      <c r="P865" s="318" t="str">
        <f t="shared" si="41"/>
        <v/>
      </c>
      <c r="Q865" s="205" t="str">
        <f t="shared" si="39"/>
        <v/>
      </c>
      <c r="R865" s="205"/>
      <c r="S865" s="319" t="str">
        <f t="shared" si="40"/>
        <v/>
      </c>
      <c r="U865" s="318"/>
      <c r="V865" s="794"/>
      <c r="W865" s="795"/>
      <c r="X865" s="482"/>
      <c r="Y865" s="482"/>
      <c r="Z865" s="482"/>
      <c r="AA865" s="319"/>
      <c r="AB865" s="220"/>
      <c r="AC865" s="318"/>
      <c r="AD865" s="319"/>
      <c r="AE865" s="220"/>
      <c r="AF865" s="320"/>
      <c r="AG865" s="205"/>
      <c r="AH865" s="205"/>
      <c r="AI865" s="205"/>
      <c r="AJ865" s="205"/>
      <c r="AK865" s="205"/>
      <c r="AL865" s="205"/>
      <c r="AM865" s="205"/>
      <c r="AN865" s="205"/>
      <c r="AO865" s="205"/>
      <c r="AP865" s="205"/>
      <c r="AQ865" s="205"/>
      <c r="AR865" s="205"/>
      <c r="AS865" s="205"/>
      <c r="AT865" s="205"/>
      <c r="AU865" s="205"/>
      <c r="AV865" s="205"/>
      <c r="AW865" s="205"/>
      <c r="AX865" s="205"/>
      <c r="AY865" s="205"/>
      <c r="AZ865" s="205"/>
      <c r="BA865" s="205"/>
      <c r="BB865" s="205"/>
      <c r="BC865" s="205"/>
      <c r="BD865" s="205"/>
      <c r="BE865" s="205"/>
      <c r="BF865" s="205"/>
      <c r="BG865" s="205"/>
      <c r="BH865" s="205"/>
      <c r="BI865" s="319"/>
    </row>
    <row r="866" spans="3:61" ht="15" customHeight="1">
      <c r="C866" s="325"/>
      <c r="D866" s="326"/>
      <c r="E866" s="311"/>
      <c r="F866" s="311"/>
      <c r="G866" s="311"/>
      <c r="H866" s="311"/>
      <c r="I866" s="311"/>
      <c r="J866" s="317"/>
      <c r="K866" s="312"/>
      <c r="L866" s="312"/>
      <c r="M866" s="312"/>
      <c r="N866" s="312"/>
      <c r="O866" s="312"/>
      <c r="P866" s="322" t="str">
        <f t="shared" si="41"/>
        <v/>
      </c>
      <c r="Q866" s="208" t="str">
        <f t="shared" si="39"/>
        <v/>
      </c>
      <c r="R866" s="208"/>
      <c r="S866" s="323" t="str">
        <f t="shared" si="40"/>
        <v/>
      </c>
      <c r="U866" s="322"/>
      <c r="V866" s="791"/>
      <c r="W866" s="792"/>
      <c r="X866" s="480"/>
      <c r="Y866" s="480"/>
      <c r="Z866" s="480"/>
      <c r="AA866" s="323"/>
      <c r="AB866" s="220"/>
      <c r="AC866" s="322"/>
      <c r="AD866" s="323"/>
      <c r="AE866" s="220"/>
      <c r="AF866" s="324"/>
      <c r="AG866" s="208"/>
      <c r="AH866" s="208"/>
      <c r="AI866" s="208"/>
      <c r="AJ866" s="208"/>
      <c r="AK866" s="208"/>
      <c r="AL866" s="208"/>
      <c r="AM866" s="208"/>
      <c r="AN866" s="208"/>
      <c r="AO866" s="208"/>
      <c r="AP866" s="208"/>
      <c r="AQ866" s="208"/>
      <c r="AR866" s="208"/>
      <c r="AS866" s="208"/>
      <c r="AT866" s="208"/>
      <c r="AU866" s="208"/>
      <c r="AV866" s="208"/>
      <c r="AW866" s="208"/>
      <c r="AX866" s="208"/>
      <c r="AY866" s="208"/>
      <c r="AZ866" s="208"/>
      <c r="BA866" s="208"/>
      <c r="BB866" s="208"/>
      <c r="BC866" s="208"/>
      <c r="BD866" s="208"/>
      <c r="BE866" s="208"/>
      <c r="BF866" s="208"/>
      <c r="BG866" s="208"/>
      <c r="BH866" s="208"/>
      <c r="BI866" s="323"/>
    </row>
    <row r="867" spans="3:61" ht="15" customHeight="1">
      <c r="C867" s="325"/>
      <c r="D867" s="326"/>
      <c r="E867" s="311"/>
      <c r="F867" s="311"/>
      <c r="G867" s="311"/>
      <c r="H867" s="311"/>
      <c r="I867" s="311"/>
      <c r="J867" s="317"/>
      <c r="K867" s="312"/>
      <c r="L867" s="312"/>
      <c r="M867" s="312"/>
      <c r="N867" s="312"/>
      <c r="O867" s="312"/>
      <c r="P867" s="318" t="str">
        <f t="shared" si="41"/>
        <v/>
      </c>
      <c r="Q867" s="205" t="str">
        <f t="shared" si="39"/>
        <v/>
      </c>
      <c r="R867" s="205"/>
      <c r="S867" s="319" t="str">
        <f t="shared" si="40"/>
        <v/>
      </c>
      <c r="U867" s="318"/>
      <c r="V867" s="794"/>
      <c r="W867" s="795"/>
      <c r="X867" s="482"/>
      <c r="Y867" s="482"/>
      <c r="Z867" s="482"/>
      <c r="AA867" s="319"/>
      <c r="AB867" s="220"/>
      <c r="AC867" s="318"/>
      <c r="AD867" s="319"/>
      <c r="AE867" s="220"/>
      <c r="AF867" s="320"/>
      <c r="AG867" s="205"/>
      <c r="AH867" s="205"/>
      <c r="AI867" s="205"/>
      <c r="AJ867" s="205"/>
      <c r="AK867" s="205"/>
      <c r="AL867" s="205"/>
      <c r="AM867" s="205"/>
      <c r="AN867" s="205"/>
      <c r="AO867" s="205"/>
      <c r="AP867" s="205"/>
      <c r="AQ867" s="205"/>
      <c r="AR867" s="205"/>
      <c r="AS867" s="205"/>
      <c r="AT867" s="205"/>
      <c r="AU867" s="205"/>
      <c r="AV867" s="205"/>
      <c r="AW867" s="205"/>
      <c r="AX867" s="205"/>
      <c r="AY867" s="205"/>
      <c r="AZ867" s="205"/>
      <c r="BA867" s="205"/>
      <c r="BB867" s="205"/>
      <c r="BC867" s="205"/>
      <c r="BD867" s="205"/>
      <c r="BE867" s="205"/>
      <c r="BF867" s="205"/>
      <c r="BG867" s="205"/>
      <c r="BH867" s="205"/>
      <c r="BI867" s="319"/>
    </row>
    <row r="868" spans="3:61" ht="15" customHeight="1">
      <c r="C868" s="325"/>
      <c r="D868" s="326"/>
      <c r="E868" s="311"/>
      <c r="F868" s="311"/>
      <c r="G868" s="311"/>
      <c r="H868" s="311"/>
      <c r="I868" s="311"/>
      <c r="J868" s="317"/>
      <c r="K868" s="312"/>
      <c r="L868" s="312"/>
      <c r="M868" s="312"/>
      <c r="N868" s="312"/>
      <c r="O868" s="312"/>
      <c r="P868" s="322" t="str">
        <f t="shared" si="41"/>
        <v/>
      </c>
      <c r="Q868" s="208" t="str">
        <f t="shared" si="39"/>
        <v/>
      </c>
      <c r="R868" s="208"/>
      <c r="S868" s="323" t="str">
        <f t="shared" si="40"/>
        <v/>
      </c>
      <c r="U868" s="322"/>
      <c r="V868" s="791"/>
      <c r="W868" s="792"/>
      <c r="X868" s="480"/>
      <c r="Y868" s="480"/>
      <c r="Z868" s="480"/>
      <c r="AA868" s="323"/>
      <c r="AB868" s="220"/>
      <c r="AC868" s="322"/>
      <c r="AD868" s="323"/>
      <c r="AE868" s="220"/>
      <c r="AF868" s="324"/>
      <c r="AG868" s="208"/>
      <c r="AH868" s="208"/>
      <c r="AI868" s="208"/>
      <c r="AJ868" s="208"/>
      <c r="AK868" s="208"/>
      <c r="AL868" s="208"/>
      <c r="AM868" s="208"/>
      <c r="AN868" s="208"/>
      <c r="AO868" s="208"/>
      <c r="AP868" s="208"/>
      <c r="AQ868" s="208"/>
      <c r="AR868" s="208"/>
      <c r="AS868" s="208"/>
      <c r="AT868" s="208"/>
      <c r="AU868" s="208"/>
      <c r="AV868" s="208"/>
      <c r="AW868" s="208"/>
      <c r="AX868" s="208"/>
      <c r="AY868" s="208"/>
      <c r="AZ868" s="208"/>
      <c r="BA868" s="208"/>
      <c r="BB868" s="208"/>
      <c r="BC868" s="208"/>
      <c r="BD868" s="208"/>
      <c r="BE868" s="208"/>
      <c r="BF868" s="208"/>
      <c r="BG868" s="208"/>
      <c r="BH868" s="208"/>
      <c r="BI868" s="323"/>
    </row>
    <row r="869" spans="3:61" ht="15" customHeight="1">
      <c r="C869" s="325"/>
      <c r="D869" s="326"/>
      <c r="E869" s="311"/>
      <c r="F869" s="311"/>
      <c r="G869" s="311"/>
      <c r="H869" s="311"/>
      <c r="I869" s="311"/>
      <c r="J869" s="317"/>
      <c r="K869" s="312"/>
      <c r="L869" s="312"/>
      <c r="M869" s="312"/>
      <c r="N869" s="312"/>
      <c r="O869" s="312"/>
      <c r="P869" s="318" t="str">
        <f t="shared" si="41"/>
        <v/>
      </c>
      <c r="Q869" s="205" t="str">
        <f t="shared" si="39"/>
        <v/>
      </c>
      <c r="R869" s="205"/>
      <c r="S869" s="319" t="str">
        <f t="shared" si="40"/>
        <v/>
      </c>
      <c r="U869" s="318"/>
      <c r="V869" s="794"/>
      <c r="W869" s="795"/>
      <c r="X869" s="482"/>
      <c r="Y869" s="482"/>
      <c r="Z869" s="482"/>
      <c r="AA869" s="319"/>
      <c r="AB869" s="220"/>
      <c r="AC869" s="318"/>
      <c r="AD869" s="319"/>
      <c r="AE869" s="220"/>
      <c r="AF869" s="320"/>
      <c r="AG869" s="205"/>
      <c r="AH869" s="205"/>
      <c r="AI869" s="205"/>
      <c r="AJ869" s="205"/>
      <c r="AK869" s="205"/>
      <c r="AL869" s="205"/>
      <c r="AM869" s="205"/>
      <c r="AN869" s="205"/>
      <c r="AO869" s="205"/>
      <c r="AP869" s="205"/>
      <c r="AQ869" s="205"/>
      <c r="AR869" s="205"/>
      <c r="AS869" s="205"/>
      <c r="AT869" s="205"/>
      <c r="AU869" s="205"/>
      <c r="AV869" s="205"/>
      <c r="AW869" s="205"/>
      <c r="AX869" s="205"/>
      <c r="AY869" s="205"/>
      <c r="AZ869" s="205"/>
      <c r="BA869" s="205"/>
      <c r="BB869" s="205"/>
      <c r="BC869" s="205"/>
      <c r="BD869" s="205"/>
      <c r="BE869" s="205"/>
      <c r="BF869" s="205"/>
      <c r="BG869" s="205"/>
      <c r="BH869" s="205"/>
      <c r="BI869" s="319"/>
    </row>
    <row r="870" spans="3:61" ht="15" customHeight="1">
      <c r="C870" s="325"/>
      <c r="D870" s="326"/>
      <c r="E870" s="311"/>
      <c r="F870" s="311"/>
      <c r="G870" s="311"/>
      <c r="H870" s="311"/>
      <c r="I870" s="311"/>
      <c r="J870" s="317"/>
      <c r="K870" s="312"/>
      <c r="L870" s="312"/>
      <c r="M870" s="312"/>
      <c r="N870" s="312"/>
      <c r="O870" s="312"/>
      <c r="P870" s="322" t="str">
        <f t="shared" si="41"/>
        <v/>
      </c>
      <c r="Q870" s="208" t="str">
        <f t="shared" si="39"/>
        <v/>
      </c>
      <c r="R870" s="208"/>
      <c r="S870" s="323" t="str">
        <f t="shared" si="40"/>
        <v/>
      </c>
      <c r="U870" s="322"/>
      <c r="V870" s="791"/>
      <c r="W870" s="792"/>
      <c r="X870" s="480"/>
      <c r="Y870" s="480"/>
      <c r="Z870" s="480"/>
      <c r="AA870" s="323"/>
      <c r="AB870" s="220"/>
      <c r="AC870" s="322"/>
      <c r="AD870" s="323"/>
      <c r="AE870" s="220"/>
      <c r="AF870" s="324"/>
      <c r="AG870" s="208"/>
      <c r="AH870" s="208"/>
      <c r="AI870" s="208"/>
      <c r="AJ870" s="208"/>
      <c r="AK870" s="208"/>
      <c r="AL870" s="208"/>
      <c r="AM870" s="208"/>
      <c r="AN870" s="208"/>
      <c r="AO870" s="208"/>
      <c r="AP870" s="208"/>
      <c r="AQ870" s="208"/>
      <c r="AR870" s="208"/>
      <c r="AS870" s="208"/>
      <c r="AT870" s="208"/>
      <c r="AU870" s="208"/>
      <c r="AV870" s="208"/>
      <c r="AW870" s="208"/>
      <c r="AX870" s="208"/>
      <c r="AY870" s="208"/>
      <c r="AZ870" s="208"/>
      <c r="BA870" s="208"/>
      <c r="BB870" s="208"/>
      <c r="BC870" s="208"/>
      <c r="BD870" s="208"/>
      <c r="BE870" s="208"/>
      <c r="BF870" s="208"/>
      <c r="BG870" s="208"/>
      <c r="BH870" s="208"/>
      <c r="BI870" s="323"/>
    </row>
    <row r="871" spans="3:61" ht="15" customHeight="1">
      <c r="C871" s="325"/>
      <c r="D871" s="326"/>
      <c r="E871" s="311"/>
      <c r="F871" s="311"/>
      <c r="G871" s="311"/>
      <c r="H871" s="311"/>
      <c r="I871" s="311"/>
      <c r="J871" s="317"/>
      <c r="K871" s="312"/>
      <c r="L871" s="312"/>
      <c r="M871" s="312"/>
      <c r="N871" s="312"/>
      <c r="O871" s="312"/>
      <c r="P871" s="318" t="str">
        <f t="shared" si="41"/>
        <v/>
      </c>
      <c r="Q871" s="205" t="str">
        <f t="shared" si="39"/>
        <v/>
      </c>
      <c r="R871" s="205"/>
      <c r="S871" s="319" t="str">
        <f t="shared" si="40"/>
        <v/>
      </c>
      <c r="U871" s="318"/>
      <c r="V871" s="794"/>
      <c r="W871" s="795"/>
      <c r="X871" s="482"/>
      <c r="Y871" s="482"/>
      <c r="Z871" s="482"/>
      <c r="AA871" s="319"/>
      <c r="AB871" s="220"/>
      <c r="AC871" s="318"/>
      <c r="AD871" s="319"/>
      <c r="AE871" s="220"/>
      <c r="AF871" s="320"/>
      <c r="AG871" s="205"/>
      <c r="AH871" s="205"/>
      <c r="AI871" s="205"/>
      <c r="AJ871" s="205"/>
      <c r="AK871" s="205"/>
      <c r="AL871" s="205"/>
      <c r="AM871" s="205"/>
      <c r="AN871" s="205"/>
      <c r="AO871" s="205"/>
      <c r="AP871" s="205"/>
      <c r="AQ871" s="205"/>
      <c r="AR871" s="205"/>
      <c r="AS871" s="205"/>
      <c r="AT871" s="205"/>
      <c r="AU871" s="205"/>
      <c r="AV871" s="205"/>
      <c r="AW871" s="205"/>
      <c r="AX871" s="205"/>
      <c r="AY871" s="205"/>
      <c r="AZ871" s="205"/>
      <c r="BA871" s="205"/>
      <c r="BB871" s="205"/>
      <c r="BC871" s="205"/>
      <c r="BD871" s="205"/>
      <c r="BE871" s="205"/>
      <c r="BF871" s="205"/>
      <c r="BG871" s="205"/>
      <c r="BH871" s="205"/>
      <c r="BI871" s="319"/>
    </row>
    <row r="872" spans="3:61" ht="15" customHeight="1">
      <c r="C872" s="325"/>
      <c r="D872" s="326"/>
      <c r="E872" s="311"/>
      <c r="F872" s="311"/>
      <c r="G872" s="311"/>
      <c r="H872" s="311"/>
      <c r="I872" s="311"/>
      <c r="J872" s="317"/>
      <c r="K872" s="312"/>
      <c r="L872" s="312"/>
      <c r="M872" s="312"/>
      <c r="N872" s="312"/>
      <c r="O872" s="312"/>
      <c r="P872" s="322" t="str">
        <f t="shared" si="41"/>
        <v/>
      </c>
      <c r="Q872" s="208" t="str">
        <f t="shared" si="39"/>
        <v/>
      </c>
      <c r="R872" s="208"/>
      <c r="S872" s="323" t="str">
        <f t="shared" si="40"/>
        <v/>
      </c>
      <c r="U872" s="322"/>
      <c r="V872" s="791"/>
      <c r="W872" s="792"/>
      <c r="X872" s="480"/>
      <c r="Y872" s="480"/>
      <c r="Z872" s="480"/>
      <c r="AA872" s="323"/>
      <c r="AB872" s="220"/>
      <c r="AC872" s="322"/>
      <c r="AD872" s="323"/>
      <c r="AE872" s="220"/>
      <c r="AF872" s="324"/>
      <c r="AG872" s="208"/>
      <c r="AH872" s="208"/>
      <c r="AI872" s="208"/>
      <c r="AJ872" s="208"/>
      <c r="AK872" s="208"/>
      <c r="AL872" s="208"/>
      <c r="AM872" s="208"/>
      <c r="AN872" s="208"/>
      <c r="AO872" s="208"/>
      <c r="AP872" s="208"/>
      <c r="AQ872" s="208"/>
      <c r="AR872" s="208"/>
      <c r="AS872" s="208"/>
      <c r="AT872" s="208"/>
      <c r="AU872" s="208"/>
      <c r="AV872" s="208"/>
      <c r="AW872" s="208"/>
      <c r="AX872" s="208"/>
      <c r="AY872" s="208"/>
      <c r="AZ872" s="208"/>
      <c r="BA872" s="208"/>
      <c r="BB872" s="208"/>
      <c r="BC872" s="208"/>
      <c r="BD872" s="208"/>
      <c r="BE872" s="208"/>
      <c r="BF872" s="208"/>
      <c r="BG872" s="208"/>
      <c r="BH872" s="208"/>
      <c r="BI872" s="323"/>
    </row>
    <row r="873" spans="3:61" ht="15" customHeight="1">
      <c r="C873" s="325"/>
      <c r="D873" s="326"/>
      <c r="E873" s="311"/>
      <c r="F873" s="311"/>
      <c r="G873" s="311"/>
      <c r="H873" s="311"/>
      <c r="I873" s="311"/>
      <c r="J873" s="317"/>
      <c r="K873" s="312"/>
      <c r="L873" s="312"/>
      <c r="M873" s="312"/>
      <c r="N873" s="312"/>
      <c r="O873" s="312"/>
      <c r="P873" s="318" t="str">
        <f t="shared" si="41"/>
        <v/>
      </c>
      <c r="Q873" s="205" t="str">
        <f t="shared" si="39"/>
        <v/>
      </c>
      <c r="R873" s="205"/>
      <c r="S873" s="319" t="str">
        <f t="shared" si="40"/>
        <v/>
      </c>
      <c r="U873" s="318"/>
      <c r="V873" s="794"/>
      <c r="W873" s="795"/>
      <c r="X873" s="482"/>
      <c r="Y873" s="482"/>
      <c r="Z873" s="482"/>
      <c r="AA873" s="319"/>
      <c r="AB873" s="220"/>
      <c r="AC873" s="318"/>
      <c r="AD873" s="319"/>
      <c r="AE873" s="220"/>
      <c r="AF873" s="320"/>
      <c r="AG873" s="205"/>
      <c r="AH873" s="205"/>
      <c r="AI873" s="205"/>
      <c r="AJ873" s="205"/>
      <c r="AK873" s="205"/>
      <c r="AL873" s="205"/>
      <c r="AM873" s="205"/>
      <c r="AN873" s="205"/>
      <c r="AO873" s="205"/>
      <c r="AP873" s="205"/>
      <c r="AQ873" s="205"/>
      <c r="AR873" s="205"/>
      <c r="AS873" s="205"/>
      <c r="AT873" s="205"/>
      <c r="AU873" s="205"/>
      <c r="AV873" s="205"/>
      <c r="AW873" s="205"/>
      <c r="AX873" s="205"/>
      <c r="AY873" s="205"/>
      <c r="AZ873" s="205"/>
      <c r="BA873" s="205"/>
      <c r="BB873" s="205"/>
      <c r="BC873" s="205"/>
      <c r="BD873" s="205"/>
      <c r="BE873" s="205"/>
      <c r="BF873" s="205"/>
      <c r="BG873" s="205"/>
      <c r="BH873" s="205"/>
      <c r="BI873" s="319"/>
    </row>
    <row r="874" spans="3:61" ht="15" customHeight="1">
      <c r="C874" s="325"/>
      <c r="D874" s="326"/>
      <c r="E874" s="311"/>
      <c r="F874" s="311"/>
      <c r="G874" s="311"/>
      <c r="H874" s="311"/>
      <c r="I874" s="311"/>
      <c r="J874" s="317"/>
      <c r="K874" s="312"/>
      <c r="L874" s="312"/>
      <c r="M874" s="312"/>
      <c r="N874" s="312"/>
      <c r="O874" s="312"/>
      <c r="P874" s="322" t="str">
        <f t="shared" si="41"/>
        <v/>
      </c>
      <c r="Q874" s="208" t="str">
        <f t="shared" si="39"/>
        <v/>
      </c>
      <c r="R874" s="208"/>
      <c r="S874" s="323" t="str">
        <f t="shared" si="40"/>
        <v/>
      </c>
      <c r="U874" s="322"/>
      <c r="V874" s="791"/>
      <c r="W874" s="792"/>
      <c r="X874" s="480"/>
      <c r="Y874" s="480"/>
      <c r="Z874" s="480"/>
      <c r="AA874" s="323"/>
      <c r="AB874" s="220"/>
      <c r="AC874" s="322"/>
      <c r="AD874" s="323"/>
      <c r="AE874" s="220"/>
      <c r="AF874" s="324"/>
      <c r="AG874" s="208"/>
      <c r="AH874" s="208"/>
      <c r="AI874" s="208"/>
      <c r="AJ874" s="208"/>
      <c r="AK874" s="208"/>
      <c r="AL874" s="208"/>
      <c r="AM874" s="208"/>
      <c r="AN874" s="208"/>
      <c r="AO874" s="208"/>
      <c r="AP874" s="208"/>
      <c r="AQ874" s="208"/>
      <c r="AR874" s="208"/>
      <c r="AS874" s="208"/>
      <c r="AT874" s="208"/>
      <c r="AU874" s="208"/>
      <c r="AV874" s="208"/>
      <c r="AW874" s="208"/>
      <c r="AX874" s="208"/>
      <c r="AY874" s="208"/>
      <c r="AZ874" s="208"/>
      <c r="BA874" s="208"/>
      <c r="BB874" s="208"/>
      <c r="BC874" s="208"/>
      <c r="BD874" s="208"/>
      <c r="BE874" s="208"/>
      <c r="BF874" s="208"/>
      <c r="BG874" s="208"/>
      <c r="BH874" s="208"/>
      <c r="BI874" s="323"/>
    </row>
    <row r="875" spans="3:61" ht="15" customHeight="1">
      <c r="C875" s="325"/>
      <c r="D875" s="326"/>
      <c r="E875" s="311"/>
      <c r="F875" s="311"/>
      <c r="G875" s="311"/>
      <c r="H875" s="311"/>
      <c r="I875" s="311"/>
      <c r="J875" s="317"/>
      <c r="K875" s="312"/>
      <c r="L875" s="312"/>
      <c r="M875" s="312"/>
      <c r="N875" s="312"/>
      <c r="O875" s="312"/>
      <c r="P875" s="318" t="str">
        <f t="shared" si="41"/>
        <v/>
      </c>
      <c r="Q875" s="205" t="str">
        <f t="shared" si="39"/>
        <v/>
      </c>
      <c r="R875" s="205"/>
      <c r="S875" s="319" t="str">
        <f t="shared" si="40"/>
        <v/>
      </c>
      <c r="U875" s="318"/>
      <c r="V875" s="794"/>
      <c r="W875" s="795"/>
      <c r="X875" s="482"/>
      <c r="Y875" s="482"/>
      <c r="Z875" s="482"/>
      <c r="AA875" s="319"/>
      <c r="AB875" s="220"/>
      <c r="AC875" s="318"/>
      <c r="AD875" s="319"/>
      <c r="AE875" s="220"/>
      <c r="AF875" s="320"/>
      <c r="AG875" s="205"/>
      <c r="AH875" s="205"/>
      <c r="AI875" s="205"/>
      <c r="AJ875" s="205"/>
      <c r="AK875" s="205"/>
      <c r="AL875" s="205"/>
      <c r="AM875" s="205"/>
      <c r="AN875" s="205"/>
      <c r="AO875" s="205"/>
      <c r="AP875" s="205"/>
      <c r="AQ875" s="205"/>
      <c r="AR875" s="205"/>
      <c r="AS875" s="205"/>
      <c r="AT875" s="205"/>
      <c r="AU875" s="205"/>
      <c r="AV875" s="205"/>
      <c r="AW875" s="205"/>
      <c r="AX875" s="205"/>
      <c r="AY875" s="205"/>
      <c r="AZ875" s="205"/>
      <c r="BA875" s="205"/>
      <c r="BB875" s="205"/>
      <c r="BC875" s="205"/>
      <c r="BD875" s="205"/>
      <c r="BE875" s="205"/>
      <c r="BF875" s="205"/>
      <c r="BG875" s="205"/>
      <c r="BH875" s="205"/>
      <c r="BI875" s="319"/>
    </row>
    <row r="876" spans="3:61" ht="15" customHeight="1">
      <c r="C876" s="325"/>
      <c r="D876" s="326"/>
      <c r="E876" s="311"/>
      <c r="F876" s="311"/>
      <c r="G876" s="311"/>
      <c r="H876" s="311"/>
      <c r="I876" s="311"/>
      <c r="J876" s="317"/>
      <c r="K876" s="312"/>
      <c r="L876" s="312"/>
      <c r="M876" s="312"/>
      <c r="N876" s="312"/>
      <c r="O876" s="312"/>
      <c r="P876" s="322" t="str">
        <f t="shared" si="41"/>
        <v/>
      </c>
      <c r="Q876" s="208" t="str">
        <f t="shared" si="39"/>
        <v/>
      </c>
      <c r="R876" s="208"/>
      <c r="S876" s="323" t="str">
        <f t="shared" si="40"/>
        <v/>
      </c>
      <c r="U876" s="322"/>
      <c r="V876" s="791"/>
      <c r="W876" s="792"/>
      <c r="X876" s="480"/>
      <c r="Y876" s="480"/>
      <c r="Z876" s="480"/>
      <c r="AA876" s="323"/>
      <c r="AB876" s="220"/>
      <c r="AC876" s="322"/>
      <c r="AD876" s="323"/>
      <c r="AE876" s="220"/>
      <c r="AF876" s="324"/>
      <c r="AG876" s="208"/>
      <c r="AH876" s="208"/>
      <c r="AI876" s="208"/>
      <c r="AJ876" s="208"/>
      <c r="AK876" s="208"/>
      <c r="AL876" s="208"/>
      <c r="AM876" s="208"/>
      <c r="AN876" s="208"/>
      <c r="AO876" s="208"/>
      <c r="AP876" s="208"/>
      <c r="AQ876" s="208"/>
      <c r="AR876" s="208"/>
      <c r="AS876" s="208"/>
      <c r="AT876" s="208"/>
      <c r="AU876" s="208"/>
      <c r="AV876" s="208"/>
      <c r="AW876" s="208"/>
      <c r="AX876" s="208"/>
      <c r="AY876" s="208"/>
      <c r="AZ876" s="208"/>
      <c r="BA876" s="208"/>
      <c r="BB876" s="208"/>
      <c r="BC876" s="208"/>
      <c r="BD876" s="208"/>
      <c r="BE876" s="208"/>
      <c r="BF876" s="208"/>
      <c r="BG876" s="208"/>
      <c r="BH876" s="208"/>
      <c r="BI876" s="323"/>
    </row>
    <row r="877" spans="3:61" ht="15" customHeight="1">
      <c r="C877" s="325"/>
      <c r="D877" s="326"/>
      <c r="E877" s="311"/>
      <c r="F877" s="311"/>
      <c r="G877" s="311"/>
      <c r="H877" s="311"/>
      <c r="I877" s="311"/>
      <c r="J877" s="317"/>
      <c r="K877" s="312"/>
      <c r="L877" s="312"/>
      <c r="M877" s="312"/>
      <c r="N877" s="312"/>
      <c r="O877" s="312"/>
      <c r="P877" s="318" t="str">
        <f t="shared" si="41"/>
        <v/>
      </c>
      <c r="Q877" s="205" t="str">
        <f t="shared" si="39"/>
        <v/>
      </c>
      <c r="R877" s="205"/>
      <c r="S877" s="319" t="str">
        <f t="shared" si="40"/>
        <v/>
      </c>
      <c r="U877" s="318"/>
      <c r="V877" s="794"/>
      <c r="W877" s="795"/>
      <c r="X877" s="482"/>
      <c r="Y877" s="482"/>
      <c r="Z877" s="482"/>
      <c r="AA877" s="319"/>
      <c r="AB877" s="220"/>
      <c r="AC877" s="318"/>
      <c r="AD877" s="319"/>
      <c r="AE877" s="220"/>
      <c r="AF877" s="320"/>
      <c r="AG877" s="205"/>
      <c r="AH877" s="205"/>
      <c r="AI877" s="205"/>
      <c r="AJ877" s="205"/>
      <c r="AK877" s="205"/>
      <c r="AL877" s="205"/>
      <c r="AM877" s="205"/>
      <c r="AN877" s="205"/>
      <c r="AO877" s="205"/>
      <c r="AP877" s="205"/>
      <c r="AQ877" s="205"/>
      <c r="AR877" s="205"/>
      <c r="AS877" s="205"/>
      <c r="AT877" s="205"/>
      <c r="AU877" s="205"/>
      <c r="AV877" s="205"/>
      <c r="AW877" s="205"/>
      <c r="AX877" s="205"/>
      <c r="AY877" s="205"/>
      <c r="AZ877" s="205"/>
      <c r="BA877" s="205"/>
      <c r="BB877" s="205"/>
      <c r="BC877" s="205"/>
      <c r="BD877" s="205"/>
      <c r="BE877" s="205"/>
      <c r="BF877" s="205"/>
      <c r="BG877" s="205"/>
      <c r="BH877" s="205"/>
      <c r="BI877" s="319"/>
    </row>
    <row r="878" spans="3:61" ht="15" customHeight="1">
      <c r="C878" s="325"/>
      <c r="D878" s="326"/>
      <c r="E878" s="311"/>
      <c r="F878" s="311"/>
      <c r="G878" s="311"/>
      <c r="H878" s="311"/>
      <c r="I878" s="311"/>
      <c r="J878" s="317"/>
      <c r="K878" s="312"/>
      <c r="L878" s="312"/>
      <c r="M878" s="312"/>
      <c r="N878" s="312"/>
      <c r="O878" s="312"/>
      <c r="P878" s="322" t="str">
        <f t="shared" si="41"/>
        <v/>
      </c>
      <c r="Q878" s="208" t="str">
        <f t="shared" si="39"/>
        <v/>
      </c>
      <c r="R878" s="208"/>
      <c r="S878" s="323" t="str">
        <f t="shared" si="40"/>
        <v/>
      </c>
      <c r="U878" s="322"/>
      <c r="V878" s="791"/>
      <c r="W878" s="792"/>
      <c r="X878" s="480"/>
      <c r="Y878" s="480"/>
      <c r="Z878" s="480"/>
      <c r="AA878" s="323"/>
      <c r="AB878" s="220"/>
      <c r="AC878" s="322"/>
      <c r="AD878" s="323"/>
      <c r="AE878" s="220"/>
      <c r="AF878" s="324"/>
      <c r="AG878" s="208"/>
      <c r="AH878" s="208"/>
      <c r="AI878" s="208"/>
      <c r="AJ878" s="208"/>
      <c r="AK878" s="208"/>
      <c r="AL878" s="208"/>
      <c r="AM878" s="208"/>
      <c r="AN878" s="208"/>
      <c r="AO878" s="208"/>
      <c r="AP878" s="208"/>
      <c r="AQ878" s="208"/>
      <c r="AR878" s="208"/>
      <c r="AS878" s="208"/>
      <c r="AT878" s="208"/>
      <c r="AU878" s="208"/>
      <c r="AV878" s="208"/>
      <c r="AW878" s="208"/>
      <c r="AX878" s="208"/>
      <c r="AY878" s="208"/>
      <c r="AZ878" s="208"/>
      <c r="BA878" s="208"/>
      <c r="BB878" s="208"/>
      <c r="BC878" s="208"/>
      <c r="BD878" s="208"/>
      <c r="BE878" s="208"/>
      <c r="BF878" s="208"/>
      <c r="BG878" s="208"/>
      <c r="BH878" s="208"/>
      <c r="BI878" s="323"/>
    </row>
    <row r="879" spans="3:61" ht="15" customHeight="1">
      <c r="C879" s="325"/>
      <c r="D879" s="326"/>
      <c r="E879" s="311"/>
      <c r="F879" s="311"/>
      <c r="G879" s="311"/>
      <c r="H879" s="311"/>
      <c r="I879" s="311"/>
      <c r="J879" s="317"/>
      <c r="K879" s="312"/>
      <c r="L879" s="312"/>
      <c r="M879" s="312"/>
      <c r="N879" s="312"/>
      <c r="O879" s="312"/>
      <c r="P879" s="318" t="str">
        <f t="shared" si="41"/>
        <v/>
      </c>
      <c r="Q879" s="205" t="str">
        <f t="shared" si="39"/>
        <v/>
      </c>
      <c r="R879" s="205"/>
      <c r="S879" s="319" t="str">
        <f t="shared" si="40"/>
        <v/>
      </c>
      <c r="U879" s="318"/>
      <c r="V879" s="794"/>
      <c r="W879" s="795"/>
      <c r="X879" s="482"/>
      <c r="Y879" s="482"/>
      <c r="Z879" s="482"/>
      <c r="AA879" s="319"/>
      <c r="AB879" s="220"/>
      <c r="AC879" s="318"/>
      <c r="AD879" s="319"/>
      <c r="AE879" s="220"/>
      <c r="AF879" s="320"/>
      <c r="AG879" s="205"/>
      <c r="AH879" s="205"/>
      <c r="AI879" s="205"/>
      <c r="AJ879" s="205"/>
      <c r="AK879" s="205"/>
      <c r="AL879" s="205"/>
      <c r="AM879" s="205"/>
      <c r="AN879" s="205"/>
      <c r="AO879" s="205"/>
      <c r="AP879" s="205"/>
      <c r="AQ879" s="205"/>
      <c r="AR879" s="205"/>
      <c r="AS879" s="205"/>
      <c r="AT879" s="205"/>
      <c r="AU879" s="205"/>
      <c r="AV879" s="205"/>
      <c r="AW879" s="205"/>
      <c r="AX879" s="205"/>
      <c r="AY879" s="205"/>
      <c r="AZ879" s="205"/>
      <c r="BA879" s="205"/>
      <c r="BB879" s="205"/>
      <c r="BC879" s="205"/>
      <c r="BD879" s="205"/>
      <c r="BE879" s="205"/>
      <c r="BF879" s="205"/>
      <c r="BG879" s="205"/>
      <c r="BH879" s="205"/>
      <c r="BI879" s="319"/>
    </row>
    <row r="880" spans="3:61" ht="15" customHeight="1">
      <c r="C880" s="325"/>
      <c r="D880" s="326"/>
      <c r="E880" s="311"/>
      <c r="F880" s="311"/>
      <c r="G880" s="311"/>
      <c r="H880" s="311"/>
      <c r="I880" s="311"/>
      <c r="J880" s="317"/>
      <c r="K880" s="312"/>
      <c r="L880" s="312"/>
      <c r="M880" s="312"/>
      <c r="N880" s="312"/>
      <c r="O880" s="312"/>
      <c r="P880" s="322" t="str">
        <f t="shared" si="41"/>
        <v/>
      </c>
      <c r="Q880" s="208" t="str">
        <f t="shared" si="39"/>
        <v/>
      </c>
      <c r="R880" s="208"/>
      <c r="S880" s="323" t="str">
        <f t="shared" si="40"/>
        <v/>
      </c>
      <c r="U880" s="322"/>
      <c r="V880" s="791"/>
      <c r="W880" s="792"/>
      <c r="X880" s="480"/>
      <c r="Y880" s="480"/>
      <c r="Z880" s="480"/>
      <c r="AA880" s="323"/>
      <c r="AB880" s="220"/>
      <c r="AC880" s="322"/>
      <c r="AD880" s="323"/>
      <c r="AE880" s="220"/>
      <c r="AF880" s="324"/>
      <c r="AG880" s="208"/>
      <c r="AH880" s="208"/>
      <c r="AI880" s="208"/>
      <c r="AJ880" s="208"/>
      <c r="AK880" s="208"/>
      <c r="AL880" s="208"/>
      <c r="AM880" s="208"/>
      <c r="AN880" s="208"/>
      <c r="AO880" s="208"/>
      <c r="AP880" s="208"/>
      <c r="AQ880" s="208"/>
      <c r="AR880" s="208"/>
      <c r="AS880" s="208"/>
      <c r="AT880" s="208"/>
      <c r="AU880" s="208"/>
      <c r="AV880" s="208"/>
      <c r="AW880" s="208"/>
      <c r="AX880" s="208"/>
      <c r="AY880" s="208"/>
      <c r="AZ880" s="208"/>
      <c r="BA880" s="208"/>
      <c r="BB880" s="208"/>
      <c r="BC880" s="208"/>
      <c r="BD880" s="208"/>
      <c r="BE880" s="208"/>
      <c r="BF880" s="208"/>
      <c r="BG880" s="208"/>
      <c r="BH880" s="208"/>
      <c r="BI880" s="323"/>
    </row>
    <row r="881" spans="3:61" ht="15" customHeight="1">
      <c r="C881" s="325"/>
      <c r="D881" s="326"/>
      <c r="E881" s="311"/>
      <c r="F881" s="311"/>
      <c r="G881" s="311"/>
      <c r="H881" s="311"/>
      <c r="I881" s="311"/>
      <c r="J881" s="317"/>
      <c r="K881" s="312"/>
      <c r="L881" s="312"/>
      <c r="M881" s="312"/>
      <c r="N881" s="312"/>
      <c r="O881" s="312"/>
      <c r="P881" s="318" t="str">
        <f t="shared" si="41"/>
        <v/>
      </c>
      <c r="Q881" s="205" t="str">
        <f t="shared" si="39"/>
        <v/>
      </c>
      <c r="R881" s="205"/>
      <c r="S881" s="319" t="str">
        <f t="shared" si="40"/>
        <v/>
      </c>
      <c r="U881" s="318"/>
      <c r="V881" s="794"/>
      <c r="W881" s="795"/>
      <c r="X881" s="482"/>
      <c r="Y881" s="482"/>
      <c r="Z881" s="482"/>
      <c r="AA881" s="319"/>
      <c r="AB881" s="220"/>
      <c r="AC881" s="318"/>
      <c r="AD881" s="319"/>
      <c r="AE881" s="220"/>
      <c r="AF881" s="320"/>
      <c r="AG881" s="205"/>
      <c r="AH881" s="205"/>
      <c r="AI881" s="205"/>
      <c r="AJ881" s="205"/>
      <c r="AK881" s="205"/>
      <c r="AL881" s="205"/>
      <c r="AM881" s="205"/>
      <c r="AN881" s="205"/>
      <c r="AO881" s="205"/>
      <c r="AP881" s="205"/>
      <c r="AQ881" s="205"/>
      <c r="AR881" s="205"/>
      <c r="AS881" s="205"/>
      <c r="AT881" s="205"/>
      <c r="AU881" s="205"/>
      <c r="AV881" s="205"/>
      <c r="AW881" s="205"/>
      <c r="AX881" s="205"/>
      <c r="AY881" s="205"/>
      <c r="AZ881" s="205"/>
      <c r="BA881" s="205"/>
      <c r="BB881" s="205"/>
      <c r="BC881" s="205"/>
      <c r="BD881" s="205"/>
      <c r="BE881" s="205"/>
      <c r="BF881" s="205"/>
      <c r="BG881" s="205"/>
      <c r="BH881" s="205"/>
      <c r="BI881" s="319"/>
    </row>
    <row r="882" spans="3:61" ht="15" customHeight="1">
      <c r="C882" s="325"/>
      <c r="D882" s="326"/>
      <c r="E882" s="311"/>
      <c r="F882" s="311"/>
      <c r="G882" s="311"/>
      <c r="H882" s="311"/>
      <c r="I882" s="311"/>
      <c r="J882" s="317"/>
      <c r="K882" s="312"/>
      <c r="L882" s="312"/>
      <c r="M882" s="312"/>
      <c r="N882" s="312"/>
      <c r="O882" s="312"/>
      <c r="P882" s="322" t="str">
        <f t="shared" si="41"/>
        <v/>
      </c>
      <c r="Q882" s="208" t="str">
        <f t="shared" si="39"/>
        <v/>
      </c>
      <c r="R882" s="208"/>
      <c r="S882" s="323" t="str">
        <f t="shared" si="40"/>
        <v/>
      </c>
      <c r="U882" s="322"/>
      <c r="V882" s="791"/>
      <c r="W882" s="792"/>
      <c r="X882" s="480"/>
      <c r="Y882" s="480"/>
      <c r="Z882" s="480"/>
      <c r="AA882" s="323"/>
      <c r="AB882" s="220"/>
      <c r="AC882" s="322"/>
      <c r="AD882" s="323"/>
      <c r="AE882" s="220"/>
      <c r="AF882" s="324"/>
      <c r="AG882" s="208"/>
      <c r="AH882" s="208"/>
      <c r="AI882" s="208"/>
      <c r="AJ882" s="208"/>
      <c r="AK882" s="208"/>
      <c r="AL882" s="208"/>
      <c r="AM882" s="208"/>
      <c r="AN882" s="208"/>
      <c r="AO882" s="208"/>
      <c r="AP882" s="208"/>
      <c r="AQ882" s="208"/>
      <c r="AR882" s="208"/>
      <c r="AS882" s="208"/>
      <c r="AT882" s="208"/>
      <c r="AU882" s="208"/>
      <c r="AV882" s="208"/>
      <c r="AW882" s="208"/>
      <c r="AX882" s="208"/>
      <c r="AY882" s="208"/>
      <c r="AZ882" s="208"/>
      <c r="BA882" s="208"/>
      <c r="BB882" s="208"/>
      <c r="BC882" s="208"/>
      <c r="BD882" s="208"/>
      <c r="BE882" s="208"/>
      <c r="BF882" s="208"/>
      <c r="BG882" s="208"/>
      <c r="BH882" s="208"/>
      <c r="BI882" s="323"/>
    </row>
    <row r="883" spans="3:61" ht="15" customHeight="1">
      <c r="C883" s="325"/>
      <c r="D883" s="326"/>
      <c r="E883" s="311"/>
      <c r="F883" s="311"/>
      <c r="G883" s="311"/>
      <c r="H883" s="311"/>
      <c r="I883" s="311"/>
      <c r="J883" s="317"/>
      <c r="K883" s="312"/>
      <c r="L883" s="312"/>
      <c r="M883" s="312"/>
      <c r="N883" s="312"/>
      <c r="O883" s="312"/>
      <c r="P883" s="318" t="str">
        <f t="shared" si="41"/>
        <v/>
      </c>
      <c r="Q883" s="205" t="str">
        <f t="shared" si="39"/>
        <v/>
      </c>
      <c r="R883" s="205"/>
      <c r="S883" s="319" t="str">
        <f t="shared" si="40"/>
        <v/>
      </c>
      <c r="U883" s="318"/>
      <c r="V883" s="794"/>
      <c r="W883" s="795"/>
      <c r="X883" s="482"/>
      <c r="Y883" s="482"/>
      <c r="Z883" s="482"/>
      <c r="AA883" s="319"/>
      <c r="AB883" s="220"/>
      <c r="AC883" s="318"/>
      <c r="AD883" s="319"/>
      <c r="AE883" s="220"/>
      <c r="AF883" s="320"/>
      <c r="AG883" s="205"/>
      <c r="AH883" s="205"/>
      <c r="AI883" s="205"/>
      <c r="AJ883" s="205"/>
      <c r="AK883" s="205"/>
      <c r="AL883" s="205"/>
      <c r="AM883" s="205"/>
      <c r="AN883" s="205"/>
      <c r="AO883" s="205"/>
      <c r="AP883" s="205"/>
      <c r="AQ883" s="205"/>
      <c r="AR883" s="205"/>
      <c r="AS883" s="205"/>
      <c r="AT883" s="205"/>
      <c r="AU883" s="205"/>
      <c r="AV883" s="205"/>
      <c r="AW883" s="205"/>
      <c r="AX883" s="205"/>
      <c r="AY883" s="205"/>
      <c r="AZ883" s="205"/>
      <c r="BA883" s="205"/>
      <c r="BB883" s="205"/>
      <c r="BC883" s="205"/>
      <c r="BD883" s="205"/>
      <c r="BE883" s="205"/>
      <c r="BF883" s="205"/>
      <c r="BG883" s="205"/>
      <c r="BH883" s="205"/>
      <c r="BI883" s="319"/>
    </row>
    <row r="884" spans="3:61" ht="15" customHeight="1">
      <c r="C884" s="325"/>
      <c r="D884" s="326"/>
      <c r="E884" s="311"/>
      <c r="F884" s="311"/>
      <c r="G884" s="311"/>
      <c r="H884" s="311"/>
      <c r="I884" s="311"/>
      <c r="J884" s="317"/>
      <c r="K884" s="312"/>
      <c r="L884" s="312"/>
      <c r="M884" s="312"/>
      <c r="N884" s="312"/>
      <c r="O884" s="312"/>
      <c r="P884" s="322" t="str">
        <f t="shared" si="41"/>
        <v/>
      </c>
      <c r="Q884" s="208" t="str">
        <f t="shared" si="39"/>
        <v/>
      </c>
      <c r="R884" s="208"/>
      <c r="S884" s="323" t="str">
        <f t="shared" si="40"/>
        <v/>
      </c>
      <c r="U884" s="322"/>
      <c r="V884" s="791"/>
      <c r="W884" s="792"/>
      <c r="X884" s="480"/>
      <c r="Y884" s="480"/>
      <c r="Z884" s="480"/>
      <c r="AA884" s="323"/>
      <c r="AB884" s="220"/>
      <c r="AC884" s="322"/>
      <c r="AD884" s="323"/>
      <c r="AE884" s="220"/>
      <c r="AF884" s="324"/>
      <c r="AG884" s="208"/>
      <c r="AH884" s="208"/>
      <c r="AI884" s="208"/>
      <c r="AJ884" s="208"/>
      <c r="AK884" s="208"/>
      <c r="AL884" s="208"/>
      <c r="AM884" s="208"/>
      <c r="AN884" s="208"/>
      <c r="AO884" s="208"/>
      <c r="AP884" s="208"/>
      <c r="AQ884" s="208"/>
      <c r="AR884" s="208"/>
      <c r="AS884" s="208"/>
      <c r="AT884" s="208"/>
      <c r="AU884" s="208"/>
      <c r="AV884" s="208"/>
      <c r="AW884" s="208"/>
      <c r="AX884" s="208"/>
      <c r="AY884" s="208"/>
      <c r="AZ884" s="208"/>
      <c r="BA884" s="208"/>
      <c r="BB884" s="208"/>
      <c r="BC884" s="208"/>
      <c r="BD884" s="208"/>
      <c r="BE884" s="208"/>
      <c r="BF884" s="208"/>
      <c r="BG884" s="208"/>
      <c r="BH884" s="208"/>
      <c r="BI884" s="323"/>
    </row>
    <row r="885" spans="3:61" ht="15" customHeight="1">
      <c r="C885" s="325"/>
      <c r="D885" s="326"/>
      <c r="E885" s="311"/>
      <c r="F885" s="311"/>
      <c r="G885" s="311"/>
      <c r="H885" s="311"/>
      <c r="I885" s="311"/>
      <c r="J885" s="317"/>
      <c r="K885" s="312"/>
      <c r="L885" s="312"/>
      <c r="M885" s="312"/>
      <c r="N885" s="312"/>
      <c r="O885" s="312"/>
      <c r="P885" s="318" t="str">
        <f t="shared" si="41"/>
        <v/>
      </c>
      <c r="Q885" s="205" t="str">
        <f t="shared" si="39"/>
        <v/>
      </c>
      <c r="R885" s="205"/>
      <c r="S885" s="319" t="str">
        <f t="shared" si="40"/>
        <v/>
      </c>
      <c r="U885" s="318"/>
      <c r="V885" s="794"/>
      <c r="W885" s="795"/>
      <c r="X885" s="482"/>
      <c r="Y885" s="482"/>
      <c r="Z885" s="482"/>
      <c r="AA885" s="319"/>
      <c r="AB885" s="220"/>
      <c r="AC885" s="318"/>
      <c r="AD885" s="319"/>
      <c r="AE885" s="220"/>
      <c r="AF885" s="320"/>
      <c r="AG885" s="205"/>
      <c r="AH885" s="205"/>
      <c r="AI885" s="205"/>
      <c r="AJ885" s="205"/>
      <c r="AK885" s="205"/>
      <c r="AL885" s="205"/>
      <c r="AM885" s="205"/>
      <c r="AN885" s="205"/>
      <c r="AO885" s="205"/>
      <c r="AP885" s="205"/>
      <c r="AQ885" s="205"/>
      <c r="AR885" s="205"/>
      <c r="AS885" s="205"/>
      <c r="AT885" s="205"/>
      <c r="AU885" s="205"/>
      <c r="AV885" s="205"/>
      <c r="AW885" s="205"/>
      <c r="AX885" s="205"/>
      <c r="AY885" s="205"/>
      <c r="AZ885" s="205"/>
      <c r="BA885" s="205"/>
      <c r="BB885" s="205"/>
      <c r="BC885" s="205"/>
      <c r="BD885" s="205"/>
      <c r="BE885" s="205"/>
      <c r="BF885" s="205"/>
      <c r="BG885" s="205"/>
      <c r="BH885" s="205"/>
      <c r="BI885" s="319"/>
    </row>
    <row r="886" spans="3:61" ht="15" customHeight="1">
      <c r="C886" s="325"/>
      <c r="D886" s="326"/>
      <c r="E886" s="311"/>
      <c r="F886" s="311"/>
      <c r="G886" s="311"/>
      <c r="H886" s="311"/>
      <c r="I886" s="311"/>
      <c r="J886" s="317"/>
      <c r="K886" s="312"/>
      <c r="L886" s="312"/>
      <c r="M886" s="312"/>
      <c r="N886" s="312"/>
      <c r="O886" s="312"/>
      <c r="P886" s="322" t="str">
        <f t="shared" si="41"/>
        <v/>
      </c>
      <c r="Q886" s="208" t="str">
        <f t="shared" si="39"/>
        <v/>
      </c>
      <c r="R886" s="208"/>
      <c r="S886" s="323" t="str">
        <f t="shared" si="40"/>
        <v/>
      </c>
      <c r="U886" s="322"/>
      <c r="V886" s="791"/>
      <c r="W886" s="792"/>
      <c r="X886" s="480"/>
      <c r="Y886" s="480"/>
      <c r="Z886" s="480"/>
      <c r="AA886" s="323"/>
      <c r="AB886" s="220"/>
      <c r="AC886" s="322"/>
      <c r="AD886" s="323"/>
      <c r="AE886" s="220"/>
      <c r="AF886" s="324"/>
      <c r="AG886" s="208"/>
      <c r="AH886" s="208"/>
      <c r="AI886" s="208"/>
      <c r="AJ886" s="208"/>
      <c r="AK886" s="208"/>
      <c r="AL886" s="208"/>
      <c r="AM886" s="208"/>
      <c r="AN886" s="208"/>
      <c r="AO886" s="208"/>
      <c r="AP886" s="208"/>
      <c r="AQ886" s="208"/>
      <c r="AR886" s="208"/>
      <c r="AS886" s="208"/>
      <c r="AT886" s="208"/>
      <c r="AU886" s="208"/>
      <c r="AV886" s="208"/>
      <c r="AW886" s="208"/>
      <c r="AX886" s="208"/>
      <c r="AY886" s="208"/>
      <c r="AZ886" s="208"/>
      <c r="BA886" s="208"/>
      <c r="BB886" s="208"/>
      <c r="BC886" s="208"/>
      <c r="BD886" s="208"/>
      <c r="BE886" s="208"/>
      <c r="BF886" s="208"/>
      <c r="BG886" s="208"/>
      <c r="BH886" s="208"/>
      <c r="BI886" s="323"/>
    </row>
    <row r="887" spans="3:61" ht="15" customHeight="1">
      <c r="C887" s="325"/>
      <c r="D887" s="326"/>
      <c r="E887" s="311"/>
      <c r="F887" s="311"/>
      <c r="G887" s="311"/>
      <c r="H887" s="311"/>
      <c r="I887" s="311"/>
      <c r="J887" s="317"/>
      <c r="K887" s="312"/>
      <c r="L887" s="312"/>
      <c r="M887" s="312"/>
      <c r="N887" s="312"/>
      <c r="O887" s="312"/>
      <c r="P887" s="318" t="str">
        <f t="shared" si="41"/>
        <v/>
      </c>
      <c r="Q887" s="205" t="str">
        <f t="shared" si="39"/>
        <v/>
      </c>
      <c r="R887" s="205"/>
      <c r="S887" s="319" t="str">
        <f t="shared" si="40"/>
        <v/>
      </c>
      <c r="U887" s="318"/>
      <c r="V887" s="794"/>
      <c r="W887" s="795"/>
      <c r="X887" s="482"/>
      <c r="Y887" s="482"/>
      <c r="Z887" s="482"/>
      <c r="AA887" s="319"/>
      <c r="AB887" s="220"/>
      <c r="AC887" s="318"/>
      <c r="AD887" s="319"/>
      <c r="AE887" s="220"/>
      <c r="AF887" s="320"/>
      <c r="AG887" s="205"/>
      <c r="AH887" s="205"/>
      <c r="AI887" s="205"/>
      <c r="AJ887" s="205"/>
      <c r="AK887" s="205"/>
      <c r="AL887" s="205"/>
      <c r="AM887" s="205"/>
      <c r="AN887" s="205"/>
      <c r="AO887" s="205"/>
      <c r="AP887" s="205"/>
      <c r="AQ887" s="205"/>
      <c r="AR887" s="205"/>
      <c r="AS887" s="205"/>
      <c r="AT887" s="205"/>
      <c r="AU887" s="205"/>
      <c r="AV887" s="205"/>
      <c r="AW887" s="205"/>
      <c r="AX887" s="205"/>
      <c r="AY887" s="205"/>
      <c r="AZ887" s="205"/>
      <c r="BA887" s="205"/>
      <c r="BB887" s="205"/>
      <c r="BC887" s="205"/>
      <c r="BD887" s="205"/>
      <c r="BE887" s="205"/>
      <c r="BF887" s="205"/>
      <c r="BG887" s="205"/>
      <c r="BH887" s="205"/>
      <c r="BI887" s="319"/>
    </row>
    <row r="888" spans="3:61" ht="15" customHeight="1">
      <c r="C888" s="325"/>
      <c r="D888" s="326"/>
      <c r="E888" s="311"/>
      <c r="F888" s="311"/>
      <c r="G888" s="311"/>
      <c r="H888" s="311"/>
      <c r="I888" s="311"/>
      <c r="J888" s="317"/>
      <c r="K888" s="312"/>
      <c r="L888" s="312"/>
      <c r="M888" s="312"/>
      <c r="N888" s="312"/>
      <c r="O888" s="312"/>
      <c r="P888" s="322" t="str">
        <f t="shared" si="41"/>
        <v/>
      </c>
      <c r="Q888" s="208" t="str">
        <f t="shared" si="39"/>
        <v/>
      </c>
      <c r="R888" s="208"/>
      <c r="S888" s="323" t="str">
        <f t="shared" si="40"/>
        <v/>
      </c>
      <c r="U888" s="322"/>
      <c r="V888" s="791"/>
      <c r="W888" s="792"/>
      <c r="X888" s="480"/>
      <c r="Y888" s="480"/>
      <c r="Z888" s="480"/>
      <c r="AA888" s="323"/>
      <c r="AB888" s="220"/>
      <c r="AC888" s="322"/>
      <c r="AD888" s="323"/>
      <c r="AE888" s="220"/>
      <c r="AF888" s="324"/>
      <c r="AG888" s="208"/>
      <c r="AH888" s="208"/>
      <c r="AI888" s="208"/>
      <c r="AJ888" s="208"/>
      <c r="AK888" s="208"/>
      <c r="AL888" s="208"/>
      <c r="AM888" s="208"/>
      <c r="AN888" s="208"/>
      <c r="AO888" s="208"/>
      <c r="AP888" s="208"/>
      <c r="AQ888" s="208"/>
      <c r="AR888" s="208"/>
      <c r="AS888" s="208"/>
      <c r="AT888" s="208"/>
      <c r="AU888" s="208"/>
      <c r="AV888" s="208"/>
      <c r="AW888" s="208"/>
      <c r="AX888" s="208"/>
      <c r="AY888" s="208"/>
      <c r="AZ888" s="208"/>
      <c r="BA888" s="208"/>
      <c r="BB888" s="208"/>
      <c r="BC888" s="208"/>
      <c r="BD888" s="208"/>
      <c r="BE888" s="208"/>
      <c r="BF888" s="208"/>
      <c r="BG888" s="208"/>
      <c r="BH888" s="208"/>
      <c r="BI888" s="323"/>
    </row>
    <row r="889" spans="3:61" ht="15" customHeight="1">
      <c r="C889" s="325"/>
      <c r="D889" s="326"/>
      <c r="E889" s="311"/>
      <c r="F889" s="311"/>
      <c r="G889" s="311"/>
      <c r="H889" s="311"/>
      <c r="I889" s="311"/>
      <c r="J889" s="317"/>
      <c r="K889" s="312"/>
      <c r="L889" s="312"/>
      <c r="M889" s="312"/>
      <c r="N889" s="312"/>
      <c r="O889" s="312"/>
      <c r="P889" s="318" t="str">
        <f t="shared" si="41"/>
        <v/>
      </c>
      <c r="Q889" s="205" t="str">
        <f t="shared" si="39"/>
        <v/>
      </c>
      <c r="R889" s="205"/>
      <c r="S889" s="319" t="str">
        <f t="shared" si="40"/>
        <v/>
      </c>
      <c r="U889" s="318"/>
      <c r="V889" s="794"/>
      <c r="W889" s="795"/>
      <c r="X889" s="482"/>
      <c r="Y889" s="482"/>
      <c r="Z889" s="482"/>
      <c r="AA889" s="319"/>
      <c r="AB889" s="220"/>
      <c r="AC889" s="318"/>
      <c r="AD889" s="319"/>
      <c r="AE889" s="220"/>
      <c r="AF889" s="320"/>
      <c r="AG889" s="205"/>
      <c r="AH889" s="205"/>
      <c r="AI889" s="205"/>
      <c r="AJ889" s="205"/>
      <c r="AK889" s="205"/>
      <c r="AL889" s="205"/>
      <c r="AM889" s="205"/>
      <c r="AN889" s="205"/>
      <c r="AO889" s="205"/>
      <c r="AP889" s="205"/>
      <c r="AQ889" s="205"/>
      <c r="AR889" s="205"/>
      <c r="AS889" s="205"/>
      <c r="AT889" s="205"/>
      <c r="AU889" s="205"/>
      <c r="AV889" s="205"/>
      <c r="AW889" s="205"/>
      <c r="AX889" s="205"/>
      <c r="AY889" s="205"/>
      <c r="AZ889" s="205"/>
      <c r="BA889" s="205"/>
      <c r="BB889" s="205"/>
      <c r="BC889" s="205"/>
      <c r="BD889" s="205"/>
      <c r="BE889" s="205"/>
      <c r="BF889" s="205"/>
      <c r="BG889" s="205"/>
      <c r="BH889" s="205"/>
      <c r="BI889" s="319"/>
    </row>
    <row r="890" spans="3:61" ht="15" customHeight="1">
      <c r="C890" s="325"/>
      <c r="D890" s="326"/>
      <c r="E890" s="311"/>
      <c r="F890" s="311"/>
      <c r="G890" s="311"/>
      <c r="H890" s="311"/>
      <c r="I890" s="311"/>
      <c r="J890" s="317"/>
      <c r="K890" s="312"/>
      <c r="L890" s="312"/>
      <c r="M890" s="312"/>
      <c r="N890" s="312"/>
      <c r="O890" s="312"/>
      <c r="P890" s="322" t="str">
        <f t="shared" si="41"/>
        <v/>
      </c>
      <c r="Q890" s="208" t="str">
        <f t="shared" si="39"/>
        <v/>
      </c>
      <c r="R890" s="208"/>
      <c r="S890" s="323" t="str">
        <f t="shared" si="40"/>
        <v/>
      </c>
      <c r="U890" s="322"/>
      <c r="V890" s="791"/>
      <c r="W890" s="792"/>
      <c r="X890" s="480"/>
      <c r="Y890" s="480"/>
      <c r="Z890" s="480"/>
      <c r="AA890" s="323"/>
      <c r="AB890" s="220"/>
      <c r="AC890" s="322"/>
      <c r="AD890" s="323"/>
      <c r="AE890" s="220"/>
      <c r="AF890" s="324"/>
      <c r="AG890" s="208"/>
      <c r="AH890" s="208"/>
      <c r="AI890" s="208"/>
      <c r="AJ890" s="208"/>
      <c r="AK890" s="208"/>
      <c r="AL890" s="208"/>
      <c r="AM890" s="208"/>
      <c r="AN890" s="208"/>
      <c r="AO890" s="208"/>
      <c r="AP890" s="208"/>
      <c r="AQ890" s="208"/>
      <c r="AR890" s="208"/>
      <c r="AS890" s="208"/>
      <c r="AT890" s="208"/>
      <c r="AU890" s="208"/>
      <c r="AV890" s="208"/>
      <c r="AW890" s="208"/>
      <c r="AX890" s="208"/>
      <c r="AY890" s="208"/>
      <c r="AZ890" s="208"/>
      <c r="BA890" s="208"/>
      <c r="BB890" s="208"/>
      <c r="BC890" s="208"/>
      <c r="BD890" s="208"/>
      <c r="BE890" s="208"/>
      <c r="BF890" s="208"/>
      <c r="BG890" s="208"/>
      <c r="BH890" s="208"/>
      <c r="BI890" s="323"/>
    </row>
    <row r="891" spans="3:61" ht="15" customHeight="1">
      <c r="C891" s="325"/>
      <c r="D891" s="326"/>
      <c r="E891" s="311"/>
      <c r="F891" s="311"/>
      <c r="G891" s="311"/>
      <c r="H891" s="311"/>
      <c r="I891" s="311"/>
      <c r="J891" s="317"/>
      <c r="K891" s="312"/>
      <c r="L891" s="312"/>
      <c r="M891" s="312"/>
      <c r="N891" s="312"/>
      <c r="O891" s="312"/>
      <c r="P891" s="318" t="str">
        <f t="shared" si="41"/>
        <v/>
      </c>
      <c r="Q891" s="205" t="str">
        <f t="shared" si="39"/>
        <v/>
      </c>
      <c r="R891" s="205"/>
      <c r="S891" s="319" t="str">
        <f t="shared" si="40"/>
        <v/>
      </c>
      <c r="U891" s="318"/>
      <c r="V891" s="794"/>
      <c r="W891" s="795"/>
      <c r="X891" s="482"/>
      <c r="Y891" s="482"/>
      <c r="Z891" s="482"/>
      <c r="AA891" s="319"/>
      <c r="AB891" s="220"/>
      <c r="AC891" s="318"/>
      <c r="AD891" s="319"/>
      <c r="AE891" s="220"/>
      <c r="AF891" s="320"/>
      <c r="AG891" s="205"/>
      <c r="AH891" s="205"/>
      <c r="AI891" s="205"/>
      <c r="AJ891" s="205"/>
      <c r="AK891" s="205"/>
      <c r="AL891" s="205"/>
      <c r="AM891" s="205"/>
      <c r="AN891" s="205"/>
      <c r="AO891" s="205"/>
      <c r="AP891" s="205"/>
      <c r="AQ891" s="205"/>
      <c r="AR891" s="205"/>
      <c r="AS891" s="205"/>
      <c r="AT891" s="205"/>
      <c r="AU891" s="205"/>
      <c r="AV891" s="205"/>
      <c r="AW891" s="205"/>
      <c r="AX891" s="205"/>
      <c r="AY891" s="205"/>
      <c r="AZ891" s="205"/>
      <c r="BA891" s="205"/>
      <c r="BB891" s="205"/>
      <c r="BC891" s="205"/>
      <c r="BD891" s="205"/>
      <c r="BE891" s="205"/>
      <c r="BF891" s="205"/>
      <c r="BG891" s="205"/>
      <c r="BH891" s="205"/>
      <c r="BI891" s="319"/>
    </row>
    <row r="892" spans="3:61" ht="15" customHeight="1">
      <c r="C892" s="325"/>
      <c r="D892" s="326"/>
      <c r="E892" s="311"/>
      <c r="F892" s="311"/>
      <c r="G892" s="311"/>
      <c r="H892" s="311"/>
      <c r="I892" s="311"/>
      <c r="J892" s="317"/>
      <c r="K892" s="312"/>
      <c r="L892" s="312"/>
      <c r="M892" s="312"/>
      <c r="N892" s="312"/>
      <c r="O892" s="312"/>
      <c r="P892" s="322" t="str">
        <f t="shared" si="41"/>
        <v/>
      </c>
      <c r="Q892" s="208" t="str">
        <f t="shared" si="39"/>
        <v/>
      </c>
      <c r="R892" s="208"/>
      <c r="S892" s="323" t="str">
        <f t="shared" si="40"/>
        <v/>
      </c>
      <c r="U892" s="322"/>
      <c r="V892" s="791"/>
      <c r="W892" s="792"/>
      <c r="X892" s="480"/>
      <c r="Y892" s="480"/>
      <c r="Z892" s="480"/>
      <c r="AA892" s="323"/>
      <c r="AB892" s="220"/>
      <c r="AC892" s="322"/>
      <c r="AD892" s="323"/>
      <c r="AE892" s="220"/>
      <c r="AF892" s="324"/>
      <c r="AG892" s="208"/>
      <c r="AH892" s="208"/>
      <c r="AI892" s="208"/>
      <c r="AJ892" s="208"/>
      <c r="AK892" s="208"/>
      <c r="AL892" s="208"/>
      <c r="AM892" s="208"/>
      <c r="AN892" s="208"/>
      <c r="AO892" s="208"/>
      <c r="AP892" s="208"/>
      <c r="AQ892" s="208"/>
      <c r="AR892" s="208"/>
      <c r="AS892" s="208"/>
      <c r="AT892" s="208"/>
      <c r="AU892" s="208"/>
      <c r="AV892" s="208"/>
      <c r="AW892" s="208"/>
      <c r="AX892" s="208"/>
      <c r="AY892" s="208"/>
      <c r="AZ892" s="208"/>
      <c r="BA892" s="208"/>
      <c r="BB892" s="208"/>
      <c r="BC892" s="208"/>
      <c r="BD892" s="208"/>
      <c r="BE892" s="208"/>
      <c r="BF892" s="208"/>
      <c r="BG892" s="208"/>
      <c r="BH892" s="208"/>
      <c r="BI892" s="323"/>
    </row>
    <row r="893" spans="3:61" ht="15" customHeight="1">
      <c r="C893" s="325"/>
      <c r="D893" s="326"/>
      <c r="E893" s="311"/>
      <c r="F893" s="311"/>
      <c r="G893" s="311"/>
      <c r="H893" s="311"/>
      <c r="I893" s="311"/>
      <c r="J893" s="317"/>
      <c r="K893" s="312"/>
      <c r="L893" s="312"/>
      <c r="M893" s="312"/>
      <c r="N893" s="312"/>
      <c r="O893" s="312"/>
      <c r="P893" s="318" t="str">
        <f t="shared" si="41"/>
        <v/>
      </c>
      <c r="Q893" s="205" t="str">
        <f t="shared" si="39"/>
        <v/>
      </c>
      <c r="R893" s="205"/>
      <c r="S893" s="319" t="str">
        <f t="shared" si="40"/>
        <v/>
      </c>
      <c r="U893" s="318"/>
      <c r="V893" s="794"/>
      <c r="W893" s="795"/>
      <c r="X893" s="482"/>
      <c r="Y893" s="482"/>
      <c r="Z893" s="482"/>
      <c r="AA893" s="319"/>
      <c r="AB893" s="220"/>
      <c r="AC893" s="318"/>
      <c r="AD893" s="319"/>
      <c r="AE893" s="220"/>
      <c r="AF893" s="320"/>
      <c r="AG893" s="205"/>
      <c r="AH893" s="205"/>
      <c r="AI893" s="205"/>
      <c r="AJ893" s="205"/>
      <c r="AK893" s="205"/>
      <c r="AL893" s="205"/>
      <c r="AM893" s="205"/>
      <c r="AN893" s="205"/>
      <c r="AO893" s="205"/>
      <c r="AP893" s="205"/>
      <c r="AQ893" s="205"/>
      <c r="AR893" s="205"/>
      <c r="AS893" s="205"/>
      <c r="AT893" s="205"/>
      <c r="AU893" s="205"/>
      <c r="AV893" s="205"/>
      <c r="AW893" s="205"/>
      <c r="AX893" s="205"/>
      <c r="AY893" s="205"/>
      <c r="AZ893" s="205"/>
      <c r="BA893" s="205"/>
      <c r="BB893" s="205"/>
      <c r="BC893" s="205"/>
      <c r="BD893" s="205"/>
      <c r="BE893" s="205"/>
      <c r="BF893" s="205"/>
      <c r="BG893" s="205"/>
      <c r="BH893" s="205"/>
      <c r="BI893" s="319"/>
    </row>
    <row r="894" spans="3:61" ht="15" customHeight="1">
      <c r="C894" s="325"/>
      <c r="D894" s="326"/>
      <c r="E894" s="311"/>
      <c r="F894" s="311"/>
      <c r="G894" s="311"/>
      <c r="H894" s="311"/>
      <c r="I894" s="311"/>
      <c r="J894" s="317"/>
      <c r="K894" s="312"/>
      <c r="L894" s="312"/>
      <c r="M894" s="312"/>
      <c r="N894" s="312"/>
      <c r="O894" s="312"/>
      <c r="P894" s="322" t="str">
        <f t="shared" si="41"/>
        <v/>
      </c>
      <c r="Q894" s="208" t="str">
        <f t="shared" si="39"/>
        <v/>
      </c>
      <c r="R894" s="208"/>
      <c r="S894" s="323" t="str">
        <f t="shared" si="40"/>
        <v/>
      </c>
      <c r="U894" s="322"/>
      <c r="V894" s="791"/>
      <c r="W894" s="792"/>
      <c r="X894" s="480"/>
      <c r="Y894" s="480"/>
      <c r="Z894" s="480"/>
      <c r="AA894" s="323"/>
      <c r="AB894" s="220"/>
      <c r="AC894" s="322"/>
      <c r="AD894" s="323"/>
      <c r="AE894" s="220"/>
      <c r="AF894" s="324"/>
      <c r="AG894" s="208"/>
      <c r="AH894" s="208"/>
      <c r="AI894" s="208"/>
      <c r="AJ894" s="208"/>
      <c r="AK894" s="208"/>
      <c r="AL894" s="208"/>
      <c r="AM894" s="208"/>
      <c r="AN894" s="208"/>
      <c r="AO894" s="208"/>
      <c r="AP894" s="208"/>
      <c r="AQ894" s="208"/>
      <c r="AR894" s="208"/>
      <c r="AS894" s="208"/>
      <c r="AT894" s="208"/>
      <c r="AU894" s="208"/>
      <c r="AV894" s="208"/>
      <c r="AW894" s="208"/>
      <c r="AX894" s="208"/>
      <c r="AY894" s="208"/>
      <c r="AZ894" s="208"/>
      <c r="BA894" s="208"/>
      <c r="BB894" s="208"/>
      <c r="BC894" s="208"/>
      <c r="BD894" s="208"/>
      <c r="BE894" s="208"/>
      <c r="BF894" s="208"/>
      <c r="BG894" s="208"/>
      <c r="BH894" s="208"/>
      <c r="BI894" s="323"/>
    </row>
    <row r="895" spans="3:61" ht="15" customHeight="1">
      <c r="C895" s="325"/>
      <c r="D895" s="326"/>
      <c r="E895" s="311"/>
      <c r="F895" s="311"/>
      <c r="G895" s="311"/>
      <c r="H895" s="311"/>
      <c r="I895" s="311"/>
      <c r="J895" s="317"/>
      <c r="K895" s="312"/>
      <c r="L895" s="312"/>
      <c r="M895" s="312"/>
      <c r="N895" s="312"/>
      <c r="O895" s="312"/>
      <c r="P895" s="318" t="str">
        <f t="shared" si="41"/>
        <v/>
      </c>
      <c r="Q895" s="205" t="str">
        <f t="shared" si="39"/>
        <v/>
      </c>
      <c r="R895" s="205"/>
      <c r="S895" s="319" t="str">
        <f t="shared" si="40"/>
        <v/>
      </c>
      <c r="U895" s="318"/>
      <c r="V895" s="794"/>
      <c r="W895" s="795"/>
      <c r="X895" s="482"/>
      <c r="Y895" s="482"/>
      <c r="Z895" s="482"/>
      <c r="AA895" s="319"/>
      <c r="AB895" s="220"/>
      <c r="AC895" s="318"/>
      <c r="AD895" s="319"/>
      <c r="AE895" s="220"/>
      <c r="AF895" s="320"/>
      <c r="AG895" s="205"/>
      <c r="AH895" s="205"/>
      <c r="AI895" s="205"/>
      <c r="AJ895" s="205"/>
      <c r="AK895" s="205"/>
      <c r="AL895" s="205"/>
      <c r="AM895" s="205"/>
      <c r="AN895" s="205"/>
      <c r="AO895" s="205"/>
      <c r="AP895" s="205"/>
      <c r="AQ895" s="205"/>
      <c r="AR895" s="205"/>
      <c r="AS895" s="205"/>
      <c r="AT895" s="205"/>
      <c r="AU895" s="205"/>
      <c r="AV895" s="205"/>
      <c r="AW895" s="205"/>
      <c r="AX895" s="205"/>
      <c r="AY895" s="205"/>
      <c r="AZ895" s="205"/>
      <c r="BA895" s="205"/>
      <c r="BB895" s="205"/>
      <c r="BC895" s="205"/>
      <c r="BD895" s="205"/>
      <c r="BE895" s="205"/>
      <c r="BF895" s="205"/>
      <c r="BG895" s="205"/>
      <c r="BH895" s="205"/>
      <c r="BI895" s="319"/>
    </row>
    <row r="896" spans="3:61" ht="15" customHeight="1">
      <c r="C896" s="325"/>
      <c r="D896" s="326"/>
      <c r="E896" s="311"/>
      <c r="F896" s="311"/>
      <c r="G896" s="311"/>
      <c r="H896" s="311"/>
      <c r="I896" s="311"/>
      <c r="J896" s="317"/>
      <c r="K896" s="312"/>
      <c r="L896" s="312"/>
      <c r="M896" s="312"/>
      <c r="N896" s="312"/>
      <c r="O896" s="312"/>
      <c r="P896" s="322" t="str">
        <f t="shared" si="41"/>
        <v/>
      </c>
      <c r="Q896" s="208" t="str">
        <f t="shared" si="39"/>
        <v/>
      </c>
      <c r="R896" s="208"/>
      <c r="S896" s="323" t="str">
        <f t="shared" si="40"/>
        <v/>
      </c>
      <c r="U896" s="322"/>
      <c r="V896" s="791"/>
      <c r="W896" s="792"/>
      <c r="X896" s="480"/>
      <c r="Y896" s="480"/>
      <c r="Z896" s="480"/>
      <c r="AA896" s="323"/>
      <c r="AB896" s="220"/>
      <c r="AC896" s="322"/>
      <c r="AD896" s="323"/>
      <c r="AE896" s="220"/>
      <c r="AF896" s="324"/>
      <c r="AG896" s="208"/>
      <c r="AH896" s="208"/>
      <c r="AI896" s="208"/>
      <c r="AJ896" s="208"/>
      <c r="AK896" s="208"/>
      <c r="AL896" s="208"/>
      <c r="AM896" s="208"/>
      <c r="AN896" s="208"/>
      <c r="AO896" s="208"/>
      <c r="AP896" s="208"/>
      <c r="AQ896" s="208"/>
      <c r="AR896" s="208"/>
      <c r="AS896" s="208"/>
      <c r="AT896" s="208"/>
      <c r="AU896" s="208"/>
      <c r="AV896" s="208"/>
      <c r="AW896" s="208"/>
      <c r="AX896" s="208"/>
      <c r="AY896" s="208"/>
      <c r="AZ896" s="208"/>
      <c r="BA896" s="208"/>
      <c r="BB896" s="208"/>
      <c r="BC896" s="208"/>
      <c r="BD896" s="208"/>
      <c r="BE896" s="208"/>
      <c r="BF896" s="208"/>
      <c r="BG896" s="208"/>
      <c r="BH896" s="208"/>
      <c r="BI896" s="323"/>
    </row>
    <row r="897" spans="3:61" ht="15" customHeight="1">
      <c r="C897" s="325"/>
      <c r="D897" s="326"/>
      <c r="E897" s="311"/>
      <c r="F897" s="311"/>
      <c r="G897" s="311"/>
      <c r="H897" s="311"/>
      <c r="I897" s="311"/>
      <c r="J897" s="317"/>
      <c r="K897" s="312"/>
      <c r="L897" s="312"/>
      <c r="M897" s="312"/>
      <c r="N897" s="312"/>
      <c r="O897" s="312"/>
      <c r="P897" s="318" t="str">
        <f t="shared" si="41"/>
        <v/>
      </c>
      <c r="Q897" s="205" t="str">
        <f t="shared" si="39"/>
        <v/>
      </c>
      <c r="R897" s="205"/>
      <c r="S897" s="319" t="str">
        <f t="shared" si="40"/>
        <v/>
      </c>
      <c r="U897" s="318"/>
      <c r="V897" s="794"/>
      <c r="W897" s="795"/>
      <c r="X897" s="482"/>
      <c r="Y897" s="482"/>
      <c r="Z897" s="482"/>
      <c r="AA897" s="319"/>
      <c r="AB897" s="220"/>
      <c r="AC897" s="318"/>
      <c r="AD897" s="319"/>
      <c r="AE897" s="220"/>
      <c r="AF897" s="320"/>
      <c r="AG897" s="205"/>
      <c r="AH897" s="205"/>
      <c r="AI897" s="205"/>
      <c r="AJ897" s="205"/>
      <c r="AK897" s="205"/>
      <c r="AL897" s="205"/>
      <c r="AM897" s="205"/>
      <c r="AN897" s="205"/>
      <c r="AO897" s="205"/>
      <c r="AP897" s="205"/>
      <c r="AQ897" s="205"/>
      <c r="AR897" s="205"/>
      <c r="AS897" s="205"/>
      <c r="AT897" s="205"/>
      <c r="AU897" s="205"/>
      <c r="AV897" s="205"/>
      <c r="AW897" s="205"/>
      <c r="AX897" s="205"/>
      <c r="AY897" s="205"/>
      <c r="AZ897" s="205"/>
      <c r="BA897" s="205"/>
      <c r="BB897" s="205"/>
      <c r="BC897" s="205"/>
      <c r="BD897" s="205"/>
      <c r="BE897" s="205"/>
      <c r="BF897" s="205"/>
      <c r="BG897" s="205"/>
      <c r="BH897" s="205"/>
      <c r="BI897" s="319"/>
    </row>
    <row r="898" spans="3:61" ht="15" customHeight="1">
      <c r="C898" s="325"/>
      <c r="D898" s="326"/>
      <c r="E898" s="311"/>
      <c r="F898" s="311"/>
      <c r="G898" s="311"/>
      <c r="H898" s="311"/>
      <c r="I898" s="311"/>
      <c r="J898" s="317"/>
      <c r="K898" s="312"/>
      <c r="L898" s="312"/>
      <c r="M898" s="312"/>
      <c r="N898" s="312"/>
      <c r="O898" s="312"/>
      <c r="P898" s="322" t="str">
        <f t="shared" si="41"/>
        <v/>
      </c>
      <c r="Q898" s="208" t="str">
        <f t="shared" si="39"/>
        <v/>
      </c>
      <c r="R898" s="208"/>
      <c r="S898" s="323" t="str">
        <f t="shared" si="40"/>
        <v/>
      </c>
      <c r="U898" s="322"/>
      <c r="V898" s="791"/>
      <c r="W898" s="792"/>
      <c r="X898" s="480"/>
      <c r="Y898" s="480"/>
      <c r="Z898" s="480"/>
      <c r="AA898" s="323"/>
      <c r="AB898" s="220"/>
      <c r="AC898" s="322"/>
      <c r="AD898" s="323"/>
      <c r="AE898" s="220"/>
      <c r="AF898" s="324"/>
      <c r="AG898" s="208"/>
      <c r="AH898" s="208"/>
      <c r="AI898" s="208"/>
      <c r="AJ898" s="208"/>
      <c r="AK898" s="208"/>
      <c r="AL898" s="208"/>
      <c r="AM898" s="208"/>
      <c r="AN898" s="208"/>
      <c r="AO898" s="208"/>
      <c r="AP898" s="208"/>
      <c r="AQ898" s="208"/>
      <c r="AR898" s="208"/>
      <c r="AS898" s="208"/>
      <c r="AT898" s="208"/>
      <c r="AU898" s="208"/>
      <c r="AV898" s="208"/>
      <c r="AW898" s="208"/>
      <c r="AX898" s="208"/>
      <c r="AY898" s="208"/>
      <c r="AZ898" s="208"/>
      <c r="BA898" s="208"/>
      <c r="BB898" s="208"/>
      <c r="BC898" s="208"/>
      <c r="BD898" s="208"/>
      <c r="BE898" s="208"/>
      <c r="BF898" s="208"/>
      <c r="BG898" s="208"/>
      <c r="BH898" s="208"/>
      <c r="BI898" s="323"/>
    </row>
    <row r="899" spans="3:61" ht="15" customHeight="1">
      <c r="C899" s="325"/>
      <c r="D899" s="326"/>
      <c r="E899" s="311"/>
      <c r="F899" s="311"/>
      <c r="G899" s="311"/>
      <c r="H899" s="311"/>
      <c r="I899" s="311"/>
      <c r="J899" s="317"/>
      <c r="K899" s="312"/>
      <c r="L899" s="312"/>
      <c r="M899" s="312"/>
      <c r="N899" s="312"/>
      <c r="O899" s="312"/>
      <c r="P899" s="318" t="str">
        <f t="shared" si="41"/>
        <v/>
      </c>
      <c r="Q899" s="205" t="str">
        <f t="shared" si="39"/>
        <v/>
      </c>
      <c r="R899" s="205"/>
      <c r="S899" s="319" t="str">
        <f t="shared" si="40"/>
        <v/>
      </c>
      <c r="U899" s="318"/>
      <c r="V899" s="794"/>
      <c r="W899" s="795"/>
      <c r="X899" s="482"/>
      <c r="Y899" s="482"/>
      <c r="Z899" s="482"/>
      <c r="AA899" s="319"/>
      <c r="AB899" s="220"/>
      <c r="AC899" s="318"/>
      <c r="AD899" s="319"/>
      <c r="AE899" s="220"/>
      <c r="AF899" s="320"/>
      <c r="AG899" s="205"/>
      <c r="AH899" s="205"/>
      <c r="AI899" s="205"/>
      <c r="AJ899" s="205"/>
      <c r="AK899" s="205"/>
      <c r="AL899" s="205"/>
      <c r="AM899" s="205"/>
      <c r="AN899" s="205"/>
      <c r="AO899" s="205"/>
      <c r="AP899" s="205"/>
      <c r="AQ899" s="205"/>
      <c r="AR899" s="205"/>
      <c r="AS899" s="205"/>
      <c r="AT899" s="205"/>
      <c r="AU899" s="205"/>
      <c r="AV899" s="205"/>
      <c r="AW899" s="205"/>
      <c r="AX899" s="205"/>
      <c r="AY899" s="205"/>
      <c r="AZ899" s="205"/>
      <c r="BA899" s="205"/>
      <c r="BB899" s="205"/>
      <c r="BC899" s="205"/>
      <c r="BD899" s="205"/>
      <c r="BE899" s="205"/>
      <c r="BF899" s="205"/>
      <c r="BG899" s="205"/>
      <c r="BH899" s="205"/>
      <c r="BI899" s="319"/>
    </row>
    <row r="900" spans="3:61" ht="15" customHeight="1">
      <c r="C900" s="325"/>
      <c r="D900" s="326"/>
      <c r="E900" s="311"/>
      <c r="F900" s="311"/>
      <c r="G900" s="311"/>
      <c r="H900" s="311"/>
      <c r="I900" s="311"/>
      <c r="J900" s="317"/>
      <c r="K900" s="312"/>
      <c r="L900" s="312"/>
      <c r="M900" s="312"/>
      <c r="N900" s="312"/>
      <c r="O900" s="312"/>
      <c r="P900" s="322" t="str">
        <f t="shared" si="41"/>
        <v/>
      </c>
      <c r="Q900" s="208" t="str">
        <f t="shared" si="39"/>
        <v/>
      </c>
      <c r="R900" s="208"/>
      <c r="S900" s="323" t="str">
        <f t="shared" si="40"/>
        <v/>
      </c>
      <c r="U900" s="322"/>
      <c r="V900" s="791"/>
      <c r="W900" s="792"/>
      <c r="X900" s="480"/>
      <c r="Y900" s="480"/>
      <c r="Z900" s="480"/>
      <c r="AA900" s="323"/>
      <c r="AB900" s="220"/>
      <c r="AC900" s="322"/>
      <c r="AD900" s="323"/>
      <c r="AE900" s="220"/>
      <c r="AF900" s="324"/>
      <c r="AG900" s="208"/>
      <c r="AH900" s="208"/>
      <c r="AI900" s="208"/>
      <c r="AJ900" s="208"/>
      <c r="AK900" s="208"/>
      <c r="AL900" s="208"/>
      <c r="AM900" s="208"/>
      <c r="AN900" s="208"/>
      <c r="AO900" s="208"/>
      <c r="AP900" s="208"/>
      <c r="AQ900" s="208"/>
      <c r="AR900" s="208"/>
      <c r="AS900" s="208"/>
      <c r="AT900" s="208"/>
      <c r="AU900" s="208"/>
      <c r="AV900" s="208"/>
      <c r="AW900" s="208"/>
      <c r="AX900" s="208"/>
      <c r="AY900" s="208"/>
      <c r="AZ900" s="208"/>
      <c r="BA900" s="208"/>
      <c r="BB900" s="208"/>
      <c r="BC900" s="208"/>
      <c r="BD900" s="208"/>
      <c r="BE900" s="208"/>
      <c r="BF900" s="208"/>
      <c r="BG900" s="208"/>
      <c r="BH900" s="208"/>
      <c r="BI900" s="323"/>
    </row>
    <row r="901" spans="3:61" ht="15" customHeight="1">
      <c r="C901" s="325"/>
      <c r="D901" s="326"/>
      <c r="E901" s="311"/>
      <c r="F901" s="311"/>
      <c r="G901" s="311"/>
      <c r="H901" s="311"/>
      <c r="I901" s="311"/>
      <c r="J901" s="317"/>
      <c r="K901" s="312"/>
      <c r="L901" s="312"/>
      <c r="M901" s="312"/>
      <c r="N901" s="312"/>
      <c r="O901" s="312"/>
      <c r="P901" s="318" t="str">
        <f t="shared" si="41"/>
        <v/>
      </c>
      <c r="Q901" s="205" t="str">
        <f t="shared" si="39"/>
        <v/>
      </c>
      <c r="R901" s="205"/>
      <c r="S901" s="319" t="str">
        <f t="shared" si="40"/>
        <v/>
      </c>
      <c r="U901" s="318"/>
      <c r="V901" s="794"/>
      <c r="W901" s="795"/>
      <c r="X901" s="482"/>
      <c r="Y901" s="482"/>
      <c r="Z901" s="482"/>
      <c r="AA901" s="319"/>
      <c r="AB901" s="220"/>
      <c r="AC901" s="318"/>
      <c r="AD901" s="319"/>
      <c r="AE901" s="220"/>
      <c r="AF901" s="320"/>
      <c r="AG901" s="205"/>
      <c r="AH901" s="205"/>
      <c r="AI901" s="205"/>
      <c r="AJ901" s="205"/>
      <c r="AK901" s="205"/>
      <c r="AL901" s="205"/>
      <c r="AM901" s="205"/>
      <c r="AN901" s="205"/>
      <c r="AO901" s="205"/>
      <c r="AP901" s="205"/>
      <c r="AQ901" s="205"/>
      <c r="AR901" s="205"/>
      <c r="AS901" s="205"/>
      <c r="AT901" s="205"/>
      <c r="AU901" s="205"/>
      <c r="AV901" s="205"/>
      <c r="AW901" s="205"/>
      <c r="AX901" s="205"/>
      <c r="AY901" s="205"/>
      <c r="AZ901" s="205"/>
      <c r="BA901" s="205"/>
      <c r="BB901" s="205"/>
      <c r="BC901" s="205"/>
      <c r="BD901" s="205"/>
      <c r="BE901" s="205"/>
      <c r="BF901" s="205"/>
      <c r="BG901" s="205"/>
      <c r="BH901" s="205"/>
      <c r="BI901" s="319"/>
    </row>
    <row r="902" spans="3:61" ht="15" customHeight="1">
      <c r="C902" s="325"/>
      <c r="D902" s="326"/>
      <c r="E902" s="311"/>
      <c r="F902" s="311"/>
      <c r="G902" s="311"/>
      <c r="H902" s="311"/>
      <c r="I902" s="311"/>
      <c r="J902" s="317"/>
      <c r="K902" s="312"/>
      <c r="L902" s="312"/>
      <c r="M902" s="312"/>
      <c r="N902" s="312"/>
      <c r="O902" s="312"/>
      <c r="P902" s="322" t="str">
        <f t="shared" si="41"/>
        <v/>
      </c>
      <c r="Q902" s="208" t="str">
        <f t="shared" si="39"/>
        <v/>
      </c>
      <c r="R902" s="208"/>
      <c r="S902" s="323" t="str">
        <f t="shared" si="40"/>
        <v/>
      </c>
      <c r="U902" s="322"/>
      <c r="V902" s="791"/>
      <c r="W902" s="792"/>
      <c r="X902" s="480"/>
      <c r="Y902" s="480"/>
      <c r="Z902" s="480"/>
      <c r="AA902" s="323"/>
      <c r="AB902" s="220"/>
      <c r="AC902" s="322"/>
      <c r="AD902" s="323"/>
      <c r="AE902" s="220"/>
      <c r="AF902" s="324"/>
      <c r="AG902" s="208"/>
      <c r="AH902" s="208"/>
      <c r="AI902" s="208"/>
      <c r="AJ902" s="208"/>
      <c r="AK902" s="208"/>
      <c r="AL902" s="208"/>
      <c r="AM902" s="208"/>
      <c r="AN902" s="208"/>
      <c r="AO902" s="208"/>
      <c r="AP902" s="208"/>
      <c r="AQ902" s="208"/>
      <c r="AR902" s="208"/>
      <c r="AS902" s="208"/>
      <c r="AT902" s="208"/>
      <c r="AU902" s="208"/>
      <c r="AV902" s="208"/>
      <c r="AW902" s="208"/>
      <c r="AX902" s="208"/>
      <c r="AY902" s="208"/>
      <c r="AZ902" s="208"/>
      <c r="BA902" s="208"/>
      <c r="BB902" s="208"/>
      <c r="BC902" s="208"/>
      <c r="BD902" s="208"/>
      <c r="BE902" s="208"/>
      <c r="BF902" s="208"/>
      <c r="BG902" s="208"/>
      <c r="BH902" s="208"/>
      <c r="BI902" s="323"/>
    </row>
    <row r="903" spans="3:61" ht="15" customHeight="1">
      <c r="C903" s="325"/>
      <c r="D903" s="326"/>
      <c r="E903" s="311"/>
      <c r="F903" s="311"/>
      <c r="G903" s="311"/>
      <c r="H903" s="311"/>
      <c r="I903" s="311"/>
      <c r="J903" s="317"/>
      <c r="K903" s="312"/>
      <c r="L903" s="312"/>
      <c r="M903" s="312"/>
      <c r="N903" s="312"/>
      <c r="O903" s="312"/>
      <c r="P903" s="318" t="str">
        <f t="shared" si="41"/>
        <v/>
      </c>
      <c r="Q903" s="205" t="str">
        <f t="shared" si="39"/>
        <v/>
      </c>
      <c r="R903" s="205"/>
      <c r="S903" s="319" t="str">
        <f t="shared" si="40"/>
        <v/>
      </c>
      <c r="U903" s="318"/>
      <c r="V903" s="794"/>
      <c r="W903" s="795"/>
      <c r="X903" s="482"/>
      <c r="Y903" s="482"/>
      <c r="Z903" s="482"/>
      <c r="AA903" s="319"/>
      <c r="AB903" s="220"/>
      <c r="AC903" s="318"/>
      <c r="AD903" s="319"/>
      <c r="AE903" s="220"/>
      <c r="AF903" s="320"/>
      <c r="AG903" s="205"/>
      <c r="AH903" s="205"/>
      <c r="AI903" s="205"/>
      <c r="AJ903" s="205"/>
      <c r="AK903" s="205"/>
      <c r="AL903" s="205"/>
      <c r="AM903" s="205"/>
      <c r="AN903" s="205"/>
      <c r="AO903" s="205"/>
      <c r="AP903" s="205"/>
      <c r="AQ903" s="205"/>
      <c r="AR903" s="205"/>
      <c r="AS903" s="205"/>
      <c r="AT903" s="205"/>
      <c r="AU903" s="205"/>
      <c r="AV903" s="205"/>
      <c r="AW903" s="205"/>
      <c r="AX903" s="205"/>
      <c r="AY903" s="205"/>
      <c r="AZ903" s="205"/>
      <c r="BA903" s="205"/>
      <c r="BB903" s="205"/>
      <c r="BC903" s="205"/>
      <c r="BD903" s="205"/>
      <c r="BE903" s="205"/>
      <c r="BF903" s="205"/>
      <c r="BG903" s="205"/>
      <c r="BH903" s="205"/>
      <c r="BI903" s="319"/>
    </row>
    <row r="904" spans="3:61" ht="15" customHeight="1">
      <c r="C904" s="325"/>
      <c r="D904" s="326"/>
      <c r="E904" s="311"/>
      <c r="F904" s="311"/>
      <c r="G904" s="311"/>
      <c r="H904" s="311"/>
      <c r="I904" s="311"/>
      <c r="J904" s="317"/>
      <c r="K904" s="312"/>
      <c r="L904" s="312"/>
      <c r="M904" s="312"/>
      <c r="N904" s="312"/>
      <c r="O904" s="312"/>
      <c r="P904" s="322" t="str">
        <f t="shared" si="41"/>
        <v/>
      </c>
      <c r="Q904" s="208" t="str">
        <f t="shared" si="39"/>
        <v/>
      </c>
      <c r="R904" s="208"/>
      <c r="S904" s="323" t="str">
        <f t="shared" si="40"/>
        <v/>
      </c>
      <c r="U904" s="322"/>
      <c r="V904" s="791"/>
      <c r="W904" s="792"/>
      <c r="X904" s="480"/>
      <c r="Y904" s="480"/>
      <c r="Z904" s="480"/>
      <c r="AA904" s="323"/>
      <c r="AB904" s="220"/>
      <c r="AC904" s="322"/>
      <c r="AD904" s="323"/>
      <c r="AE904" s="220"/>
      <c r="AF904" s="324"/>
      <c r="AG904" s="208"/>
      <c r="AH904" s="208"/>
      <c r="AI904" s="208"/>
      <c r="AJ904" s="208"/>
      <c r="AK904" s="208"/>
      <c r="AL904" s="208"/>
      <c r="AM904" s="208"/>
      <c r="AN904" s="208"/>
      <c r="AO904" s="208"/>
      <c r="AP904" s="208"/>
      <c r="AQ904" s="208"/>
      <c r="AR904" s="208"/>
      <c r="AS904" s="208"/>
      <c r="AT904" s="208"/>
      <c r="AU904" s="208"/>
      <c r="AV904" s="208"/>
      <c r="AW904" s="208"/>
      <c r="AX904" s="208"/>
      <c r="AY904" s="208"/>
      <c r="AZ904" s="208"/>
      <c r="BA904" s="208"/>
      <c r="BB904" s="208"/>
      <c r="BC904" s="208"/>
      <c r="BD904" s="208"/>
      <c r="BE904" s="208"/>
      <c r="BF904" s="208"/>
      <c r="BG904" s="208"/>
      <c r="BH904" s="208"/>
      <c r="BI904" s="323"/>
    </row>
    <row r="905" spans="3:61" ht="15" customHeight="1">
      <c r="C905" s="325"/>
      <c r="D905" s="326"/>
      <c r="E905" s="311"/>
      <c r="F905" s="311"/>
      <c r="G905" s="311"/>
      <c r="H905" s="311"/>
      <c r="I905" s="311"/>
      <c r="J905" s="317"/>
      <c r="K905" s="312"/>
      <c r="L905" s="312"/>
      <c r="M905" s="312"/>
      <c r="N905" s="312"/>
      <c r="O905" s="312"/>
      <c r="P905" s="318" t="str">
        <f t="shared" si="41"/>
        <v/>
      </c>
      <c r="Q905" s="205" t="str">
        <f t="shared" si="39"/>
        <v/>
      </c>
      <c r="R905" s="205"/>
      <c r="S905" s="319" t="str">
        <f t="shared" si="40"/>
        <v/>
      </c>
      <c r="U905" s="318"/>
      <c r="V905" s="794"/>
      <c r="W905" s="795"/>
      <c r="X905" s="482"/>
      <c r="Y905" s="482"/>
      <c r="Z905" s="482"/>
      <c r="AA905" s="319"/>
      <c r="AB905" s="220"/>
      <c r="AC905" s="318"/>
      <c r="AD905" s="319"/>
      <c r="AE905" s="220"/>
      <c r="AF905" s="320"/>
      <c r="AG905" s="205"/>
      <c r="AH905" s="205"/>
      <c r="AI905" s="205"/>
      <c r="AJ905" s="205"/>
      <c r="AK905" s="205"/>
      <c r="AL905" s="205"/>
      <c r="AM905" s="205"/>
      <c r="AN905" s="205"/>
      <c r="AO905" s="205"/>
      <c r="AP905" s="205"/>
      <c r="AQ905" s="205"/>
      <c r="AR905" s="205"/>
      <c r="AS905" s="205"/>
      <c r="AT905" s="205"/>
      <c r="AU905" s="205"/>
      <c r="AV905" s="205"/>
      <c r="AW905" s="205"/>
      <c r="AX905" s="205"/>
      <c r="AY905" s="205"/>
      <c r="AZ905" s="205"/>
      <c r="BA905" s="205"/>
      <c r="BB905" s="205"/>
      <c r="BC905" s="205"/>
      <c r="BD905" s="205"/>
      <c r="BE905" s="205"/>
      <c r="BF905" s="205"/>
      <c r="BG905" s="205"/>
      <c r="BH905" s="205"/>
      <c r="BI905" s="319"/>
    </row>
    <row r="906" spans="3:61" ht="15" customHeight="1">
      <c r="C906" s="325"/>
      <c r="D906" s="326"/>
      <c r="E906" s="311"/>
      <c r="F906" s="311"/>
      <c r="G906" s="311"/>
      <c r="H906" s="311"/>
      <c r="I906" s="311"/>
      <c r="J906" s="317"/>
      <c r="K906" s="312"/>
      <c r="L906" s="312"/>
      <c r="M906" s="312"/>
      <c r="N906" s="312"/>
      <c r="O906" s="312"/>
      <c r="P906" s="322" t="str">
        <f t="shared" si="41"/>
        <v/>
      </c>
      <c r="Q906" s="208" t="str">
        <f t="shared" si="39"/>
        <v/>
      </c>
      <c r="R906" s="208"/>
      <c r="S906" s="323" t="str">
        <f t="shared" si="40"/>
        <v/>
      </c>
      <c r="U906" s="322"/>
      <c r="V906" s="791"/>
      <c r="W906" s="792"/>
      <c r="X906" s="480"/>
      <c r="Y906" s="480"/>
      <c r="Z906" s="480"/>
      <c r="AA906" s="323"/>
      <c r="AB906" s="220"/>
      <c r="AC906" s="322"/>
      <c r="AD906" s="323"/>
      <c r="AE906" s="220"/>
      <c r="AF906" s="324"/>
      <c r="AG906" s="208"/>
      <c r="AH906" s="208"/>
      <c r="AI906" s="208"/>
      <c r="AJ906" s="208"/>
      <c r="AK906" s="208"/>
      <c r="AL906" s="208"/>
      <c r="AM906" s="208"/>
      <c r="AN906" s="208"/>
      <c r="AO906" s="208"/>
      <c r="AP906" s="208"/>
      <c r="AQ906" s="208"/>
      <c r="AR906" s="208"/>
      <c r="AS906" s="208"/>
      <c r="AT906" s="208"/>
      <c r="AU906" s="208"/>
      <c r="AV906" s="208"/>
      <c r="AW906" s="208"/>
      <c r="AX906" s="208"/>
      <c r="AY906" s="208"/>
      <c r="AZ906" s="208"/>
      <c r="BA906" s="208"/>
      <c r="BB906" s="208"/>
      <c r="BC906" s="208"/>
      <c r="BD906" s="208"/>
      <c r="BE906" s="208"/>
      <c r="BF906" s="208"/>
      <c r="BG906" s="208"/>
      <c r="BH906" s="208"/>
      <c r="BI906" s="323"/>
    </row>
    <row r="907" spans="3:61" ht="15" customHeight="1">
      <c r="C907" s="325"/>
      <c r="D907" s="326"/>
      <c r="E907" s="311"/>
      <c r="F907" s="311"/>
      <c r="G907" s="311"/>
      <c r="H907" s="311"/>
      <c r="I907" s="311"/>
      <c r="J907" s="317"/>
      <c r="K907" s="312"/>
      <c r="L907" s="312"/>
      <c r="M907" s="312"/>
      <c r="N907" s="312"/>
      <c r="O907" s="312"/>
      <c r="P907" s="318" t="str">
        <f t="shared" si="41"/>
        <v/>
      </c>
      <c r="Q907" s="205" t="str">
        <f t="shared" ref="Q907:Q970" si="42">IF($AA907 = "", "", $AA907/$AA$10*100)</f>
        <v/>
      </c>
      <c r="R907" s="205"/>
      <c r="S907" s="319" t="str">
        <f t="shared" ref="S907:S970" si="43">IF($AD907 = "", "", $AD907/$AD$10*100)</f>
        <v/>
      </c>
      <c r="U907" s="318"/>
      <c r="V907" s="794"/>
      <c r="W907" s="795"/>
      <c r="X907" s="482"/>
      <c r="Y907" s="482"/>
      <c r="Z907" s="482"/>
      <c r="AA907" s="319"/>
      <c r="AB907" s="220"/>
      <c r="AC907" s="318"/>
      <c r="AD907" s="319"/>
      <c r="AE907" s="220"/>
      <c r="AF907" s="320"/>
      <c r="AG907" s="205"/>
      <c r="AH907" s="205"/>
      <c r="AI907" s="205"/>
      <c r="AJ907" s="205"/>
      <c r="AK907" s="205"/>
      <c r="AL907" s="205"/>
      <c r="AM907" s="205"/>
      <c r="AN907" s="205"/>
      <c r="AO907" s="205"/>
      <c r="AP907" s="205"/>
      <c r="AQ907" s="205"/>
      <c r="AR907" s="205"/>
      <c r="AS907" s="205"/>
      <c r="AT907" s="205"/>
      <c r="AU907" s="205"/>
      <c r="AV907" s="205"/>
      <c r="AW907" s="205"/>
      <c r="AX907" s="205"/>
      <c r="AY907" s="205"/>
      <c r="AZ907" s="205"/>
      <c r="BA907" s="205"/>
      <c r="BB907" s="205"/>
      <c r="BC907" s="205"/>
      <c r="BD907" s="205"/>
      <c r="BE907" s="205"/>
      <c r="BF907" s="205"/>
      <c r="BG907" s="205"/>
      <c r="BH907" s="205"/>
      <c r="BI907" s="319"/>
    </row>
    <row r="908" spans="3:61" ht="15" customHeight="1">
      <c r="C908" s="325"/>
      <c r="D908" s="326"/>
      <c r="E908" s="311"/>
      <c r="F908" s="311"/>
      <c r="G908" s="311"/>
      <c r="H908" s="311"/>
      <c r="I908" s="311"/>
      <c r="J908" s="317"/>
      <c r="K908" s="312"/>
      <c r="L908" s="312"/>
      <c r="M908" s="312"/>
      <c r="N908" s="312"/>
      <c r="O908" s="312"/>
      <c r="P908" s="322" t="str">
        <f t="shared" ref="P908:P971" si="44">IF(U908="", "", U908)</f>
        <v/>
      </c>
      <c r="Q908" s="208" t="str">
        <f t="shared" si="42"/>
        <v/>
      </c>
      <c r="R908" s="208"/>
      <c r="S908" s="323" t="str">
        <f t="shared" si="43"/>
        <v/>
      </c>
      <c r="U908" s="322"/>
      <c r="V908" s="791"/>
      <c r="W908" s="792"/>
      <c r="X908" s="480"/>
      <c r="Y908" s="480"/>
      <c r="Z908" s="480"/>
      <c r="AA908" s="323"/>
      <c r="AB908" s="220"/>
      <c r="AC908" s="322"/>
      <c r="AD908" s="323"/>
      <c r="AE908" s="220"/>
      <c r="AF908" s="324"/>
      <c r="AG908" s="208"/>
      <c r="AH908" s="208"/>
      <c r="AI908" s="208"/>
      <c r="AJ908" s="208"/>
      <c r="AK908" s="208"/>
      <c r="AL908" s="208"/>
      <c r="AM908" s="208"/>
      <c r="AN908" s="208"/>
      <c r="AO908" s="208"/>
      <c r="AP908" s="208"/>
      <c r="AQ908" s="208"/>
      <c r="AR908" s="208"/>
      <c r="AS908" s="208"/>
      <c r="AT908" s="208"/>
      <c r="AU908" s="208"/>
      <c r="AV908" s="208"/>
      <c r="AW908" s="208"/>
      <c r="AX908" s="208"/>
      <c r="AY908" s="208"/>
      <c r="AZ908" s="208"/>
      <c r="BA908" s="208"/>
      <c r="BB908" s="208"/>
      <c r="BC908" s="208"/>
      <c r="BD908" s="208"/>
      <c r="BE908" s="208"/>
      <c r="BF908" s="208"/>
      <c r="BG908" s="208"/>
      <c r="BH908" s="208"/>
      <c r="BI908" s="323"/>
    </row>
    <row r="909" spans="3:61" ht="15" customHeight="1">
      <c r="C909" s="325"/>
      <c r="D909" s="326"/>
      <c r="E909" s="311"/>
      <c r="F909" s="311"/>
      <c r="G909" s="311"/>
      <c r="H909" s="311"/>
      <c r="I909" s="311"/>
      <c r="J909" s="317"/>
      <c r="K909" s="312"/>
      <c r="L909" s="312"/>
      <c r="M909" s="312"/>
      <c r="N909" s="312"/>
      <c r="O909" s="312"/>
      <c r="P909" s="318" t="str">
        <f t="shared" si="44"/>
        <v/>
      </c>
      <c r="Q909" s="205" t="str">
        <f t="shared" si="42"/>
        <v/>
      </c>
      <c r="R909" s="205"/>
      <c r="S909" s="319" t="str">
        <f t="shared" si="43"/>
        <v/>
      </c>
      <c r="U909" s="318"/>
      <c r="V909" s="794"/>
      <c r="W909" s="795"/>
      <c r="X909" s="482"/>
      <c r="Y909" s="482"/>
      <c r="Z909" s="482"/>
      <c r="AA909" s="319"/>
      <c r="AB909" s="220"/>
      <c r="AC909" s="318"/>
      <c r="AD909" s="319"/>
      <c r="AE909" s="220"/>
      <c r="AF909" s="320"/>
      <c r="AG909" s="205"/>
      <c r="AH909" s="205"/>
      <c r="AI909" s="205"/>
      <c r="AJ909" s="205"/>
      <c r="AK909" s="205"/>
      <c r="AL909" s="205"/>
      <c r="AM909" s="205"/>
      <c r="AN909" s="205"/>
      <c r="AO909" s="205"/>
      <c r="AP909" s="205"/>
      <c r="AQ909" s="205"/>
      <c r="AR909" s="205"/>
      <c r="AS909" s="205"/>
      <c r="AT909" s="205"/>
      <c r="AU909" s="205"/>
      <c r="AV909" s="205"/>
      <c r="AW909" s="205"/>
      <c r="AX909" s="205"/>
      <c r="AY909" s="205"/>
      <c r="AZ909" s="205"/>
      <c r="BA909" s="205"/>
      <c r="BB909" s="205"/>
      <c r="BC909" s="205"/>
      <c r="BD909" s="205"/>
      <c r="BE909" s="205"/>
      <c r="BF909" s="205"/>
      <c r="BG909" s="205"/>
      <c r="BH909" s="205"/>
      <c r="BI909" s="319"/>
    </row>
    <row r="910" spans="3:61" ht="15" customHeight="1">
      <c r="C910" s="325"/>
      <c r="D910" s="326"/>
      <c r="E910" s="311"/>
      <c r="F910" s="311"/>
      <c r="G910" s="311"/>
      <c r="H910" s="311"/>
      <c r="I910" s="311"/>
      <c r="J910" s="317"/>
      <c r="K910" s="312"/>
      <c r="L910" s="312"/>
      <c r="M910" s="312"/>
      <c r="N910" s="312"/>
      <c r="O910" s="312"/>
      <c r="P910" s="322" t="str">
        <f t="shared" si="44"/>
        <v/>
      </c>
      <c r="Q910" s="208" t="str">
        <f t="shared" si="42"/>
        <v/>
      </c>
      <c r="R910" s="208"/>
      <c r="S910" s="323" t="str">
        <f t="shared" si="43"/>
        <v/>
      </c>
      <c r="U910" s="322"/>
      <c r="V910" s="791"/>
      <c r="W910" s="792"/>
      <c r="X910" s="480"/>
      <c r="Y910" s="480"/>
      <c r="Z910" s="480"/>
      <c r="AA910" s="323"/>
      <c r="AB910" s="220"/>
      <c r="AC910" s="322"/>
      <c r="AD910" s="323"/>
      <c r="AE910" s="220"/>
      <c r="AF910" s="324"/>
      <c r="AG910" s="208"/>
      <c r="AH910" s="208"/>
      <c r="AI910" s="208"/>
      <c r="AJ910" s="208"/>
      <c r="AK910" s="208"/>
      <c r="AL910" s="208"/>
      <c r="AM910" s="208"/>
      <c r="AN910" s="208"/>
      <c r="AO910" s="208"/>
      <c r="AP910" s="208"/>
      <c r="AQ910" s="208"/>
      <c r="AR910" s="208"/>
      <c r="AS910" s="208"/>
      <c r="AT910" s="208"/>
      <c r="AU910" s="208"/>
      <c r="AV910" s="208"/>
      <c r="AW910" s="208"/>
      <c r="AX910" s="208"/>
      <c r="AY910" s="208"/>
      <c r="AZ910" s="208"/>
      <c r="BA910" s="208"/>
      <c r="BB910" s="208"/>
      <c r="BC910" s="208"/>
      <c r="BD910" s="208"/>
      <c r="BE910" s="208"/>
      <c r="BF910" s="208"/>
      <c r="BG910" s="208"/>
      <c r="BH910" s="208"/>
      <c r="BI910" s="323"/>
    </row>
    <row r="911" spans="3:61" ht="15" customHeight="1">
      <c r="C911" s="325"/>
      <c r="D911" s="326"/>
      <c r="E911" s="311"/>
      <c r="F911" s="311"/>
      <c r="G911" s="311"/>
      <c r="H911" s="311"/>
      <c r="I911" s="311"/>
      <c r="J911" s="317"/>
      <c r="K911" s="312"/>
      <c r="L911" s="312"/>
      <c r="M911" s="312"/>
      <c r="N911" s="312"/>
      <c r="O911" s="312"/>
      <c r="P911" s="318" t="str">
        <f t="shared" si="44"/>
        <v/>
      </c>
      <c r="Q911" s="205" t="str">
        <f t="shared" si="42"/>
        <v/>
      </c>
      <c r="R911" s="205"/>
      <c r="S911" s="319" t="str">
        <f t="shared" si="43"/>
        <v/>
      </c>
      <c r="U911" s="318"/>
      <c r="V911" s="794"/>
      <c r="W911" s="795"/>
      <c r="X911" s="482"/>
      <c r="Y911" s="482"/>
      <c r="Z911" s="482"/>
      <c r="AA911" s="319"/>
      <c r="AB911" s="220"/>
      <c r="AC911" s="318"/>
      <c r="AD911" s="319"/>
      <c r="AE911" s="220"/>
      <c r="AF911" s="320"/>
      <c r="AG911" s="205"/>
      <c r="AH911" s="205"/>
      <c r="AI911" s="205"/>
      <c r="AJ911" s="205"/>
      <c r="AK911" s="205"/>
      <c r="AL911" s="205"/>
      <c r="AM911" s="205"/>
      <c r="AN911" s="205"/>
      <c r="AO911" s="205"/>
      <c r="AP911" s="205"/>
      <c r="AQ911" s="205"/>
      <c r="AR911" s="205"/>
      <c r="AS911" s="205"/>
      <c r="AT911" s="205"/>
      <c r="AU911" s="205"/>
      <c r="AV911" s="205"/>
      <c r="AW911" s="205"/>
      <c r="AX911" s="205"/>
      <c r="AY911" s="205"/>
      <c r="AZ911" s="205"/>
      <c r="BA911" s="205"/>
      <c r="BB911" s="205"/>
      <c r="BC911" s="205"/>
      <c r="BD911" s="205"/>
      <c r="BE911" s="205"/>
      <c r="BF911" s="205"/>
      <c r="BG911" s="205"/>
      <c r="BH911" s="205"/>
      <c r="BI911" s="319"/>
    </row>
    <row r="912" spans="3:61" ht="15" customHeight="1">
      <c r="C912" s="325"/>
      <c r="D912" s="326"/>
      <c r="E912" s="311"/>
      <c r="F912" s="311"/>
      <c r="G912" s="311"/>
      <c r="H912" s="311"/>
      <c r="I912" s="311"/>
      <c r="J912" s="317"/>
      <c r="K912" s="312"/>
      <c r="L912" s="312"/>
      <c r="M912" s="312"/>
      <c r="N912" s="312"/>
      <c r="O912" s="312"/>
      <c r="P912" s="322" t="str">
        <f t="shared" si="44"/>
        <v/>
      </c>
      <c r="Q912" s="208" t="str">
        <f t="shared" si="42"/>
        <v/>
      </c>
      <c r="R912" s="208"/>
      <c r="S912" s="323" t="str">
        <f t="shared" si="43"/>
        <v/>
      </c>
      <c r="U912" s="322"/>
      <c r="V912" s="791"/>
      <c r="W912" s="792"/>
      <c r="X912" s="480"/>
      <c r="Y912" s="480"/>
      <c r="Z912" s="480"/>
      <c r="AA912" s="323"/>
      <c r="AB912" s="220"/>
      <c r="AC912" s="322"/>
      <c r="AD912" s="323"/>
      <c r="AE912" s="220"/>
      <c r="AF912" s="324"/>
      <c r="AG912" s="208"/>
      <c r="AH912" s="208"/>
      <c r="AI912" s="208"/>
      <c r="AJ912" s="208"/>
      <c r="AK912" s="208"/>
      <c r="AL912" s="208"/>
      <c r="AM912" s="208"/>
      <c r="AN912" s="208"/>
      <c r="AO912" s="208"/>
      <c r="AP912" s="208"/>
      <c r="AQ912" s="208"/>
      <c r="AR912" s="208"/>
      <c r="AS912" s="208"/>
      <c r="AT912" s="208"/>
      <c r="AU912" s="208"/>
      <c r="AV912" s="208"/>
      <c r="AW912" s="208"/>
      <c r="AX912" s="208"/>
      <c r="AY912" s="208"/>
      <c r="AZ912" s="208"/>
      <c r="BA912" s="208"/>
      <c r="BB912" s="208"/>
      <c r="BC912" s="208"/>
      <c r="BD912" s="208"/>
      <c r="BE912" s="208"/>
      <c r="BF912" s="208"/>
      <c r="BG912" s="208"/>
      <c r="BH912" s="208"/>
      <c r="BI912" s="323"/>
    </row>
    <row r="913" spans="3:61" ht="15" customHeight="1">
      <c r="C913" s="325"/>
      <c r="D913" s="326"/>
      <c r="E913" s="311"/>
      <c r="F913" s="311"/>
      <c r="G913" s="311"/>
      <c r="H913" s="311"/>
      <c r="I913" s="311"/>
      <c r="J913" s="317"/>
      <c r="K913" s="312"/>
      <c r="L913" s="312"/>
      <c r="M913" s="312"/>
      <c r="N913" s="312"/>
      <c r="O913" s="312"/>
      <c r="P913" s="318" t="str">
        <f t="shared" si="44"/>
        <v/>
      </c>
      <c r="Q913" s="205" t="str">
        <f t="shared" si="42"/>
        <v/>
      </c>
      <c r="R913" s="205"/>
      <c r="S913" s="319" t="str">
        <f t="shared" si="43"/>
        <v/>
      </c>
      <c r="U913" s="318"/>
      <c r="V913" s="794"/>
      <c r="W913" s="795"/>
      <c r="X913" s="482"/>
      <c r="Y913" s="482"/>
      <c r="Z913" s="482"/>
      <c r="AA913" s="319"/>
      <c r="AB913" s="220"/>
      <c r="AC913" s="318"/>
      <c r="AD913" s="319"/>
      <c r="AE913" s="220"/>
      <c r="AF913" s="320"/>
      <c r="AG913" s="205"/>
      <c r="AH913" s="205"/>
      <c r="AI913" s="205"/>
      <c r="AJ913" s="205"/>
      <c r="AK913" s="205"/>
      <c r="AL913" s="205"/>
      <c r="AM913" s="205"/>
      <c r="AN913" s="205"/>
      <c r="AO913" s="205"/>
      <c r="AP913" s="205"/>
      <c r="AQ913" s="205"/>
      <c r="AR913" s="205"/>
      <c r="AS913" s="205"/>
      <c r="AT913" s="205"/>
      <c r="AU913" s="205"/>
      <c r="AV913" s="205"/>
      <c r="AW913" s="205"/>
      <c r="AX913" s="205"/>
      <c r="AY913" s="205"/>
      <c r="AZ913" s="205"/>
      <c r="BA913" s="205"/>
      <c r="BB913" s="205"/>
      <c r="BC913" s="205"/>
      <c r="BD913" s="205"/>
      <c r="BE913" s="205"/>
      <c r="BF913" s="205"/>
      <c r="BG913" s="205"/>
      <c r="BH913" s="205"/>
      <c r="BI913" s="319"/>
    </row>
    <row r="914" spans="3:61" ht="15" customHeight="1">
      <c r="C914" s="325"/>
      <c r="D914" s="326"/>
      <c r="E914" s="311"/>
      <c r="F914" s="311"/>
      <c r="G914" s="311"/>
      <c r="H914" s="311"/>
      <c r="I914" s="311"/>
      <c r="J914" s="317"/>
      <c r="K914" s="312"/>
      <c r="L914" s="312"/>
      <c r="M914" s="312"/>
      <c r="N914" s="312"/>
      <c r="O914" s="312"/>
      <c r="P914" s="322" t="str">
        <f t="shared" si="44"/>
        <v/>
      </c>
      <c r="Q914" s="208" t="str">
        <f t="shared" si="42"/>
        <v/>
      </c>
      <c r="R914" s="208"/>
      <c r="S914" s="323" t="str">
        <f t="shared" si="43"/>
        <v/>
      </c>
      <c r="U914" s="322"/>
      <c r="V914" s="791"/>
      <c r="W914" s="792"/>
      <c r="X914" s="480"/>
      <c r="Y914" s="480"/>
      <c r="Z914" s="480"/>
      <c r="AA914" s="323"/>
      <c r="AB914" s="220"/>
      <c r="AC914" s="322"/>
      <c r="AD914" s="323"/>
      <c r="AE914" s="220"/>
      <c r="AF914" s="324"/>
      <c r="AG914" s="208"/>
      <c r="AH914" s="208"/>
      <c r="AI914" s="208"/>
      <c r="AJ914" s="208"/>
      <c r="AK914" s="208"/>
      <c r="AL914" s="208"/>
      <c r="AM914" s="208"/>
      <c r="AN914" s="208"/>
      <c r="AO914" s="208"/>
      <c r="AP914" s="208"/>
      <c r="AQ914" s="208"/>
      <c r="AR914" s="208"/>
      <c r="AS914" s="208"/>
      <c r="AT914" s="208"/>
      <c r="AU914" s="208"/>
      <c r="AV914" s="208"/>
      <c r="AW914" s="208"/>
      <c r="AX914" s="208"/>
      <c r="AY914" s="208"/>
      <c r="AZ914" s="208"/>
      <c r="BA914" s="208"/>
      <c r="BB914" s="208"/>
      <c r="BC914" s="208"/>
      <c r="BD914" s="208"/>
      <c r="BE914" s="208"/>
      <c r="BF914" s="208"/>
      <c r="BG914" s="208"/>
      <c r="BH914" s="208"/>
      <c r="BI914" s="323"/>
    </row>
    <row r="915" spans="3:61" ht="15" customHeight="1">
      <c r="C915" s="325"/>
      <c r="D915" s="326"/>
      <c r="E915" s="311"/>
      <c r="F915" s="311"/>
      <c r="G915" s="311"/>
      <c r="H915" s="311"/>
      <c r="I915" s="311"/>
      <c r="J915" s="317"/>
      <c r="K915" s="312"/>
      <c r="L915" s="312"/>
      <c r="M915" s="312"/>
      <c r="N915" s="312"/>
      <c r="O915" s="312"/>
      <c r="P915" s="318" t="str">
        <f t="shared" si="44"/>
        <v/>
      </c>
      <c r="Q915" s="205" t="str">
        <f t="shared" si="42"/>
        <v/>
      </c>
      <c r="R915" s="205"/>
      <c r="S915" s="319" t="str">
        <f t="shared" si="43"/>
        <v/>
      </c>
      <c r="U915" s="318"/>
      <c r="V915" s="794"/>
      <c r="W915" s="795"/>
      <c r="X915" s="482"/>
      <c r="Y915" s="482"/>
      <c r="Z915" s="482"/>
      <c r="AA915" s="319"/>
      <c r="AB915" s="220"/>
      <c r="AC915" s="318"/>
      <c r="AD915" s="319"/>
      <c r="AE915" s="220"/>
      <c r="AF915" s="320"/>
      <c r="AG915" s="205"/>
      <c r="AH915" s="205"/>
      <c r="AI915" s="205"/>
      <c r="AJ915" s="205"/>
      <c r="AK915" s="205"/>
      <c r="AL915" s="205"/>
      <c r="AM915" s="205"/>
      <c r="AN915" s="205"/>
      <c r="AO915" s="205"/>
      <c r="AP915" s="205"/>
      <c r="AQ915" s="205"/>
      <c r="AR915" s="205"/>
      <c r="AS915" s="205"/>
      <c r="AT915" s="205"/>
      <c r="AU915" s="205"/>
      <c r="AV915" s="205"/>
      <c r="AW915" s="205"/>
      <c r="AX915" s="205"/>
      <c r="AY915" s="205"/>
      <c r="AZ915" s="205"/>
      <c r="BA915" s="205"/>
      <c r="BB915" s="205"/>
      <c r="BC915" s="205"/>
      <c r="BD915" s="205"/>
      <c r="BE915" s="205"/>
      <c r="BF915" s="205"/>
      <c r="BG915" s="205"/>
      <c r="BH915" s="205"/>
      <c r="BI915" s="319"/>
    </row>
    <row r="916" spans="3:61" ht="15" customHeight="1">
      <c r="C916" s="325"/>
      <c r="D916" s="326"/>
      <c r="E916" s="311"/>
      <c r="F916" s="311"/>
      <c r="G916" s="311"/>
      <c r="H916" s="311"/>
      <c r="I916" s="311"/>
      <c r="J916" s="317"/>
      <c r="K916" s="312"/>
      <c r="L916" s="312"/>
      <c r="M916" s="312"/>
      <c r="N916" s="312"/>
      <c r="O916" s="312"/>
      <c r="P916" s="322" t="str">
        <f t="shared" si="44"/>
        <v/>
      </c>
      <c r="Q916" s="208" t="str">
        <f t="shared" si="42"/>
        <v/>
      </c>
      <c r="R916" s="208"/>
      <c r="S916" s="323" t="str">
        <f t="shared" si="43"/>
        <v/>
      </c>
      <c r="U916" s="322"/>
      <c r="V916" s="791"/>
      <c r="W916" s="792"/>
      <c r="X916" s="480"/>
      <c r="Y916" s="480"/>
      <c r="Z916" s="480"/>
      <c r="AA916" s="323"/>
      <c r="AB916" s="220"/>
      <c r="AC916" s="322"/>
      <c r="AD916" s="323"/>
      <c r="AE916" s="220"/>
      <c r="AF916" s="324"/>
      <c r="AG916" s="208"/>
      <c r="AH916" s="208"/>
      <c r="AI916" s="208"/>
      <c r="AJ916" s="208"/>
      <c r="AK916" s="208"/>
      <c r="AL916" s="208"/>
      <c r="AM916" s="208"/>
      <c r="AN916" s="208"/>
      <c r="AO916" s="208"/>
      <c r="AP916" s="208"/>
      <c r="AQ916" s="208"/>
      <c r="AR916" s="208"/>
      <c r="AS916" s="208"/>
      <c r="AT916" s="208"/>
      <c r="AU916" s="208"/>
      <c r="AV916" s="208"/>
      <c r="AW916" s="208"/>
      <c r="AX916" s="208"/>
      <c r="AY916" s="208"/>
      <c r="AZ916" s="208"/>
      <c r="BA916" s="208"/>
      <c r="BB916" s="208"/>
      <c r="BC916" s="208"/>
      <c r="BD916" s="208"/>
      <c r="BE916" s="208"/>
      <c r="BF916" s="208"/>
      <c r="BG916" s="208"/>
      <c r="BH916" s="208"/>
      <c r="BI916" s="323"/>
    </row>
    <row r="917" spans="3:61" ht="15" customHeight="1">
      <c r="C917" s="325"/>
      <c r="D917" s="326"/>
      <c r="E917" s="311"/>
      <c r="F917" s="311"/>
      <c r="G917" s="311"/>
      <c r="H917" s="311"/>
      <c r="I917" s="311"/>
      <c r="J917" s="317"/>
      <c r="K917" s="312"/>
      <c r="L917" s="312"/>
      <c r="M917" s="312"/>
      <c r="N917" s="312"/>
      <c r="O917" s="312"/>
      <c r="P917" s="318" t="str">
        <f t="shared" si="44"/>
        <v/>
      </c>
      <c r="Q917" s="205" t="str">
        <f t="shared" si="42"/>
        <v/>
      </c>
      <c r="R917" s="205"/>
      <c r="S917" s="319" t="str">
        <f t="shared" si="43"/>
        <v/>
      </c>
      <c r="U917" s="318"/>
      <c r="V917" s="794"/>
      <c r="W917" s="795"/>
      <c r="X917" s="482"/>
      <c r="Y917" s="482"/>
      <c r="Z917" s="482"/>
      <c r="AA917" s="319"/>
      <c r="AB917" s="220"/>
      <c r="AC917" s="318"/>
      <c r="AD917" s="319"/>
      <c r="AE917" s="220"/>
      <c r="AF917" s="320"/>
      <c r="AG917" s="205"/>
      <c r="AH917" s="205"/>
      <c r="AI917" s="205"/>
      <c r="AJ917" s="205"/>
      <c r="AK917" s="205"/>
      <c r="AL917" s="205"/>
      <c r="AM917" s="205"/>
      <c r="AN917" s="205"/>
      <c r="AO917" s="205"/>
      <c r="AP917" s="205"/>
      <c r="AQ917" s="205"/>
      <c r="AR917" s="205"/>
      <c r="AS917" s="205"/>
      <c r="AT917" s="205"/>
      <c r="AU917" s="205"/>
      <c r="AV917" s="205"/>
      <c r="AW917" s="205"/>
      <c r="AX917" s="205"/>
      <c r="AY917" s="205"/>
      <c r="AZ917" s="205"/>
      <c r="BA917" s="205"/>
      <c r="BB917" s="205"/>
      <c r="BC917" s="205"/>
      <c r="BD917" s="205"/>
      <c r="BE917" s="205"/>
      <c r="BF917" s="205"/>
      <c r="BG917" s="205"/>
      <c r="BH917" s="205"/>
      <c r="BI917" s="319"/>
    </row>
    <row r="918" spans="3:61" ht="15" customHeight="1">
      <c r="C918" s="325"/>
      <c r="D918" s="326"/>
      <c r="E918" s="311"/>
      <c r="F918" s="311"/>
      <c r="G918" s="311"/>
      <c r="H918" s="311"/>
      <c r="I918" s="311"/>
      <c r="J918" s="317"/>
      <c r="K918" s="312"/>
      <c r="L918" s="312"/>
      <c r="M918" s="312"/>
      <c r="N918" s="312"/>
      <c r="O918" s="312"/>
      <c r="P918" s="322" t="str">
        <f t="shared" si="44"/>
        <v/>
      </c>
      <c r="Q918" s="208" t="str">
        <f t="shared" si="42"/>
        <v/>
      </c>
      <c r="R918" s="208"/>
      <c r="S918" s="323" t="str">
        <f t="shared" si="43"/>
        <v/>
      </c>
      <c r="U918" s="322"/>
      <c r="V918" s="791"/>
      <c r="W918" s="792"/>
      <c r="X918" s="480"/>
      <c r="Y918" s="480"/>
      <c r="Z918" s="480"/>
      <c r="AA918" s="323"/>
      <c r="AB918" s="220"/>
      <c r="AC918" s="322"/>
      <c r="AD918" s="323"/>
      <c r="AE918" s="220"/>
      <c r="AF918" s="324"/>
      <c r="AG918" s="208"/>
      <c r="AH918" s="208"/>
      <c r="AI918" s="208"/>
      <c r="AJ918" s="208"/>
      <c r="AK918" s="208"/>
      <c r="AL918" s="208"/>
      <c r="AM918" s="208"/>
      <c r="AN918" s="208"/>
      <c r="AO918" s="208"/>
      <c r="AP918" s="208"/>
      <c r="AQ918" s="208"/>
      <c r="AR918" s="208"/>
      <c r="AS918" s="208"/>
      <c r="AT918" s="208"/>
      <c r="AU918" s="208"/>
      <c r="AV918" s="208"/>
      <c r="AW918" s="208"/>
      <c r="AX918" s="208"/>
      <c r="AY918" s="208"/>
      <c r="AZ918" s="208"/>
      <c r="BA918" s="208"/>
      <c r="BB918" s="208"/>
      <c r="BC918" s="208"/>
      <c r="BD918" s="208"/>
      <c r="BE918" s="208"/>
      <c r="BF918" s="208"/>
      <c r="BG918" s="208"/>
      <c r="BH918" s="208"/>
      <c r="BI918" s="323"/>
    </row>
    <row r="919" spans="3:61" ht="15" customHeight="1">
      <c r="C919" s="325"/>
      <c r="D919" s="326"/>
      <c r="E919" s="311"/>
      <c r="F919" s="311"/>
      <c r="G919" s="311"/>
      <c r="H919" s="311"/>
      <c r="I919" s="311"/>
      <c r="J919" s="317"/>
      <c r="K919" s="312"/>
      <c r="L919" s="312"/>
      <c r="M919" s="312"/>
      <c r="N919" s="312"/>
      <c r="O919" s="312"/>
      <c r="P919" s="318" t="str">
        <f t="shared" si="44"/>
        <v/>
      </c>
      <c r="Q919" s="205" t="str">
        <f t="shared" si="42"/>
        <v/>
      </c>
      <c r="R919" s="205"/>
      <c r="S919" s="319" t="str">
        <f t="shared" si="43"/>
        <v/>
      </c>
      <c r="U919" s="318"/>
      <c r="V919" s="794"/>
      <c r="W919" s="795"/>
      <c r="X919" s="482"/>
      <c r="Y919" s="482"/>
      <c r="Z919" s="482"/>
      <c r="AA919" s="319"/>
      <c r="AB919" s="220"/>
      <c r="AC919" s="318"/>
      <c r="AD919" s="319"/>
      <c r="AE919" s="220"/>
      <c r="AF919" s="320"/>
      <c r="AG919" s="205"/>
      <c r="AH919" s="205"/>
      <c r="AI919" s="205"/>
      <c r="AJ919" s="205"/>
      <c r="AK919" s="205"/>
      <c r="AL919" s="205"/>
      <c r="AM919" s="205"/>
      <c r="AN919" s="205"/>
      <c r="AO919" s="205"/>
      <c r="AP919" s="205"/>
      <c r="AQ919" s="205"/>
      <c r="AR919" s="205"/>
      <c r="AS919" s="205"/>
      <c r="AT919" s="205"/>
      <c r="AU919" s="205"/>
      <c r="AV919" s="205"/>
      <c r="AW919" s="205"/>
      <c r="AX919" s="205"/>
      <c r="AY919" s="205"/>
      <c r="AZ919" s="205"/>
      <c r="BA919" s="205"/>
      <c r="BB919" s="205"/>
      <c r="BC919" s="205"/>
      <c r="BD919" s="205"/>
      <c r="BE919" s="205"/>
      <c r="BF919" s="205"/>
      <c r="BG919" s="205"/>
      <c r="BH919" s="205"/>
      <c r="BI919" s="319"/>
    </row>
    <row r="920" spans="3:61" ht="15" customHeight="1">
      <c r="C920" s="325"/>
      <c r="D920" s="326"/>
      <c r="E920" s="311"/>
      <c r="F920" s="311"/>
      <c r="G920" s="311"/>
      <c r="H920" s="311"/>
      <c r="I920" s="311"/>
      <c r="J920" s="317"/>
      <c r="K920" s="312"/>
      <c r="L920" s="312"/>
      <c r="M920" s="312"/>
      <c r="N920" s="312"/>
      <c r="O920" s="312"/>
      <c r="P920" s="322" t="str">
        <f t="shared" si="44"/>
        <v/>
      </c>
      <c r="Q920" s="208" t="str">
        <f t="shared" si="42"/>
        <v/>
      </c>
      <c r="R920" s="208"/>
      <c r="S920" s="323" t="str">
        <f t="shared" si="43"/>
        <v/>
      </c>
      <c r="U920" s="322"/>
      <c r="V920" s="791"/>
      <c r="W920" s="792"/>
      <c r="X920" s="480"/>
      <c r="Y920" s="480"/>
      <c r="Z920" s="480"/>
      <c r="AA920" s="323"/>
      <c r="AB920" s="220"/>
      <c r="AC920" s="322"/>
      <c r="AD920" s="323"/>
      <c r="AE920" s="220"/>
      <c r="AF920" s="324"/>
      <c r="AG920" s="208"/>
      <c r="AH920" s="208"/>
      <c r="AI920" s="208"/>
      <c r="AJ920" s="208"/>
      <c r="AK920" s="208"/>
      <c r="AL920" s="208"/>
      <c r="AM920" s="208"/>
      <c r="AN920" s="208"/>
      <c r="AO920" s="208"/>
      <c r="AP920" s="208"/>
      <c r="AQ920" s="208"/>
      <c r="AR920" s="208"/>
      <c r="AS920" s="208"/>
      <c r="AT920" s="208"/>
      <c r="AU920" s="208"/>
      <c r="AV920" s="208"/>
      <c r="AW920" s="208"/>
      <c r="AX920" s="208"/>
      <c r="AY920" s="208"/>
      <c r="AZ920" s="208"/>
      <c r="BA920" s="208"/>
      <c r="BB920" s="208"/>
      <c r="BC920" s="208"/>
      <c r="BD920" s="208"/>
      <c r="BE920" s="208"/>
      <c r="BF920" s="208"/>
      <c r="BG920" s="208"/>
      <c r="BH920" s="208"/>
      <c r="BI920" s="323"/>
    </row>
    <row r="921" spans="3:61" ht="15" customHeight="1">
      <c r="C921" s="325"/>
      <c r="D921" s="326"/>
      <c r="E921" s="311"/>
      <c r="F921" s="311"/>
      <c r="G921" s="311"/>
      <c r="H921" s="311"/>
      <c r="I921" s="311"/>
      <c r="J921" s="317"/>
      <c r="K921" s="312"/>
      <c r="L921" s="312"/>
      <c r="M921" s="312"/>
      <c r="N921" s="312"/>
      <c r="O921" s="312"/>
      <c r="P921" s="318" t="str">
        <f t="shared" si="44"/>
        <v/>
      </c>
      <c r="Q921" s="205" t="str">
        <f t="shared" si="42"/>
        <v/>
      </c>
      <c r="R921" s="205"/>
      <c r="S921" s="319" t="str">
        <f t="shared" si="43"/>
        <v/>
      </c>
      <c r="U921" s="318"/>
      <c r="V921" s="794"/>
      <c r="W921" s="795"/>
      <c r="X921" s="482"/>
      <c r="Y921" s="482"/>
      <c r="Z921" s="482"/>
      <c r="AA921" s="319"/>
      <c r="AB921" s="220"/>
      <c r="AC921" s="318"/>
      <c r="AD921" s="319"/>
      <c r="AE921" s="220"/>
      <c r="AF921" s="320"/>
      <c r="AG921" s="205"/>
      <c r="AH921" s="205"/>
      <c r="AI921" s="205"/>
      <c r="AJ921" s="205"/>
      <c r="AK921" s="205"/>
      <c r="AL921" s="205"/>
      <c r="AM921" s="205"/>
      <c r="AN921" s="205"/>
      <c r="AO921" s="205"/>
      <c r="AP921" s="205"/>
      <c r="AQ921" s="205"/>
      <c r="AR921" s="205"/>
      <c r="AS921" s="205"/>
      <c r="AT921" s="205"/>
      <c r="AU921" s="205"/>
      <c r="AV921" s="205"/>
      <c r="AW921" s="205"/>
      <c r="AX921" s="205"/>
      <c r="AY921" s="205"/>
      <c r="AZ921" s="205"/>
      <c r="BA921" s="205"/>
      <c r="BB921" s="205"/>
      <c r="BC921" s="205"/>
      <c r="BD921" s="205"/>
      <c r="BE921" s="205"/>
      <c r="BF921" s="205"/>
      <c r="BG921" s="205"/>
      <c r="BH921" s="205"/>
      <c r="BI921" s="319"/>
    </row>
    <row r="922" spans="3:61" ht="15" customHeight="1">
      <c r="C922" s="325"/>
      <c r="D922" s="326"/>
      <c r="E922" s="311"/>
      <c r="F922" s="311"/>
      <c r="G922" s="311"/>
      <c r="H922" s="311"/>
      <c r="I922" s="311"/>
      <c r="J922" s="317"/>
      <c r="K922" s="312"/>
      <c r="L922" s="312"/>
      <c r="M922" s="312"/>
      <c r="N922" s="312"/>
      <c r="O922" s="312"/>
      <c r="P922" s="322" t="str">
        <f t="shared" si="44"/>
        <v/>
      </c>
      <c r="Q922" s="208" t="str">
        <f t="shared" si="42"/>
        <v/>
      </c>
      <c r="R922" s="208"/>
      <c r="S922" s="323" t="str">
        <f t="shared" si="43"/>
        <v/>
      </c>
      <c r="U922" s="322"/>
      <c r="V922" s="791"/>
      <c r="W922" s="792"/>
      <c r="X922" s="480"/>
      <c r="Y922" s="480"/>
      <c r="Z922" s="480"/>
      <c r="AA922" s="323"/>
      <c r="AB922" s="220"/>
      <c r="AC922" s="322"/>
      <c r="AD922" s="323"/>
      <c r="AE922" s="220"/>
      <c r="AF922" s="324"/>
      <c r="AG922" s="208"/>
      <c r="AH922" s="208"/>
      <c r="AI922" s="208"/>
      <c r="AJ922" s="208"/>
      <c r="AK922" s="208"/>
      <c r="AL922" s="208"/>
      <c r="AM922" s="208"/>
      <c r="AN922" s="208"/>
      <c r="AO922" s="208"/>
      <c r="AP922" s="208"/>
      <c r="AQ922" s="208"/>
      <c r="AR922" s="208"/>
      <c r="AS922" s="208"/>
      <c r="AT922" s="208"/>
      <c r="AU922" s="208"/>
      <c r="AV922" s="208"/>
      <c r="AW922" s="208"/>
      <c r="AX922" s="208"/>
      <c r="AY922" s="208"/>
      <c r="AZ922" s="208"/>
      <c r="BA922" s="208"/>
      <c r="BB922" s="208"/>
      <c r="BC922" s="208"/>
      <c r="BD922" s="208"/>
      <c r="BE922" s="208"/>
      <c r="BF922" s="208"/>
      <c r="BG922" s="208"/>
      <c r="BH922" s="208"/>
      <c r="BI922" s="323"/>
    </row>
    <row r="923" spans="3:61" ht="15" customHeight="1">
      <c r="C923" s="325"/>
      <c r="D923" s="326"/>
      <c r="E923" s="311"/>
      <c r="F923" s="311"/>
      <c r="G923" s="311"/>
      <c r="H923" s="311"/>
      <c r="I923" s="311"/>
      <c r="J923" s="317"/>
      <c r="K923" s="312"/>
      <c r="L923" s="312"/>
      <c r="M923" s="312"/>
      <c r="N923" s="312"/>
      <c r="O923" s="312"/>
      <c r="P923" s="318" t="str">
        <f t="shared" si="44"/>
        <v/>
      </c>
      <c r="Q923" s="205" t="str">
        <f t="shared" si="42"/>
        <v/>
      </c>
      <c r="R923" s="205"/>
      <c r="S923" s="319" t="str">
        <f t="shared" si="43"/>
        <v/>
      </c>
      <c r="U923" s="318"/>
      <c r="V923" s="794"/>
      <c r="W923" s="795"/>
      <c r="X923" s="482"/>
      <c r="Y923" s="482"/>
      <c r="Z923" s="482"/>
      <c r="AA923" s="319"/>
      <c r="AB923" s="220"/>
      <c r="AC923" s="318"/>
      <c r="AD923" s="319"/>
      <c r="AE923" s="220"/>
      <c r="AF923" s="320"/>
      <c r="AG923" s="205"/>
      <c r="AH923" s="205"/>
      <c r="AI923" s="205"/>
      <c r="AJ923" s="205"/>
      <c r="AK923" s="205"/>
      <c r="AL923" s="205"/>
      <c r="AM923" s="205"/>
      <c r="AN923" s="205"/>
      <c r="AO923" s="205"/>
      <c r="AP923" s="205"/>
      <c r="AQ923" s="205"/>
      <c r="AR923" s="205"/>
      <c r="AS923" s="205"/>
      <c r="AT923" s="205"/>
      <c r="AU923" s="205"/>
      <c r="AV923" s="205"/>
      <c r="AW923" s="205"/>
      <c r="AX923" s="205"/>
      <c r="AY923" s="205"/>
      <c r="AZ923" s="205"/>
      <c r="BA923" s="205"/>
      <c r="BB923" s="205"/>
      <c r="BC923" s="205"/>
      <c r="BD923" s="205"/>
      <c r="BE923" s="205"/>
      <c r="BF923" s="205"/>
      <c r="BG923" s="205"/>
      <c r="BH923" s="205"/>
      <c r="BI923" s="319"/>
    </row>
    <row r="924" spans="3:61" ht="15" customHeight="1">
      <c r="C924" s="325"/>
      <c r="D924" s="326"/>
      <c r="E924" s="311"/>
      <c r="F924" s="311"/>
      <c r="G924" s="311"/>
      <c r="H924" s="311"/>
      <c r="I924" s="311"/>
      <c r="J924" s="317"/>
      <c r="K924" s="312"/>
      <c r="L924" s="312"/>
      <c r="M924" s="312"/>
      <c r="N924" s="312"/>
      <c r="O924" s="312"/>
      <c r="P924" s="322" t="str">
        <f t="shared" si="44"/>
        <v/>
      </c>
      <c r="Q924" s="208" t="str">
        <f t="shared" si="42"/>
        <v/>
      </c>
      <c r="R924" s="208"/>
      <c r="S924" s="323" t="str">
        <f t="shared" si="43"/>
        <v/>
      </c>
      <c r="U924" s="322"/>
      <c r="V924" s="791"/>
      <c r="W924" s="792"/>
      <c r="X924" s="480"/>
      <c r="Y924" s="480"/>
      <c r="Z924" s="480"/>
      <c r="AA924" s="323"/>
      <c r="AB924" s="220"/>
      <c r="AC924" s="322"/>
      <c r="AD924" s="323"/>
      <c r="AE924" s="220"/>
      <c r="AF924" s="324"/>
      <c r="AG924" s="208"/>
      <c r="AH924" s="208"/>
      <c r="AI924" s="208"/>
      <c r="AJ924" s="208"/>
      <c r="AK924" s="208"/>
      <c r="AL924" s="208"/>
      <c r="AM924" s="208"/>
      <c r="AN924" s="208"/>
      <c r="AO924" s="208"/>
      <c r="AP924" s="208"/>
      <c r="AQ924" s="208"/>
      <c r="AR924" s="208"/>
      <c r="AS924" s="208"/>
      <c r="AT924" s="208"/>
      <c r="AU924" s="208"/>
      <c r="AV924" s="208"/>
      <c r="AW924" s="208"/>
      <c r="AX924" s="208"/>
      <c r="AY924" s="208"/>
      <c r="AZ924" s="208"/>
      <c r="BA924" s="208"/>
      <c r="BB924" s="208"/>
      <c r="BC924" s="208"/>
      <c r="BD924" s="208"/>
      <c r="BE924" s="208"/>
      <c r="BF924" s="208"/>
      <c r="BG924" s="208"/>
      <c r="BH924" s="208"/>
      <c r="BI924" s="323"/>
    </row>
    <row r="925" spans="3:61" ht="15" customHeight="1">
      <c r="C925" s="325"/>
      <c r="D925" s="326"/>
      <c r="E925" s="311"/>
      <c r="F925" s="311"/>
      <c r="G925" s="311"/>
      <c r="H925" s="311"/>
      <c r="I925" s="311"/>
      <c r="J925" s="317"/>
      <c r="K925" s="312"/>
      <c r="L925" s="312"/>
      <c r="M925" s="312"/>
      <c r="N925" s="312"/>
      <c r="O925" s="312"/>
      <c r="P925" s="318" t="str">
        <f t="shared" si="44"/>
        <v/>
      </c>
      <c r="Q925" s="205" t="str">
        <f t="shared" si="42"/>
        <v/>
      </c>
      <c r="R925" s="205"/>
      <c r="S925" s="319" t="str">
        <f t="shared" si="43"/>
        <v/>
      </c>
      <c r="U925" s="318"/>
      <c r="V925" s="794"/>
      <c r="W925" s="795"/>
      <c r="X925" s="482"/>
      <c r="Y925" s="482"/>
      <c r="Z925" s="482"/>
      <c r="AA925" s="319"/>
      <c r="AB925" s="220"/>
      <c r="AC925" s="318"/>
      <c r="AD925" s="319"/>
      <c r="AE925" s="220"/>
      <c r="AF925" s="320"/>
      <c r="AG925" s="205"/>
      <c r="AH925" s="205"/>
      <c r="AI925" s="205"/>
      <c r="AJ925" s="205"/>
      <c r="AK925" s="205"/>
      <c r="AL925" s="205"/>
      <c r="AM925" s="205"/>
      <c r="AN925" s="205"/>
      <c r="AO925" s="205"/>
      <c r="AP925" s="205"/>
      <c r="AQ925" s="205"/>
      <c r="AR925" s="205"/>
      <c r="AS925" s="205"/>
      <c r="AT925" s="205"/>
      <c r="AU925" s="205"/>
      <c r="AV925" s="205"/>
      <c r="AW925" s="205"/>
      <c r="AX925" s="205"/>
      <c r="AY925" s="205"/>
      <c r="AZ925" s="205"/>
      <c r="BA925" s="205"/>
      <c r="BB925" s="205"/>
      <c r="BC925" s="205"/>
      <c r="BD925" s="205"/>
      <c r="BE925" s="205"/>
      <c r="BF925" s="205"/>
      <c r="BG925" s="205"/>
      <c r="BH925" s="205"/>
      <c r="BI925" s="319"/>
    </row>
    <row r="926" spans="3:61" ht="15" customHeight="1">
      <c r="C926" s="325"/>
      <c r="D926" s="326"/>
      <c r="E926" s="311"/>
      <c r="F926" s="311"/>
      <c r="G926" s="311"/>
      <c r="H926" s="311"/>
      <c r="I926" s="311"/>
      <c r="J926" s="317"/>
      <c r="K926" s="312"/>
      <c r="L926" s="312"/>
      <c r="M926" s="312"/>
      <c r="N926" s="312"/>
      <c r="O926" s="312"/>
      <c r="P926" s="322" t="str">
        <f t="shared" si="44"/>
        <v/>
      </c>
      <c r="Q926" s="208" t="str">
        <f t="shared" si="42"/>
        <v/>
      </c>
      <c r="R926" s="208"/>
      <c r="S926" s="323" t="str">
        <f t="shared" si="43"/>
        <v/>
      </c>
      <c r="U926" s="322"/>
      <c r="V926" s="791"/>
      <c r="W926" s="792"/>
      <c r="X926" s="480"/>
      <c r="Y926" s="480"/>
      <c r="Z926" s="480"/>
      <c r="AA926" s="323"/>
      <c r="AB926" s="220"/>
      <c r="AC926" s="322"/>
      <c r="AD926" s="323"/>
      <c r="AE926" s="220"/>
      <c r="AF926" s="324"/>
      <c r="AG926" s="208"/>
      <c r="AH926" s="208"/>
      <c r="AI926" s="208"/>
      <c r="AJ926" s="208"/>
      <c r="AK926" s="208"/>
      <c r="AL926" s="208"/>
      <c r="AM926" s="208"/>
      <c r="AN926" s="208"/>
      <c r="AO926" s="208"/>
      <c r="AP926" s="208"/>
      <c r="AQ926" s="208"/>
      <c r="AR926" s="208"/>
      <c r="AS926" s="208"/>
      <c r="AT926" s="208"/>
      <c r="AU926" s="208"/>
      <c r="AV926" s="208"/>
      <c r="AW926" s="208"/>
      <c r="AX926" s="208"/>
      <c r="AY926" s="208"/>
      <c r="AZ926" s="208"/>
      <c r="BA926" s="208"/>
      <c r="BB926" s="208"/>
      <c r="BC926" s="208"/>
      <c r="BD926" s="208"/>
      <c r="BE926" s="208"/>
      <c r="BF926" s="208"/>
      <c r="BG926" s="208"/>
      <c r="BH926" s="208"/>
      <c r="BI926" s="323"/>
    </row>
    <row r="927" spans="3:61" ht="15" customHeight="1">
      <c r="C927" s="325"/>
      <c r="D927" s="326"/>
      <c r="E927" s="311"/>
      <c r="F927" s="311"/>
      <c r="G927" s="311"/>
      <c r="H927" s="311"/>
      <c r="I927" s="311"/>
      <c r="J927" s="317"/>
      <c r="K927" s="312"/>
      <c r="L927" s="312"/>
      <c r="M927" s="312"/>
      <c r="N927" s="312"/>
      <c r="O927" s="312"/>
      <c r="P927" s="318" t="str">
        <f t="shared" si="44"/>
        <v/>
      </c>
      <c r="Q927" s="205" t="str">
        <f t="shared" si="42"/>
        <v/>
      </c>
      <c r="R927" s="205"/>
      <c r="S927" s="319" t="str">
        <f t="shared" si="43"/>
        <v/>
      </c>
      <c r="U927" s="318"/>
      <c r="V927" s="794"/>
      <c r="W927" s="795"/>
      <c r="X927" s="482"/>
      <c r="Y927" s="482"/>
      <c r="Z927" s="482"/>
      <c r="AA927" s="319"/>
      <c r="AB927" s="220"/>
      <c r="AC927" s="318"/>
      <c r="AD927" s="319"/>
      <c r="AE927" s="220"/>
      <c r="AF927" s="320"/>
      <c r="AG927" s="205"/>
      <c r="AH927" s="205"/>
      <c r="AI927" s="205"/>
      <c r="AJ927" s="205"/>
      <c r="AK927" s="205"/>
      <c r="AL927" s="205"/>
      <c r="AM927" s="205"/>
      <c r="AN927" s="205"/>
      <c r="AO927" s="205"/>
      <c r="AP927" s="205"/>
      <c r="AQ927" s="205"/>
      <c r="AR927" s="205"/>
      <c r="AS927" s="205"/>
      <c r="AT927" s="205"/>
      <c r="AU927" s="205"/>
      <c r="AV927" s="205"/>
      <c r="AW927" s="205"/>
      <c r="AX927" s="205"/>
      <c r="AY927" s="205"/>
      <c r="AZ927" s="205"/>
      <c r="BA927" s="205"/>
      <c r="BB927" s="205"/>
      <c r="BC927" s="205"/>
      <c r="BD927" s="205"/>
      <c r="BE927" s="205"/>
      <c r="BF927" s="205"/>
      <c r="BG927" s="205"/>
      <c r="BH927" s="205"/>
      <c r="BI927" s="319"/>
    </row>
    <row r="928" spans="3:61" ht="15" customHeight="1">
      <c r="C928" s="325"/>
      <c r="D928" s="326"/>
      <c r="E928" s="311"/>
      <c r="F928" s="311"/>
      <c r="G928" s="311"/>
      <c r="H928" s="311"/>
      <c r="I928" s="311"/>
      <c r="J928" s="317"/>
      <c r="K928" s="312"/>
      <c r="L928" s="312"/>
      <c r="M928" s="312"/>
      <c r="N928" s="312"/>
      <c r="O928" s="312"/>
      <c r="P928" s="322" t="str">
        <f t="shared" si="44"/>
        <v/>
      </c>
      <c r="Q928" s="208" t="str">
        <f t="shared" si="42"/>
        <v/>
      </c>
      <c r="R928" s="208"/>
      <c r="S928" s="323" t="str">
        <f t="shared" si="43"/>
        <v/>
      </c>
      <c r="U928" s="322"/>
      <c r="V928" s="791"/>
      <c r="W928" s="792"/>
      <c r="X928" s="480"/>
      <c r="Y928" s="480"/>
      <c r="Z928" s="480"/>
      <c r="AA928" s="323"/>
      <c r="AB928" s="220"/>
      <c r="AC928" s="322"/>
      <c r="AD928" s="323"/>
      <c r="AE928" s="220"/>
      <c r="AF928" s="324"/>
      <c r="AG928" s="208"/>
      <c r="AH928" s="208"/>
      <c r="AI928" s="208"/>
      <c r="AJ928" s="208"/>
      <c r="AK928" s="208"/>
      <c r="AL928" s="208"/>
      <c r="AM928" s="208"/>
      <c r="AN928" s="208"/>
      <c r="AO928" s="208"/>
      <c r="AP928" s="208"/>
      <c r="AQ928" s="208"/>
      <c r="AR928" s="208"/>
      <c r="AS928" s="208"/>
      <c r="AT928" s="208"/>
      <c r="AU928" s="208"/>
      <c r="AV928" s="208"/>
      <c r="AW928" s="208"/>
      <c r="AX928" s="208"/>
      <c r="AY928" s="208"/>
      <c r="AZ928" s="208"/>
      <c r="BA928" s="208"/>
      <c r="BB928" s="208"/>
      <c r="BC928" s="208"/>
      <c r="BD928" s="208"/>
      <c r="BE928" s="208"/>
      <c r="BF928" s="208"/>
      <c r="BG928" s="208"/>
      <c r="BH928" s="208"/>
      <c r="BI928" s="323"/>
    </row>
    <row r="929" spans="3:61" ht="15" customHeight="1">
      <c r="C929" s="325"/>
      <c r="D929" s="326"/>
      <c r="E929" s="311"/>
      <c r="F929" s="311"/>
      <c r="G929" s="311"/>
      <c r="H929" s="311"/>
      <c r="I929" s="311"/>
      <c r="J929" s="317"/>
      <c r="K929" s="312"/>
      <c r="L929" s="312"/>
      <c r="M929" s="312"/>
      <c r="N929" s="312"/>
      <c r="O929" s="312"/>
      <c r="P929" s="318" t="str">
        <f t="shared" si="44"/>
        <v/>
      </c>
      <c r="Q929" s="205" t="str">
        <f t="shared" si="42"/>
        <v/>
      </c>
      <c r="R929" s="205"/>
      <c r="S929" s="319" t="str">
        <f t="shared" si="43"/>
        <v/>
      </c>
      <c r="U929" s="318"/>
      <c r="V929" s="794"/>
      <c r="W929" s="795"/>
      <c r="X929" s="482"/>
      <c r="Y929" s="482"/>
      <c r="Z929" s="482"/>
      <c r="AA929" s="319"/>
      <c r="AB929" s="220"/>
      <c r="AC929" s="318"/>
      <c r="AD929" s="319"/>
      <c r="AE929" s="220"/>
      <c r="AF929" s="320"/>
      <c r="AG929" s="205"/>
      <c r="AH929" s="205"/>
      <c r="AI929" s="205"/>
      <c r="AJ929" s="205"/>
      <c r="AK929" s="205"/>
      <c r="AL929" s="205"/>
      <c r="AM929" s="205"/>
      <c r="AN929" s="205"/>
      <c r="AO929" s="205"/>
      <c r="AP929" s="205"/>
      <c r="AQ929" s="205"/>
      <c r="AR929" s="205"/>
      <c r="AS929" s="205"/>
      <c r="AT929" s="205"/>
      <c r="AU929" s="205"/>
      <c r="AV929" s="205"/>
      <c r="AW929" s="205"/>
      <c r="AX929" s="205"/>
      <c r="AY929" s="205"/>
      <c r="AZ929" s="205"/>
      <c r="BA929" s="205"/>
      <c r="BB929" s="205"/>
      <c r="BC929" s="205"/>
      <c r="BD929" s="205"/>
      <c r="BE929" s="205"/>
      <c r="BF929" s="205"/>
      <c r="BG929" s="205"/>
      <c r="BH929" s="205"/>
      <c r="BI929" s="319"/>
    </row>
    <row r="930" spans="3:61" ht="15" customHeight="1">
      <c r="C930" s="325"/>
      <c r="D930" s="326"/>
      <c r="E930" s="311"/>
      <c r="F930" s="311"/>
      <c r="G930" s="311"/>
      <c r="H930" s="311"/>
      <c r="I930" s="311"/>
      <c r="J930" s="317"/>
      <c r="K930" s="312"/>
      <c r="L930" s="312"/>
      <c r="M930" s="312"/>
      <c r="N930" s="312"/>
      <c r="O930" s="312"/>
      <c r="P930" s="322" t="str">
        <f t="shared" si="44"/>
        <v/>
      </c>
      <c r="Q930" s="208" t="str">
        <f t="shared" si="42"/>
        <v/>
      </c>
      <c r="R930" s="208"/>
      <c r="S930" s="323" t="str">
        <f t="shared" si="43"/>
        <v/>
      </c>
      <c r="U930" s="322"/>
      <c r="V930" s="791"/>
      <c r="W930" s="792"/>
      <c r="X930" s="480"/>
      <c r="Y930" s="480"/>
      <c r="Z930" s="480"/>
      <c r="AA930" s="323"/>
      <c r="AB930" s="220"/>
      <c r="AC930" s="322"/>
      <c r="AD930" s="323"/>
      <c r="AE930" s="220"/>
      <c r="AF930" s="324"/>
      <c r="AG930" s="208"/>
      <c r="AH930" s="208"/>
      <c r="AI930" s="208"/>
      <c r="AJ930" s="208"/>
      <c r="AK930" s="208"/>
      <c r="AL930" s="208"/>
      <c r="AM930" s="208"/>
      <c r="AN930" s="208"/>
      <c r="AO930" s="208"/>
      <c r="AP930" s="208"/>
      <c r="AQ930" s="208"/>
      <c r="AR930" s="208"/>
      <c r="AS930" s="208"/>
      <c r="AT930" s="208"/>
      <c r="AU930" s="208"/>
      <c r="AV930" s="208"/>
      <c r="AW930" s="208"/>
      <c r="AX930" s="208"/>
      <c r="AY930" s="208"/>
      <c r="AZ930" s="208"/>
      <c r="BA930" s="208"/>
      <c r="BB930" s="208"/>
      <c r="BC930" s="208"/>
      <c r="BD930" s="208"/>
      <c r="BE930" s="208"/>
      <c r="BF930" s="208"/>
      <c r="BG930" s="208"/>
      <c r="BH930" s="208"/>
      <c r="BI930" s="323"/>
    </row>
    <row r="931" spans="3:61" ht="15" customHeight="1">
      <c r="C931" s="325"/>
      <c r="D931" s="326"/>
      <c r="E931" s="311"/>
      <c r="F931" s="311"/>
      <c r="G931" s="311"/>
      <c r="H931" s="311"/>
      <c r="I931" s="311"/>
      <c r="J931" s="317"/>
      <c r="K931" s="312"/>
      <c r="L931" s="312"/>
      <c r="M931" s="312"/>
      <c r="N931" s="312"/>
      <c r="O931" s="312"/>
      <c r="P931" s="318" t="str">
        <f t="shared" si="44"/>
        <v/>
      </c>
      <c r="Q931" s="205" t="str">
        <f t="shared" si="42"/>
        <v/>
      </c>
      <c r="R931" s="205"/>
      <c r="S931" s="319" t="str">
        <f t="shared" si="43"/>
        <v/>
      </c>
      <c r="U931" s="318"/>
      <c r="V931" s="794"/>
      <c r="W931" s="795"/>
      <c r="X931" s="482"/>
      <c r="Y931" s="482"/>
      <c r="Z931" s="482"/>
      <c r="AA931" s="319"/>
      <c r="AB931" s="220"/>
      <c r="AC931" s="318"/>
      <c r="AD931" s="319"/>
      <c r="AE931" s="220"/>
      <c r="AF931" s="320"/>
      <c r="AG931" s="205"/>
      <c r="AH931" s="205"/>
      <c r="AI931" s="205"/>
      <c r="AJ931" s="205"/>
      <c r="AK931" s="205"/>
      <c r="AL931" s="205"/>
      <c r="AM931" s="205"/>
      <c r="AN931" s="205"/>
      <c r="AO931" s="205"/>
      <c r="AP931" s="205"/>
      <c r="AQ931" s="205"/>
      <c r="AR931" s="205"/>
      <c r="AS931" s="205"/>
      <c r="AT931" s="205"/>
      <c r="AU931" s="205"/>
      <c r="AV931" s="205"/>
      <c r="AW931" s="205"/>
      <c r="AX931" s="205"/>
      <c r="AY931" s="205"/>
      <c r="AZ931" s="205"/>
      <c r="BA931" s="205"/>
      <c r="BB931" s="205"/>
      <c r="BC931" s="205"/>
      <c r="BD931" s="205"/>
      <c r="BE931" s="205"/>
      <c r="BF931" s="205"/>
      <c r="BG931" s="205"/>
      <c r="BH931" s="205"/>
      <c r="BI931" s="319"/>
    </row>
    <row r="932" spans="3:61" ht="15" customHeight="1">
      <c r="C932" s="325"/>
      <c r="D932" s="326"/>
      <c r="E932" s="311"/>
      <c r="F932" s="311"/>
      <c r="G932" s="311"/>
      <c r="H932" s="311"/>
      <c r="I932" s="311"/>
      <c r="J932" s="317"/>
      <c r="K932" s="312"/>
      <c r="L932" s="312"/>
      <c r="M932" s="312"/>
      <c r="N932" s="312"/>
      <c r="O932" s="312"/>
      <c r="P932" s="322" t="str">
        <f t="shared" si="44"/>
        <v/>
      </c>
      <c r="Q932" s="208" t="str">
        <f t="shared" si="42"/>
        <v/>
      </c>
      <c r="R932" s="208"/>
      <c r="S932" s="323" t="str">
        <f t="shared" si="43"/>
        <v/>
      </c>
      <c r="U932" s="322"/>
      <c r="V932" s="791"/>
      <c r="W932" s="792"/>
      <c r="X932" s="480"/>
      <c r="Y932" s="480"/>
      <c r="Z932" s="480"/>
      <c r="AA932" s="323"/>
      <c r="AB932" s="220"/>
      <c r="AC932" s="322"/>
      <c r="AD932" s="323"/>
      <c r="AE932" s="220"/>
      <c r="AF932" s="324"/>
      <c r="AG932" s="208"/>
      <c r="AH932" s="208"/>
      <c r="AI932" s="208"/>
      <c r="AJ932" s="208"/>
      <c r="AK932" s="208"/>
      <c r="AL932" s="208"/>
      <c r="AM932" s="208"/>
      <c r="AN932" s="208"/>
      <c r="AO932" s="208"/>
      <c r="AP932" s="208"/>
      <c r="AQ932" s="208"/>
      <c r="AR932" s="208"/>
      <c r="AS932" s="208"/>
      <c r="AT932" s="208"/>
      <c r="AU932" s="208"/>
      <c r="AV932" s="208"/>
      <c r="AW932" s="208"/>
      <c r="AX932" s="208"/>
      <c r="AY932" s="208"/>
      <c r="AZ932" s="208"/>
      <c r="BA932" s="208"/>
      <c r="BB932" s="208"/>
      <c r="BC932" s="208"/>
      <c r="BD932" s="208"/>
      <c r="BE932" s="208"/>
      <c r="BF932" s="208"/>
      <c r="BG932" s="208"/>
      <c r="BH932" s="208"/>
      <c r="BI932" s="323"/>
    </row>
    <row r="933" spans="3:61" ht="15" customHeight="1">
      <c r="C933" s="325"/>
      <c r="D933" s="326"/>
      <c r="E933" s="311"/>
      <c r="F933" s="311"/>
      <c r="G933" s="311"/>
      <c r="H933" s="311"/>
      <c r="I933" s="311"/>
      <c r="J933" s="317"/>
      <c r="K933" s="312"/>
      <c r="L933" s="312"/>
      <c r="M933" s="312"/>
      <c r="N933" s="312"/>
      <c r="O933" s="312"/>
      <c r="P933" s="318" t="str">
        <f t="shared" si="44"/>
        <v/>
      </c>
      <c r="Q933" s="205" t="str">
        <f t="shared" si="42"/>
        <v/>
      </c>
      <c r="R933" s="205"/>
      <c r="S933" s="319" t="str">
        <f t="shared" si="43"/>
        <v/>
      </c>
      <c r="U933" s="318"/>
      <c r="V933" s="794"/>
      <c r="W933" s="795"/>
      <c r="X933" s="482"/>
      <c r="Y933" s="482"/>
      <c r="Z933" s="482"/>
      <c r="AA933" s="319"/>
      <c r="AB933" s="220"/>
      <c r="AC933" s="318"/>
      <c r="AD933" s="319"/>
      <c r="AE933" s="220"/>
      <c r="AF933" s="320"/>
      <c r="AG933" s="205"/>
      <c r="AH933" s="205"/>
      <c r="AI933" s="205"/>
      <c r="AJ933" s="205"/>
      <c r="AK933" s="205"/>
      <c r="AL933" s="205"/>
      <c r="AM933" s="205"/>
      <c r="AN933" s="205"/>
      <c r="AO933" s="205"/>
      <c r="AP933" s="205"/>
      <c r="AQ933" s="205"/>
      <c r="AR933" s="205"/>
      <c r="AS933" s="205"/>
      <c r="AT933" s="205"/>
      <c r="AU933" s="205"/>
      <c r="AV933" s="205"/>
      <c r="AW933" s="205"/>
      <c r="AX933" s="205"/>
      <c r="AY933" s="205"/>
      <c r="AZ933" s="205"/>
      <c r="BA933" s="205"/>
      <c r="BB933" s="205"/>
      <c r="BC933" s="205"/>
      <c r="BD933" s="205"/>
      <c r="BE933" s="205"/>
      <c r="BF933" s="205"/>
      <c r="BG933" s="205"/>
      <c r="BH933" s="205"/>
      <c r="BI933" s="319"/>
    </row>
    <row r="934" spans="3:61" ht="15" customHeight="1">
      <c r="C934" s="325"/>
      <c r="D934" s="326"/>
      <c r="E934" s="311"/>
      <c r="F934" s="311"/>
      <c r="G934" s="311"/>
      <c r="H934" s="311"/>
      <c r="I934" s="311"/>
      <c r="J934" s="317"/>
      <c r="K934" s="312"/>
      <c r="L934" s="312"/>
      <c r="M934" s="312"/>
      <c r="N934" s="312"/>
      <c r="O934" s="312"/>
      <c r="P934" s="322" t="str">
        <f t="shared" si="44"/>
        <v/>
      </c>
      <c r="Q934" s="208" t="str">
        <f t="shared" si="42"/>
        <v/>
      </c>
      <c r="R934" s="208"/>
      <c r="S934" s="323" t="str">
        <f t="shared" si="43"/>
        <v/>
      </c>
      <c r="U934" s="322"/>
      <c r="V934" s="791"/>
      <c r="W934" s="792"/>
      <c r="X934" s="480"/>
      <c r="Y934" s="480"/>
      <c r="Z934" s="480"/>
      <c r="AA934" s="323"/>
      <c r="AB934" s="220"/>
      <c r="AC934" s="322"/>
      <c r="AD934" s="323"/>
      <c r="AE934" s="220"/>
      <c r="AF934" s="324"/>
      <c r="AG934" s="208"/>
      <c r="AH934" s="208"/>
      <c r="AI934" s="208"/>
      <c r="AJ934" s="208"/>
      <c r="AK934" s="208"/>
      <c r="AL934" s="208"/>
      <c r="AM934" s="208"/>
      <c r="AN934" s="208"/>
      <c r="AO934" s="208"/>
      <c r="AP934" s="208"/>
      <c r="AQ934" s="208"/>
      <c r="AR934" s="208"/>
      <c r="AS934" s="208"/>
      <c r="AT934" s="208"/>
      <c r="AU934" s="208"/>
      <c r="AV934" s="208"/>
      <c r="AW934" s="208"/>
      <c r="AX934" s="208"/>
      <c r="AY934" s="208"/>
      <c r="AZ934" s="208"/>
      <c r="BA934" s="208"/>
      <c r="BB934" s="208"/>
      <c r="BC934" s="208"/>
      <c r="BD934" s="208"/>
      <c r="BE934" s="208"/>
      <c r="BF934" s="208"/>
      <c r="BG934" s="208"/>
      <c r="BH934" s="208"/>
      <c r="BI934" s="323"/>
    </row>
    <row r="935" spans="3:61" ht="15" customHeight="1">
      <c r="C935" s="325"/>
      <c r="D935" s="326"/>
      <c r="E935" s="311"/>
      <c r="F935" s="311"/>
      <c r="G935" s="311"/>
      <c r="H935" s="311"/>
      <c r="I935" s="311"/>
      <c r="J935" s="317"/>
      <c r="K935" s="312"/>
      <c r="L935" s="312"/>
      <c r="M935" s="312"/>
      <c r="N935" s="312"/>
      <c r="O935" s="312"/>
      <c r="P935" s="318" t="str">
        <f t="shared" si="44"/>
        <v/>
      </c>
      <c r="Q935" s="205" t="str">
        <f t="shared" si="42"/>
        <v/>
      </c>
      <c r="R935" s="205"/>
      <c r="S935" s="319" t="str">
        <f t="shared" si="43"/>
        <v/>
      </c>
      <c r="U935" s="318"/>
      <c r="V935" s="794"/>
      <c r="W935" s="795"/>
      <c r="X935" s="482"/>
      <c r="Y935" s="482"/>
      <c r="Z935" s="482"/>
      <c r="AA935" s="319"/>
      <c r="AB935" s="220"/>
      <c r="AC935" s="318"/>
      <c r="AD935" s="319"/>
      <c r="AE935" s="220"/>
      <c r="AF935" s="320"/>
      <c r="AG935" s="205"/>
      <c r="AH935" s="205"/>
      <c r="AI935" s="205"/>
      <c r="AJ935" s="205"/>
      <c r="AK935" s="205"/>
      <c r="AL935" s="205"/>
      <c r="AM935" s="205"/>
      <c r="AN935" s="205"/>
      <c r="AO935" s="205"/>
      <c r="AP935" s="205"/>
      <c r="AQ935" s="205"/>
      <c r="AR935" s="205"/>
      <c r="AS935" s="205"/>
      <c r="AT935" s="205"/>
      <c r="AU935" s="205"/>
      <c r="AV935" s="205"/>
      <c r="AW935" s="205"/>
      <c r="AX935" s="205"/>
      <c r="AY935" s="205"/>
      <c r="AZ935" s="205"/>
      <c r="BA935" s="205"/>
      <c r="BB935" s="205"/>
      <c r="BC935" s="205"/>
      <c r="BD935" s="205"/>
      <c r="BE935" s="205"/>
      <c r="BF935" s="205"/>
      <c r="BG935" s="205"/>
      <c r="BH935" s="205"/>
      <c r="BI935" s="319"/>
    </row>
    <row r="936" spans="3:61" ht="15" customHeight="1">
      <c r="C936" s="325"/>
      <c r="D936" s="326"/>
      <c r="E936" s="311"/>
      <c r="F936" s="311"/>
      <c r="G936" s="311"/>
      <c r="H936" s="311"/>
      <c r="I936" s="311"/>
      <c r="J936" s="317"/>
      <c r="K936" s="312"/>
      <c r="L936" s="312"/>
      <c r="M936" s="312"/>
      <c r="N936" s="312"/>
      <c r="O936" s="312"/>
      <c r="P936" s="322" t="str">
        <f t="shared" si="44"/>
        <v/>
      </c>
      <c r="Q936" s="208" t="str">
        <f t="shared" si="42"/>
        <v/>
      </c>
      <c r="R936" s="208"/>
      <c r="S936" s="323" t="str">
        <f t="shared" si="43"/>
        <v/>
      </c>
      <c r="U936" s="322"/>
      <c r="V936" s="791"/>
      <c r="W936" s="792"/>
      <c r="X936" s="480"/>
      <c r="Y936" s="480"/>
      <c r="Z936" s="480"/>
      <c r="AA936" s="323"/>
      <c r="AB936" s="220"/>
      <c r="AC936" s="322"/>
      <c r="AD936" s="323"/>
      <c r="AE936" s="220"/>
      <c r="AF936" s="324"/>
      <c r="AG936" s="208"/>
      <c r="AH936" s="208"/>
      <c r="AI936" s="208"/>
      <c r="AJ936" s="208"/>
      <c r="AK936" s="208"/>
      <c r="AL936" s="208"/>
      <c r="AM936" s="208"/>
      <c r="AN936" s="208"/>
      <c r="AO936" s="208"/>
      <c r="AP936" s="208"/>
      <c r="AQ936" s="208"/>
      <c r="AR936" s="208"/>
      <c r="AS936" s="208"/>
      <c r="AT936" s="208"/>
      <c r="AU936" s="208"/>
      <c r="AV936" s="208"/>
      <c r="AW936" s="208"/>
      <c r="AX936" s="208"/>
      <c r="AY936" s="208"/>
      <c r="AZ936" s="208"/>
      <c r="BA936" s="208"/>
      <c r="BB936" s="208"/>
      <c r="BC936" s="208"/>
      <c r="BD936" s="208"/>
      <c r="BE936" s="208"/>
      <c r="BF936" s="208"/>
      <c r="BG936" s="208"/>
      <c r="BH936" s="208"/>
      <c r="BI936" s="323"/>
    </row>
    <row r="937" spans="3:61" ht="15" customHeight="1">
      <c r="C937" s="325"/>
      <c r="D937" s="326"/>
      <c r="E937" s="311"/>
      <c r="F937" s="311"/>
      <c r="G937" s="311"/>
      <c r="H937" s="311"/>
      <c r="I937" s="311"/>
      <c r="J937" s="317"/>
      <c r="K937" s="312"/>
      <c r="L937" s="312"/>
      <c r="M937" s="312"/>
      <c r="N937" s="312"/>
      <c r="O937" s="312"/>
      <c r="P937" s="318" t="str">
        <f t="shared" si="44"/>
        <v/>
      </c>
      <c r="Q937" s="205" t="str">
        <f t="shared" si="42"/>
        <v/>
      </c>
      <c r="R937" s="205"/>
      <c r="S937" s="319" t="str">
        <f t="shared" si="43"/>
        <v/>
      </c>
      <c r="U937" s="318"/>
      <c r="V937" s="794"/>
      <c r="W937" s="795"/>
      <c r="X937" s="482"/>
      <c r="Y937" s="482"/>
      <c r="Z937" s="482"/>
      <c r="AA937" s="319"/>
      <c r="AB937" s="220"/>
      <c r="AC937" s="318"/>
      <c r="AD937" s="319"/>
      <c r="AE937" s="220"/>
      <c r="AF937" s="320"/>
      <c r="AG937" s="205"/>
      <c r="AH937" s="205"/>
      <c r="AI937" s="205"/>
      <c r="AJ937" s="205"/>
      <c r="AK937" s="205"/>
      <c r="AL937" s="205"/>
      <c r="AM937" s="205"/>
      <c r="AN937" s="205"/>
      <c r="AO937" s="205"/>
      <c r="AP937" s="205"/>
      <c r="AQ937" s="205"/>
      <c r="AR937" s="205"/>
      <c r="AS937" s="205"/>
      <c r="AT937" s="205"/>
      <c r="AU937" s="205"/>
      <c r="AV937" s="205"/>
      <c r="AW937" s="205"/>
      <c r="AX937" s="205"/>
      <c r="AY937" s="205"/>
      <c r="AZ937" s="205"/>
      <c r="BA937" s="205"/>
      <c r="BB937" s="205"/>
      <c r="BC937" s="205"/>
      <c r="BD937" s="205"/>
      <c r="BE937" s="205"/>
      <c r="BF937" s="205"/>
      <c r="BG937" s="205"/>
      <c r="BH937" s="205"/>
      <c r="BI937" s="319"/>
    </row>
    <row r="938" spans="3:61" ht="15" customHeight="1">
      <c r="C938" s="325"/>
      <c r="D938" s="326"/>
      <c r="E938" s="311"/>
      <c r="F938" s="311"/>
      <c r="G938" s="311"/>
      <c r="H938" s="311"/>
      <c r="I938" s="311"/>
      <c r="J938" s="317"/>
      <c r="K938" s="312"/>
      <c r="L938" s="312"/>
      <c r="M938" s="312"/>
      <c r="N938" s="312"/>
      <c r="O938" s="312"/>
      <c r="P938" s="322" t="str">
        <f t="shared" si="44"/>
        <v/>
      </c>
      <c r="Q938" s="208" t="str">
        <f t="shared" si="42"/>
        <v/>
      </c>
      <c r="R938" s="208"/>
      <c r="S938" s="323" t="str">
        <f t="shared" si="43"/>
        <v/>
      </c>
      <c r="U938" s="322"/>
      <c r="V938" s="791"/>
      <c r="W938" s="792"/>
      <c r="X938" s="480"/>
      <c r="Y938" s="480"/>
      <c r="Z938" s="480"/>
      <c r="AA938" s="323"/>
      <c r="AB938" s="220"/>
      <c r="AC938" s="322"/>
      <c r="AD938" s="323"/>
      <c r="AE938" s="220"/>
      <c r="AF938" s="324"/>
      <c r="AG938" s="208"/>
      <c r="AH938" s="208"/>
      <c r="AI938" s="208"/>
      <c r="AJ938" s="208"/>
      <c r="AK938" s="208"/>
      <c r="AL938" s="208"/>
      <c r="AM938" s="208"/>
      <c r="AN938" s="208"/>
      <c r="AO938" s="208"/>
      <c r="AP938" s="208"/>
      <c r="AQ938" s="208"/>
      <c r="AR938" s="208"/>
      <c r="AS938" s="208"/>
      <c r="AT938" s="208"/>
      <c r="AU938" s="208"/>
      <c r="AV938" s="208"/>
      <c r="AW938" s="208"/>
      <c r="AX938" s="208"/>
      <c r="AY938" s="208"/>
      <c r="AZ938" s="208"/>
      <c r="BA938" s="208"/>
      <c r="BB938" s="208"/>
      <c r="BC938" s="208"/>
      <c r="BD938" s="208"/>
      <c r="BE938" s="208"/>
      <c r="BF938" s="208"/>
      <c r="BG938" s="208"/>
      <c r="BH938" s="208"/>
      <c r="BI938" s="323"/>
    </row>
    <row r="939" spans="3:61" ht="15" customHeight="1">
      <c r="C939" s="325"/>
      <c r="D939" s="326"/>
      <c r="E939" s="311"/>
      <c r="F939" s="311"/>
      <c r="G939" s="311"/>
      <c r="H939" s="311"/>
      <c r="I939" s="311"/>
      <c r="J939" s="317"/>
      <c r="K939" s="312"/>
      <c r="L939" s="312"/>
      <c r="M939" s="312"/>
      <c r="N939" s="312"/>
      <c r="O939" s="312"/>
      <c r="P939" s="318" t="str">
        <f t="shared" si="44"/>
        <v/>
      </c>
      <c r="Q939" s="205" t="str">
        <f t="shared" si="42"/>
        <v/>
      </c>
      <c r="R939" s="205"/>
      <c r="S939" s="319" t="str">
        <f t="shared" si="43"/>
        <v/>
      </c>
      <c r="U939" s="318"/>
      <c r="V939" s="794"/>
      <c r="W939" s="795"/>
      <c r="X939" s="482"/>
      <c r="Y939" s="482"/>
      <c r="Z939" s="482"/>
      <c r="AA939" s="319"/>
      <c r="AB939" s="220"/>
      <c r="AC939" s="318"/>
      <c r="AD939" s="319"/>
      <c r="AE939" s="220"/>
      <c r="AF939" s="320"/>
      <c r="AG939" s="205"/>
      <c r="AH939" s="205"/>
      <c r="AI939" s="205"/>
      <c r="AJ939" s="205"/>
      <c r="AK939" s="205"/>
      <c r="AL939" s="205"/>
      <c r="AM939" s="205"/>
      <c r="AN939" s="205"/>
      <c r="AO939" s="205"/>
      <c r="AP939" s="205"/>
      <c r="AQ939" s="205"/>
      <c r="AR939" s="205"/>
      <c r="AS939" s="205"/>
      <c r="AT939" s="205"/>
      <c r="AU939" s="205"/>
      <c r="AV939" s="205"/>
      <c r="AW939" s="205"/>
      <c r="AX939" s="205"/>
      <c r="AY939" s="205"/>
      <c r="AZ939" s="205"/>
      <c r="BA939" s="205"/>
      <c r="BB939" s="205"/>
      <c r="BC939" s="205"/>
      <c r="BD939" s="205"/>
      <c r="BE939" s="205"/>
      <c r="BF939" s="205"/>
      <c r="BG939" s="205"/>
      <c r="BH939" s="205"/>
      <c r="BI939" s="319"/>
    </row>
    <row r="940" spans="3:61" ht="15" customHeight="1">
      <c r="C940" s="325"/>
      <c r="D940" s="326"/>
      <c r="E940" s="311"/>
      <c r="F940" s="311"/>
      <c r="G940" s="311"/>
      <c r="H940" s="311"/>
      <c r="I940" s="311"/>
      <c r="J940" s="317"/>
      <c r="K940" s="312"/>
      <c r="L940" s="312"/>
      <c r="M940" s="312"/>
      <c r="N940" s="312"/>
      <c r="O940" s="312"/>
      <c r="P940" s="322" t="str">
        <f t="shared" si="44"/>
        <v/>
      </c>
      <c r="Q940" s="208" t="str">
        <f t="shared" si="42"/>
        <v/>
      </c>
      <c r="R940" s="208"/>
      <c r="S940" s="323" t="str">
        <f t="shared" si="43"/>
        <v/>
      </c>
      <c r="U940" s="322"/>
      <c r="V940" s="791"/>
      <c r="W940" s="792"/>
      <c r="X940" s="480"/>
      <c r="Y940" s="480"/>
      <c r="Z940" s="480"/>
      <c r="AA940" s="323"/>
      <c r="AB940" s="220"/>
      <c r="AC940" s="322"/>
      <c r="AD940" s="323"/>
      <c r="AE940" s="220"/>
      <c r="AF940" s="324"/>
      <c r="AG940" s="208"/>
      <c r="AH940" s="208"/>
      <c r="AI940" s="208"/>
      <c r="AJ940" s="208"/>
      <c r="AK940" s="208"/>
      <c r="AL940" s="208"/>
      <c r="AM940" s="208"/>
      <c r="AN940" s="208"/>
      <c r="AO940" s="208"/>
      <c r="AP940" s="208"/>
      <c r="AQ940" s="208"/>
      <c r="AR940" s="208"/>
      <c r="AS940" s="208"/>
      <c r="AT940" s="208"/>
      <c r="AU940" s="208"/>
      <c r="AV940" s="208"/>
      <c r="AW940" s="208"/>
      <c r="AX940" s="208"/>
      <c r="AY940" s="208"/>
      <c r="AZ940" s="208"/>
      <c r="BA940" s="208"/>
      <c r="BB940" s="208"/>
      <c r="BC940" s="208"/>
      <c r="BD940" s="208"/>
      <c r="BE940" s="208"/>
      <c r="BF940" s="208"/>
      <c r="BG940" s="208"/>
      <c r="BH940" s="208"/>
      <c r="BI940" s="323"/>
    </row>
    <row r="941" spans="3:61" ht="15" customHeight="1">
      <c r="C941" s="325"/>
      <c r="D941" s="326"/>
      <c r="E941" s="311"/>
      <c r="F941" s="311"/>
      <c r="G941" s="311"/>
      <c r="H941" s="311"/>
      <c r="I941" s="311"/>
      <c r="J941" s="317"/>
      <c r="K941" s="312"/>
      <c r="L941" s="312"/>
      <c r="M941" s="312"/>
      <c r="N941" s="312"/>
      <c r="O941" s="312"/>
      <c r="P941" s="318" t="str">
        <f t="shared" si="44"/>
        <v/>
      </c>
      <c r="Q941" s="205" t="str">
        <f t="shared" si="42"/>
        <v/>
      </c>
      <c r="R941" s="205"/>
      <c r="S941" s="319" t="str">
        <f t="shared" si="43"/>
        <v/>
      </c>
      <c r="U941" s="318"/>
      <c r="V941" s="794"/>
      <c r="W941" s="795"/>
      <c r="X941" s="482"/>
      <c r="Y941" s="482"/>
      <c r="Z941" s="482"/>
      <c r="AA941" s="319"/>
      <c r="AB941" s="220"/>
      <c r="AC941" s="318"/>
      <c r="AD941" s="319"/>
      <c r="AE941" s="220"/>
      <c r="AF941" s="320"/>
      <c r="AG941" s="205"/>
      <c r="AH941" s="205"/>
      <c r="AI941" s="205"/>
      <c r="AJ941" s="205"/>
      <c r="AK941" s="205"/>
      <c r="AL941" s="205"/>
      <c r="AM941" s="205"/>
      <c r="AN941" s="205"/>
      <c r="AO941" s="205"/>
      <c r="AP941" s="205"/>
      <c r="AQ941" s="205"/>
      <c r="AR941" s="205"/>
      <c r="AS941" s="205"/>
      <c r="AT941" s="205"/>
      <c r="AU941" s="205"/>
      <c r="AV941" s="205"/>
      <c r="AW941" s="205"/>
      <c r="AX941" s="205"/>
      <c r="AY941" s="205"/>
      <c r="AZ941" s="205"/>
      <c r="BA941" s="205"/>
      <c r="BB941" s="205"/>
      <c r="BC941" s="205"/>
      <c r="BD941" s="205"/>
      <c r="BE941" s="205"/>
      <c r="BF941" s="205"/>
      <c r="BG941" s="205"/>
      <c r="BH941" s="205"/>
      <c r="BI941" s="319"/>
    </row>
    <row r="942" spans="3:61" ht="15" customHeight="1">
      <c r="C942" s="325"/>
      <c r="D942" s="326"/>
      <c r="E942" s="311"/>
      <c r="F942" s="311"/>
      <c r="G942" s="311"/>
      <c r="H942" s="311"/>
      <c r="I942" s="311"/>
      <c r="J942" s="317"/>
      <c r="K942" s="312"/>
      <c r="L942" s="312"/>
      <c r="M942" s="312"/>
      <c r="N942" s="312"/>
      <c r="O942" s="312"/>
      <c r="P942" s="322" t="str">
        <f t="shared" si="44"/>
        <v/>
      </c>
      <c r="Q942" s="208" t="str">
        <f t="shared" si="42"/>
        <v/>
      </c>
      <c r="R942" s="208"/>
      <c r="S942" s="323" t="str">
        <f t="shared" si="43"/>
        <v/>
      </c>
      <c r="U942" s="322"/>
      <c r="V942" s="791"/>
      <c r="W942" s="792"/>
      <c r="X942" s="480"/>
      <c r="Y942" s="480"/>
      <c r="Z942" s="480"/>
      <c r="AA942" s="323"/>
      <c r="AB942" s="220"/>
      <c r="AC942" s="322"/>
      <c r="AD942" s="323"/>
      <c r="AE942" s="220"/>
      <c r="AF942" s="324"/>
      <c r="AG942" s="208"/>
      <c r="AH942" s="208"/>
      <c r="AI942" s="208"/>
      <c r="AJ942" s="208"/>
      <c r="AK942" s="208"/>
      <c r="AL942" s="208"/>
      <c r="AM942" s="208"/>
      <c r="AN942" s="208"/>
      <c r="AO942" s="208"/>
      <c r="AP942" s="208"/>
      <c r="AQ942" s="208"/>
      <c r="AR942" s="208"/>
      <c r="AS942" s="208"/>
      <c r="AT942" s="208"/>
      <c r="AU942" s="208"/>
      <c r="AV942" s="208"/>
      <c r="AW942" s="208"/>
      <c r="AX942" s="208"/>
      <c r="AY942" s="208"/>
      <c r="AZ942" s="208"/>
      <c r="BA942" s="208"/>
      <c r="BB942" s="208"/>
      <c r="BC942" s="208"/>
      <c r="BD942" s="208"/>
      <c r="BE942" s="208"/>
      <c r="BF942" s="208"/>
      <c r="BG942" s="208"/>
      <c r="BH942" s="208"/>
      <c r="BI942" s="323"/>
    </row>
    <row r="943" spans="3:61" ht="15" customHeight="1">
      <c r="C943" s="325"/>
      <c r="D943" s="326"/>
      <c r="E943" s="311"/>
      <c r="F943" s="311"/>
      <c r="G943" s="311"/>
      <c r="H943" s="311"/>
      <c r="I943" s="311"/>
      <c r="J943" s="317"/>
      <c r="K943" s="312"/>
      <c r="L943" s="312"/>
      <c r="M943" s="312"/>
      <c r="N943" s="312"/>
      <c r="O943" s="312"/>
      <c r="P943" s="318" t="str">
        <f t="shared" si="44"/>
        <v/>
      </c>
      <c r="Q943" s="205" t="str">
        <f t="shared" si="42"/>
        <v/>
      </c>
      <c r="R943" s="205"/>
      <c r="S943" s="319" t="str">
        <f t="shared" si="43"/>
        <v/>
      </c>
      <c r="U943" s="318"/>
      <c r="V943" s="794"/>
      <c r="W943" s="795"/>
      <c r="X943" s="482"/>
      <c r="Y943" s="482"/>
      <c r="Z943" s="482"/>
      <c r="AA943" s="319"/>
      <c r="AB943" s="220"/>
      <c r="AC943" s="318"/>
      <c r="AD943" s="319"/>
      <c r="AE943" s="220"/>
      <c r="AF943" s="320"/>
      <c r="AG943" s="205"/>
      <c r="AH943" s="205"/>
      <c r="AI943" s="205"/>
      <c r="AJ943" s="205"/>
      <c r="AK943" s="205"/>
      <c r="AL943" s="205"/>
      <c r="AM943" s="205"/>
      <c r="AN943" s="205"/>
      <c r="AO943" s="205"/>
      <c r="AP943" s="205"/>
      <c r="AQ943" s="205"/>
      <c r="AR943" s="205"/>
      <c r="AS943" s="205"/>
      <c r="AT943" s="205"/>
      <c r="AU943" s="205"/>
      <c r="AV943" s="205"/>
      <c r="AW943" s="205"/>
      <c r="AX943" s="205"/>
      <c r="AY943" s="205"/>
      <c r="AZ943" s="205"/>
      <c r="BA943" s="205"/>
      <c r="BB943" s="205"/>
      <c r="BC943" s="205"/>
      <c r="BD943" s="205"/>
      <c r="BE943" s="205"/>
      <c r="BF943" s="205"/>
      <c r="BG943" s="205"/>
      <c r="BH943" s="205"/>
      <c r="BI943" s="319"/>
    </row>
    <row r="944" spans="3:61" ht="15" customHeight="1">
      <c r="C944" s="325"/>
      <c r="D944" s="326"/>
      <c r="E944" s="311"/>
      <c r="F944" s="311"/>
      <c r="G944" s="311"/>
      <c r="H944" s="311"/>
      <c r="I944" s="311"/>
      <c r="J944" s="317"/>
      <c r="K944" s="312"/>
      <c r="L944" s="312"/>
      <c r="M944" s="312"/>
      <c r="N944" s="312"/>
      <c r="O944" s="312"/>
      <c r="P944" s="322" t="str">
        <f t="shared" si="44"/>
        <v/>
      </c>
      <c r="Q944" s="208" t="str">
        <f t="shared" si="42"/>
        <v/>
      </c>
      <c r="R944" s="208"/>
      <c r="S944" s="323" t="str">
        <f t="shared" si="43"/>
        <v/>
      </c>
      <c r="U944" s="322"/>
      <c r="V944" s="791"/>
      <c r="W944" s="792"/>
      <c r="X944" s="480"/>
      <c r="Y944" s="480"/>
      <c r="Z944" s="480"/>
      <c r="AA944" s="323"/>
      <c r="AB944" s="220"/>
      <c r="AC944" s="322"/>
      <c r="AD944" s="323"/>
      <c r="AE944" s="220"/>
      <c r="AF944" s="324"/>
      <c r="AG944" s="208"/>
      <c r="AH944" s="208"/>
      <c r="AI944" s="208"/>
      <c r="AJ944" s="208"/>
      <c r="AK944" s="208"/>
      <c r="AL944" s="208"/>
      <c r="AM944" s="208"/>
      <c r="AN944" s="208"/>
      <c r="AO944" s="208"/>
      <c r="AP944" s="208"/>
      <c r="AQ944" s="208"/>
      <c r="AR944" s="208"/>
      <c r="AS944" s="208"/>
      <c r="AT944" s="208"/>
      <c r="AU944" s="208"/>
      <c r="AV944" s="208"/>
      <c r="AW944" s="208"/>
      <c r="AX944" s="208"/>
      <c r="AY944" s="208"/>
      <c r="AZ944" s="208"/>
      <c r="BA944" s="208"/>
      <c r="BB944" s="208"/>
      <c r="BC944" s="208"/>
      <c r="BD944" s="208"/>
      <c r="BE944" s="208"/>
      <c r="BF944" s="208"/>
      <c r="BG944" s="208"/>
      <c r="BH944" s="208"/>
      <c r="BI944" s="323"/>
    </row>
    <row r="945" spans="3:61" ht="15" customHeight="1">
      <c r="C945" s="325"/>
      <c r="D945" s="326"/>
      <c r="E945" s="311"/>
      <c r="F945" s="311"/>
      <c r="G945" s="311"/>
      <c r="H945" s="311"/>
      <c r="I945" s="311"/>
      <c r="J945" s="317"/>
      <c r="K945" s="312"/>
      <c r="L945" s="312"/>
      <c r="M945" s="312"/>
      <c r="N945" s="312"/>
      <c r="O945" s="312"/>
      <c r="P945" s="318" t="str">
        <f t="shared" si="44"/>
        <v/>
      </c>
      <c r="Q945" s="205" t="str">
        <f t="shared" si="42"/>
        <v/>
      </c>
      <c r="R945" s="205"/>
      <c r="S945" s="319" t="str">
        <f t="shared" si="43"/>
        <v/>
      </c>
      <c r="U945" s="318"/>
      <c r="V945" s="794"/>
      <c r="W945" s="795"/>
      <c r="X945" s="482"/>
      <c r="Y945" s="482"/>
      <c r="Z945" s="482"/>
      <c r="AA945" s="319"/>
      <c r="AB945" s="220"/>
      <c r="AC945" s="318"/>
      <c r="AD945" s="319"/>
      <c r="AE945" s="220"/>
      <c r="AF945" s="320"/>
      <c r="AG945" s="205"/>
      <c r="AH945" s="205"/>
      <c r="AI945" s="205"/>
      <c r="AJ945" s="205"/>
      <c r="AK945" s="205"/>
      <c r="AL945" s="205"/>
      <c r="AM945" s="205"/>
      <c r="AN945" s="205"/>
      <c r="AO945" s="205"/>
      <c r="AP945" s="205"/>
      <c r="AQ945" s="205"/>
      <c r="AR945" s="205"/>
      <c r="AS945" s="205"/>
      <c r="AT945" s="205"/>
      <c r="AU945" s="205"/>
      <c r="AV945" s="205"/>
      <c r="AW945" s="205"/>
      <c r="AX945" s="205"/>
      <c r="AY945" s="205"/>
      <c r="AZ945" s="205"/>
      <c r="BA945" s="205"/>
      <c r="BB945" s="205"/>
      <c r="BC945" s="205"/>
      <c r="BD945" s="205"/>
      <c r="BE945" s="205"/>
      <c r="BF945" s="205"/>
      <c r="BG945" s="205"/>
      <c r="BH945" s="205"/>
      <c r="BI945" s="319"/>
    </row>
    <row r="946" spans="3:61" ht="15" customHeight="1">
      <c r="C946" s="325"/>
      <c r="D946" s="326"/>
      <c r="E946" s="311"/>
      <c r="F946" s="311"/>
      <c r="G946" s="311"/>
      <c r="H946" s="311"/>
      <c r="I946" s="311"/>
      <c r="J946" s="317"/>
      <c r="K946" s="312"/>
      <c r="L946" s="312"/>
      <c r="M946" s="312"/>
      <c r="N946" s="312"/>
      <c r="O946" s="312"/>
      <c r="P946" s="322" t="str">
        <f t="shared" si="44"/>
        <v/>
      </c>
      <c r="Q946" s="208" t="str">
        <f t="shared" si="42"/>
        <v/>
      </c>
      <c r="R946" s="208"/>
      <c r="S946" s="323" t="str">
        <f t="shared" si="43"/>
        <v/>
      </c>
      <c r="U946" s="322"/>
      <c r="V946" s="791"/>
      <c r="W946" s="792"/>
      <c r="X946" s="480"/>
      <c r="Y946" s="480"/>
      <c r="Z946" s="480"/>
      <c r="AA946" s="323"/>
      <c r="AB946" s="220"/>
      <c r="AC946" s="322"/>
      <c r="AD946" s="323"/>
      <c r="AE946" s="220"/>
      <c r="AF946" s="324"/>
      <c r="AG946" s="208"/>
      <c r="AH946" s="208"/>
      <c r="AI946" s="208"/>
      <c r="AJ946" s="208"/>
      <c r="AK946" s="208"/>
      <c r="AL946" s="208"/>
      <c r="AM946" s="208"/>
      <c r="AN946" s="208"/>
      <c r="AO946" s="208"/>
      <c r="AP946" s="208"/>
      <c r="AQ946" s="208"/>
      <c r="AR946" s="208"/>
      <c r="AS946" s="208"/>
      <c r="AT946" s="208"/>
      <c r="AU946" s="208"/>
      <c r="AV946" s="208"/>
      <c r="AW946" s="208"/>
      <c r="AX946" s="208"/>
      <c r="AY946" s="208"/>
      <c r="AZ946" s="208"/>
      <c r="BA946" s="208"/>
      <c r="BB946" s="208"/>
      <c r="BC946" s="208"/>
      <c r="BD946" s="208"/>
      <c r="BE946" s="208"/>
      <c r="BF946" s="208"/>
      <c r="BG946" s="208"/>
      <c r="BH946" s="208"/>
      <c r="BI946" s="323"/>
    </row>
    <row r="947" spans="3:61" ht="15" customHeight="1">
      <c r="C947" s="325"/>
      <c r="D947" s="326"/>
      <c r="E947" s="311"/>
      <c r="F947" s="311"/>
      <c r="G947" s="311"/>
      <c r="H947" s="311"/>
      <c r="I947" s="311"/>
      <c r="J947" s="317"/>
      <c r="K947" s="312"/>
      <c r="L947" s="312"/>
      <c r="M947" s="312"/>
      <c r="N947" s="312"/>
      <c r="O947" s="312"/>
      <c r="P947" s="318" t="str">
        <f t="shared" si="44"/>
        <v/>
      </c>
      <c r="Q947" s="205" t="str">
        <f t="shared" si="42"/>
        <v/>
      </c>
      <c r="R947" s="205"/>
      <c r="S947" s="319" t="str">
        <f t="shared" si="43"/>
        <v/>
      </c>
      <c r="U947" s="318"/>
      <c r="V947" s="794"/>
      <c r="W947" s="795"/>
      <c r="X947" s="482"/>
      <c r="Y947" s="482"/>
      <c r="Z947" s="482"/>
      <c r="AA947" s="319"/>
      <c r="AB947" s="220"/>
      <c r="AC947" s="318"/>
      <c r="AD947" s="319"/>
      <c r="AE947" s="220"/>
      <c r="AF947" s="320"/>
      <c r="AG947" s="205"/>
      <c r="AH947" s="205"/>
      <c r="AI947" s="205"/>
      <c r="AJ947" s="205"/>
      <c r="AK947" s="205"/>
      <c r="AL947" s="205"/>
      <c r="AM947" s="205"/>
      <c r="AN947" s="205"/>
      <c r="AO947" s="205"/>
      <c r="AP947" s="205"/>
      <c r="AQ947" s="205"/>
      <c r="AR947" s="205"/>
      <c r="AS947" s="205"/>
      <c r="AT947" s="205"/>
      <c r="AU947" s="205"/>
      <c r="AV947" s="205"/>
      <c r="AW947" s="205"/>
      <c r="AX947" s="205"/>
      <c r="AY947" s="205"/>
      <c r="AZ947" s="205"/>
      <c r="BA947" s="205"/>
      <c r="BB947" s="205"/>
      <c r="BC947" s="205"/>
      <c r="BD947" s="205"/>
      <c r="BE947" s="205"/>
      <c r="BF947" s="205"/>
      <c r="BG947" s="205"/>
      <c r="BH947" s="205"/>
      <c r="BI947" s="319"/>
    </row>
    <row r="948" spans="3:61" ht="15" customHeight="1">
      <c r="C948" s="325"/>
      <c r="D948" s="326"/>
      <c r="E948" s="311"/>
      <c r="F948" s="311"/>
      <c r="G948" s="311"/>
      <c r="H948" s="311"/>
      <c r="I948" s="311"/>
      <c r="J948" s="317"/>
      <c r="K948" s="312"/>
      <c r="L948" s="312"/>
      <c r="M948" s="312"/>
      <c r="N948" s="312"/>
      <c r="O948" s="312"/>
      <c r="P948" s="322" t="str">
        <f t="shared" si="44"/>
        <v/>
      </c>
      <c r="Q948" s="208" t="str">
        <f t="shared" si="42"/>
        <v/>
      </c>
      <c r="R948" s="208"/>
      <c r="S948" s="323" t="str">
        <f t="shared" si="43"/>
        <v/>
      </c>
      <c r="U948" s="322"/>
      <c r="V948" s="791"/>
      <c r="W948" s="792"/>
      <c r="X948" s="480"/>
      <c r="Y948" s="480"/>
      <c r="Z948" s="480"/>
      <c r="AA948" s="323"/>
      <c r="AB948" s="220"/>
      <c r="AC948" s="322"/>
      <c r="AD948" s="323"/>
      <c r="AE948" s="220"/>
      <c r="AF948" s="324"/>
      <c r="AG948" s="208"/>
      <c r="AH948" s="208"/>
      <c r="AI948" s="208"/>
      <c r="AJ948" s="208"/>
      <c r="AK948" s="208"/>
      <c r="AL948" s="208"/>
      <c r="AM948" s="208"/>
      <c r="AN948" s="208"/>
      <c r="AO948" s="208"/>
      <c r="AP948" s="208"/>
      <c r="AQ948" s="208"/>
      <c r="AR948" s="208"/>
      <c r="AS948" s="208"/>
      <c r="AT948" s="208"/>
      <c r="AU948" s="208"/>
      <c r="AV948" s="208"/>
      <c r="AW948" s="208"/>
      <c r="AX948" s="208"/>
      <c r="AY948" s="208"/>
      <c r="AZ948" s="208"/>
      <c r="BA948" s="208"/>
      <c r="BB948" s="208"/>
      <c r="BC948" s="208"/>
      <c r="BD948" s="208"/>
      <c r="BE948" s="208"/>
      <c r="BF948" s="208"/>
      <c r="BG948" s="208"/>
      <c r="BH948" s="208"/>
      <c r="BI948" s="323"/>
    </row>
    <row r="949" spans="3:61" ht="15" customHeight="1">
      <c r="C949" s="325"/>
      <c r="D949" s="326"/>
      <c r="E949" s="311"/>
      <c r="F949" s="311"/>
      <c r="G949" s="311"/>
      <c r="H949" s="311"/>
      <c r="I949" s="311"/>
      <c r="J949" s="317"/>
      <c r="K949" s="312"/>
      <c r="L949" s="312"/>
      <c r="M949" s="312"/>
      <c r="N949" s="312"/>
      <c r="O949" s="312"/>
      <c r="P949" s="318" t="str">
        <f t="shared" si="44"/>
        <v/>
      </c>
      <c r="Q949" s="205" t="str">
        <f t="shared" si="42"/>
        <v/>
      </c>
      <c r="R949" s="205"/>
      <c r="S949" s="319" t="str">
        <f t="shared" si="43"/>
        <v/>
      </c>
      <c r="U949" s="318"/>
      <c r="V949" s="794"/>
      <c r="W949" s="795"/>
      <c r="X949" s="482"/>
      <c r="Y949" s="482"/>
      <c r="Z949" s="482"/>
      <c r="AA949" s="319"/>
      <c r="AB949" s="220"/>
      <c r="AC949" s="318"/>
      <c r="AD949" s="319"/>
      <c r="AE949" s="220"/>
      <c r="AF949" s="320"/>
      <c r="AG949" s="205"/>
      <c r="AH949" s="205"/>
      <c r="AI949" s="205"/>
      <c r="AJ949" s="205"/>
      <c r="AK949" s="205"/>
      <c r="AL949" s="205"/>
      <c r="AM949" s="205"/>
      <c r="AN949" s="205"/>
      <c r="AO949" s="205"/>
      <c r="AP949" s="205"/>
      <c r="AQ949" s="205"/>
      <c r="AR949" s="205"/>
      <c r="AS949" s="205"/>
      <c r="AT949" s="205"/>
      <c r="AU949" s="205"/>
      <c r="AV949" s="205"/>
      <c r="AW949" s="205"/>
      <c r="AX949" s="205"/>
      <c r="AY949" s="205"/>
      <c r="AZ949" s="205"/>
      <c r="BA949" s="205"/>
      <c r="BB949" s="205"/>
      <c r="BC949" s="205"/>
      <c r="BD949" s="205"/>
      <c r="BE949" s="205"/>
      <c r="BF949" s="205"/>
      <c r="BG949" s="205"/>
      <c r="BH949" s="205"/>
      <c r="BI949" s="319"/>
    </row>
    <row r="950" spans="3:61" ht="15" customHeight="1">
      <c r="C950" s="325"/>
      <c r="D950" s="326"/>
      <c r="E950" s="311"/>
      <c r="F950" s="311"/>
      <c r="G950" s="311"/>
      <c r="H950" s="311"/>
      <c r="I950" s="311"/>
      <c r="J950" s="317"/>
      <c r="K950" s="312"/>
      <c r="L950" s="312"/>
      <c r="M950" s="312"/>
      <c r="N950" s="312"/>
      <c r="O950" s="312"/>
      <c r="P950" s="322" t="str">
        <f t="shared" si="44"/>
        <v/>
      </c>
      <c r="Q950" s="208" t="str">
        <f t="shared" si="42"/>
        <v/>
      </c>
      <c r="R950" s="208"/>
      <c r="S950" s="323" t="str">
        <f t="shared" si="43"/>
        <v/>
      </c>
      <c r="U950" s="322"/>
      <c r="V950" s="791"/>
      <c r="W950" s="792"/>
      <c r="X950" s="480"/>
      <c r="Y950" s="480"/>
      <c r="Z950" s="480"/>
      <c r="AA950" s="323"/>
      <c r="AB950" s="220"/>
      <c r="AC950" s="322"/>
      <c r="AD950" s="323"/>
      <c r="AE950" s="220"/>
      <c r="AF950" s="324"/>
      <c r="AG950" s="208"/>
      <c r="AH950" s="208"/>
      <c r="AI950" s="208"/>
      <c r="AJ950" s="208"/>
      <c r="AK950" s="208"/>
      <c r="AL950" s="208"/>
      <c r="AM950" s="208"/>
      <c r="AN950" s="208"/>
      <c r="AO950" s="208"/>
      <c r="AP950" s="208"/>
      <c r="AQ950" s="208"/>
      <c r="AR950" s="208"/>
      <c r="AS950" s="208"/>
      <c r="AT950" s="208"/>
      <c r="AU950" s="208"/>
      <c r="AV950" s="208"/>
      <c r="AW950" s="208"/>
      <c r="AX950" s="208"/>
      <c r="AY950" s="208"/>
      <c r="AZ950" s="208"/>
      <c r="BA950" s="208"/>
      <c r="BB950" s="208"/>
      <c r="BC950" s="208"/>
      <c r="BD950" s="208"/>
      <c r="BE950" s="208"/>
      <c r="BF950" s="208"/>
      <c r="BG950" s="208"/>
      <c r="BH950" s="208"/>
      <c r="BI950" s="323"/>
    </row>
    <row r="951" spans="3:61" ht="15" customHeight="1">
      <c r="C951" s="325"/>
      <c r="D951" s="326"/>
      <c r="E951" s="311"/>
      <c r="F951" s="311"/>
      <c r="G951" s="311"/>
      <c r="H951" s="311"/>
      <c r="I951" s="311"/>
      <c r="J951" s="317"/>
      <c r="K951" s="312"/>
      <c r="L951" s="312"/>
      <c r="M951" s="312"/>
      <c r="N951" s="312"/>
      <c r="O951" s="312"/>
      <c r="P951" s="318" t="str">
        <f t="shared" si="44"/>
        <v/>
      </c>
      <c r="Q951" s="205" t="str">
        <f t="shared" si="42"/>
        <v/>
      </c>
      <c r="R951" s="205"/>
      <c r="S951" s="319" t="str">
        <f t="shared" si="43"/>
        <v/>
      </c>
      <c r="U951" s="318"/>
      <c r="V951" s="794"/>
      <c r="W951" s="795"/>
      <c r="X951" s="482"/>
      <c r="Y951" s="482"/>
      <c r="Z951" s="482"/>
      <c r="AA951" s="319"/>
      <c r="AB951" s="220"/>
      <c r="AC951" s="318"/>
      <c r="AD951" s="319"/>
      <c r="AE951" s="220"/>
      <c r="AF951" s="320"/>
      <c r="AG951" s="205"/>
      <c r="AH951" s="205"/>
      <c r="AI951" s="205"/>
      <c r="AJ951" s="205"/>
      <c r="AK951" s="205"/>
      <c r="AL951" s="205"/>
      <c r="AM951" s="205"/>
      <c r="AN951" s="205"/>
      <c r="AO951" s="205"/>
      <c r="AP951" s="205"/>
      <c r="AQ951" s="205"/>
      <c r="AR951" s="205"/>
      <c r="AS951" s="205"/>
      <c r="AT951" s="205"/>
      <c r="AU951" s="205"/>
      <c r="AV951" s="205"/>
      <c r="AW951" s="205"/>
      <c r="AX951" s="205"/>
      <c r="AY951" s="205"/>
      <c r="AZ951" s="205"/>
      <c r="BA951" s="205"/>
      <c r="BB951" s="205"/>
      <c r="BC951" s="205"/>
      <c r="BD951" s="205"/>
      <c r="BE951" s="205"/>
      <c r="BF951" s="205"/>
      <c r="BG951" s="205"/>
      <c r="BH951" s="205"/>
      <c r="BI951" s="319"/>
    </row>
    <row r="952" spans="3:61" ht="15" customHeight="1">
      <c r="C952" s="325"/>
      <c r="D952" s="326"/>
      <c r="E952" s="311"/>
      <c r="F952" s="311"/>
      <c r="G952" s="311"/>
      <c r="H952" s="311"/>
      <c r="I952" s="311"/>
      <c r="J952" s="317"/>
      <c r="K952" s="312"/>
      <c r="L952" s="312"/>
      <c r="M952" s="312"/>
      <c r="N952" s="312"/>
      <c r="O952" s="312"/>
      <c r="P952" s="322" t="str">
        <f t="shared" si="44"/>
        <v/>
      </c>
      <c r="Q952" s="208" t="str">
        <f t="shared" si="42"/>
        <v/>
      </c>
      <c r="R952" s="208"/>
      <c r="S952" s="323" t="str">
        <f t="shared" si="43"/>
        <v/>
      </c>
      <c r="U952" s="322"/>
      <c r="V952" s="791"/>
      <c r="W952" s="792"/>
      <c r="X952" s="480"/>
      <c r="Y952" s="480"/>
      <c r="Z952" s="480"/>
      <c r="AA952" s="323"/>
      <c r="AB952" s="220"/>
      <c r="AC952" s="322"/>
      <c r="AD952" s="323"/>
      <c r="AE952" s="220"/>
      <c r="AF952" s="324"/>
      <c r="AG952" s="208"/>
      <c r="AH952" s="208"/>
      <c r="AI952" s="208"/>
      <c r="AJ952" s="208"/>
      <c r="AK952" s="208"/>
      <c r="AL952" s="208"/>
      <c r="AM952" s="208"/>
      <c r="AN952" s="208"/>
      <c r="AO952" s="208"/>
      <c r="AP952" s="208"/>
      <c r="AQ952" s="208"/>
      <c r="AR952" s="208"/>
      <c r="AS952" s="208"/>
      <c r="AT952" s="208"/>
      <c r="AU952" s="208"/>
      <c r="AV952" s="208"/>
      <c r="AW952" s="208"/>
      <c r="AX952" s="208"/>
      <c r="AY952" s="208"/>
      <c r="AZ952" s="208"/>
      <c r="BA952" s="208"/>
      <c r="BB952" s="208"/>
      <c r="BC952" s="208"/>
      <c r="BD952" s="208"/>
      <c r="BE952" s="208"/>
      <c r="BF952" s="208"/>
      <c r="BG952" s="208"/>
      <c r="BH952" s="208"/>
      <c r="BI952" s="323"/>
    </row>
    <row r="953" spans="3:61" ht="15" customHeight="1">
      <c r="C953" s="325"/>
      <c r="D953" s="326"/>
      <c r="E953" s="311"/>
      <c r="F953" s="311"/>
      <c r="G953" s="311"/>
      <c r="H953" s="311"/>
      <c r="I953" s="311"/>
      <c r="J953" s="317"/>
      <c r="K953" s="312"/>
      <c r="L953" s="312"/>
      <c r="M953" s="312"/>
      <c r="N953" s="312"/>
      <c r="O953" s="312"/>
      <c r="P953" s="318" t="str">
        <f t="shared" si="44"/>
        <v/>
      </c>
      <c r="Q953" s="205" t="str">
        <f t="shared" si="42"/>
        <v/>
      </c>
      <c r="R953" s="205"/>
      <c r="S953" s="319" t="str">
        <f t="shared" si="43"/>
        <v/>
      </c>
      <c r="U953" s="318"/>
      <c r="V953" s="794"/>
      <c r="W953" s="795"/>
      <c r="X953" s="482"/>
      <c r="Y953" s="482"/>
      <c r="Z953" s="482"/>
      <c r="AA953" s="319"/>
      <c r="AB953" s="220"/>
      <c r="AC953" s="318"/>
      <c r="AD953" s="319"/>
      <c r="AE953" s="220"/>
      <c r="AF953" s="320"/>
      <c r="AG953" s="205"/>
      <c r="AH953" s="205"/>
      <c r="AI953" s="205"/>
      <c r="AJ953" s="205"/>
      <c r="AK953" s="205"/>
      <c r="AL953" s="205"/>
      <c r="AM953" s="205"/>
      <c r="AN953" s="205"/>
      <c r="AO953" s="205"/>
      <c r="AP953" s="205"/>
      <c r="AQ953" s="205"/>
      <c r="AR953" s="205"/>
      <c r="AS953" s="205"/>
      <c r="AT953" s="205"/>
      <c r="AU953" s="205"/>
      <c r="AV953" s="205"/>
      <c r="AW953" s="205"/>
      <c r="AX953" s="205"/>
      <c r="AY953" s="205"/>
      <c r="AZ953" s="205"/>
      <c r="BA953" s="205"/>
      <c r="BB953" s="205"/>
      <c r="BC953" s="205"/>
      <c r="BD953" s="205"/>
      <c r="BE953" s="205"/>
      <c r="BF953" s="205"/>
      <c r="BG953" s="205"/>
      <c r="BH953" s="205"/>
      <c r="BI953" s="319"/>
    </row>
    <row r="954" spans="3:61" ht="15" customHeight="1">
      <c r="C954" s="325"/>
      <c r="D954" s="326"/>
      <c r="E954" s="311"/>
      <c r="F954" s="311"/>
      <c r="G954" s="311"/>
      <c r="H954" s="311"/>
      <c r="I954" s="311"/>
      <c r="J954" s="317"/>
      <c r="K954" s="312"/>
      <c r="L954" s="312"/>
      <c r="M954" s="312"/>
      <c r="N954" s="312"/>
      <c r="O954" s="312"/>
      <c r="P954" s="322" t="str">
        <f t="shared" si="44"/>
        <v/>
      </c>
      <c r="Q954" s="208" t="str">
        <f t="shared" si="42"/>
        <v/>
      </c>
      <c r="R954" s="208"/>
      <c r="S954" s="323" t="str">
        <f t="shared" si="43"/>
        <v/>
      </c>
      <c r="U954" s="322"/>
      <c r="V954" s="791"/>
      <c r="W954" s="792"/>
      <c r="X954" s="480"/>
      <c r="Y954" s="480"/>
      <c r="Z954" s="480"/>
      <c r="AA954" s="323"/>
      <c r="AB954" s="220"/>
      <c r="AC954" s="322"/>
      <c r="AD954" s="323"/>
      <c r="AE954" s="220"/>
      <c r="AF954" s="324"/>
      <c r="AG954" s="208"/>
      <c r="AH954" s="208"/>
      <c r="AI954" s="208"/>
      <c r="AJ954" s="208"/>
      <c r="AK954" s="208"/>
      <c r="AL954" s="208"/>
      <c r="AM954" s="208"/>
      <c r="AN954" s="208"/>
      <c r="AO954" s="208"/>
      <c r="AP954" s="208"/>
      <c r="AQ954" s="208"/>
      <c r="AR954" s="208"/>
      <c r="AS954" s="208"/>
      <c r="AT954" s="208"/>
      <c r="AU954" s="208"/>
      <c r="AV954" s="208"/>
      <c r="AW954" s="208"/>
      <c r="AX954" s="208"/>
      <c r="AY954" s="208"/>
      <c r="AZ954" s="208"/>
      <c r="BA954" s="208"/>
      <c r="BB954" s="208"/>
      <c r="BC954" s="208"/>
      <c r="BD954" s="208"/>
      <c r="BE954" s="208"/>
      <c r="BF954" s="208"/>
      <c r="BG954" s="208"/>
      <c r="BH954" s="208"/>
      <c r="BI954" s="323"/>
    </row>
    <row r="955" spans="3:61" ht="15" customHeight="1">
      <c r="C955" s="325"/>
      <c r="D955" s="326"/>
      <c r="E955" s="311"/>
      <c r="F955" s="311"/>
      <c r="G955" s="311"/>
      <c r="H955" s="311"/>
      <c r="I955" s="311"/>
      <c r="J955" s="317"/>
      <c r="K955" s="312"/>
      <c r="L955" s="312"/>
      <c r="M955" s="312"/>
      <c r="N955" s="312"/>
      <c r="O955" s="312"/>
      <c r="P955" s="318" t="str">
        <f t="shared" si="44"/>
        <v/>
      </c>
      <c r="Q955" s="205" t="str">
        <f t="shared" si="42"/>
        <v/>
      </c>
      <c r="R955" s="205"/>
      <c r="S955" s="319" t="str">
        <f t="shared" si="43"/>
        <v/>
      </c>
      <c r="U955" s="318"/>
      <c r="V955" s="794"/>
      <c r="W955" s="795"/>
      <c r="X955" s="482"/>
      <c r="Y955" s="482"/>
      <c r="Z955" s="482"/>
      <c r="AA955" s="319"/>
      <c r="AB955" s="220"/>
      <c r="AC955" s="318"/>
      <c r="AD955" s="319"/>
      <c r="AE955" s="220"/>
      <c r="AF955" s="320"/>
      <c r="AG955" s="205"/>
      <c r="AH955" s="205"/>
      <c r="AI955" s="205"/>
      <c r="AJ955" s="205"/>
      <c r="AK955" s="205"/>
      <c r="AL955" s="205"/>
      <c r="AM955" s="205"/>
      <c r="AN955" s="205"/>
      <c r="AO955" s="205"/>
      <c r="AP955" s="205"/>
      <c r="AQ955" s="205"/>
      <c r="AR955" s="205"/>
      <c r="AS955" s="205"/>
      <c r="AT955" s="205"/>
      <c r="AU955" s="205"/>
      <c r="AV955" s="205"/>
      <c r="AW955" s="205"/>
      <c r="AX955" s="205"/>
      <c r="AY955" s="205"/>
      <c r="AZ955" s="205"/>
      <c r="BA955" s="205"/>
      <c r="BB955" s="205"/>
      <c r="BC955" s="205"/>
      <c r="BD955" s="205"/>
      <c r="BE955" s="205"/>
      <c r="BF955" s="205"/>
      <c r="BG955" s="205"/>
      <c r="BH955" s="205"/>
      <c r="BI955" s="319"/>
    </row>
    <row r="956" spans="3:61" ht="15" customHeight="1">
      <c r="C956" s="325"/>
      <c r="D956" s="326"/>
      <c r="E956" s="311"/>
      <c r="F956" s="311"/>
      <c r="G956" s="311"/>
      <c r="H956" s="311"/>
      <c r="I956" s="311"/>
      <c r="J956" s="317"/>
      <c r="K956" s="312"/>
      <c r="L956" s="312"/>
      <c r="M956" s="312"/>
      <c r="N956" s="312"/>
      <c r="O956" s="312"/>
      <c r="P956" s="322" t="str">
        <f t="shared" si="44"/>
        <v/>
      </c>
      <c r="Q956" s="208" t="str">
        <f t="shared" si="42"/>
        <v/>
      </c>
      <c r="R956" s="208"/>
      <c r="S956" s="323" t="str">
        <f t="shared" si="43"/>
        <v/>
      </c>
      <c r="U956" s="322"/>
      <c r="V956" s="791"/>
      <c r="W956" s="792"/>
      <c r="X956" s="480"/>
      <c r="Y956" s="480"/>
      <c r="Z956" s="480"/>
      <c r="AA956" s="323"/>
      <c r="AB956" s="220"/>
      <c r="AC956" s="322"/>
      <c r="AD956" s="323"/>
      <c r="AE956" s="220"/>
      <c r="AF956" s="324"/>
      <c r="AG956" s="208"/>
      <c r="AH956" s="208"/>
      <c r="AI956" s="208"/>
      <c r="AJ956" s="208"/>
      <c r="AK956" s="208"/>
      <c r="AL956" s="208"/>
      <c r="AM956" s="208"/>
      <c r="AN956" s="208"/>
      <c r="AO956" s="208"/>
      <c r="AP956" s="208"/>
      <c r="AQ956" s="208"/>
      <c r="AR956" s="208"/>
      <c r="AS956" s="208"/>
      <c r="AT956" s="208"/>
      <c r="AU956" s="208"/>
      <c r="AV956" s="208"/>
      <c r="AW956" s="208"/>
      <c r="AX956" s="208"/>
      <c r="AY956" s="208"/>
      <c r="AZ956" s="208"/>
      <c r="BA956" s="208"/>
      <c r="BB956" s="208"/>
      <c r="BC956" s="208"/>
      <c r="BD956" s="208"/>
      <c r="BE956" s="208"/>
      <c r="BF956" s="208"/>
      <c r="BG956" s="208"/>
      <c r="BH956" s="208"/>
      <c r="BI956" s="323"/>
    </row>
    <row r="957" spans="3:61" ht="15" customHeight="1">
      <c r="C957" s="325"/>
      <c r="D957" s="326"/>
      <c r="E957" s="311"/>
      <c r="F957" s="311"/>
      <c r="G957" s="311"/>
      <c r="H957" s="311"/>
      <c r="I957" s="311"/>
      <c r="J957" s="317"/>
      <c r="K957" s="312"/>
      <c r="L957" s="312"/>
      <c r="M957" s="312"/>
      <c r="N957" s="312"/>
      <c r="O957" s="312"/>
      <c r="P957" s="318" t="str">
        <f t="shared" si="44"/>
        <v/>
      </c>
      <c r="Q957" s="205" t="str">
        <f t="shared" si="42"/>
        <v/>
      </c>
      <c r="R957" s="205"/>
      <c r="S957" s="319" t="str">
        <f t="shared" si="43"/>
        <v/>
      </c>
      <c r="U957" s="318"/>
      <c r="V957" s="794"/>
      <c r="W957" s="795"/>
      <c r="X957" s="482"/>
      <c r="Y957" s="482"/>
      <c r="Z957" s="482"/>
      <c r="AA957" s="319"/>
      <c r="AB957" s="220"/>
      <c r="AC957" s="318"/>
      <c r="AD957" s="319"/>
      <c r="AE957" s="220"/>
      <c r="AF957" s="320"/>
      <c r="AG957" s="205"/>
      <c r="AH957" s="205"/>
      <c r="AI957" s="205"/>
      <c r="AJ957" s="205"/>
      <c r="AK957" s="205"/>
      <c r="AL957" s="205"/>
      <c r="AM957" s="205"/>
      <c r="AN957" s="205"/>
      <c r="AO957" s="205"/>
      <c r="AP957" s="205"/>
      <c r="AQ957" s="205"/>
      <c r="AR957" s="205"/>
      <c r="AS957" s="205"/>
      <c r="AT957" s="205"/>
      <c r="AU957" s="205"/>
      <c r="AV957" s="205"/>
      <c r="AW957" s="205"/>
      <c r="AX957" s="205"/>
      <c r="AY957" s="205"/>
      <c r="AZ957" s="205"/>
      <c r="BA957" s="205"/>
      <c r="BB957" s="205"/>
      <c r="BC957" s="205"/>
      <c r="BD957" s="205"/>
      <c r="BE957" s="205"/>
      <c r="BF957" s="205"/>
      <c r="BG957" s="205"/>
      <c r="BH957" s="205"/>
      <c r="BI957" s="319"/>
    </row>
    <row r="958" spans="3:61" ht="15" customHeight="1">
      <c r="C958" s="325"/>
      <c r="D958" s="326"/>
      <c r="E958" s="311"/>
      <c r="F958" s="311"/>
      <c r="G958" s="311"/>
      <c r="H958" s="311"/>
      <c r="I958" s="311"/>
      <c r="J958" s="317"/>
      <c r="K958" s="312"/>
      <c r="L958" s="312"/>
      <c r="M958" s="312"/>
      <c r="N958" s="312"/>
      <c r="O958" s="312"/>
      <c r="P958" s="322" t="str">
        <f t="shared" si="44"/>
        <v/>
      </c>
      <c r="Q958" s="208" t="str">
        <f t="shared" si="42"/>
        <v/>
      </c>
      <c r="R958" s="208"/>
      <c r="S958" s="323" t="str">
        <f t="shared" si="43"/>
        <v/>
      </c>
      <c r="U958" s="322"/>
      <c r="V958" s="791"/>
      <c r="W958" s="792"/>
      <c r="X958" s="480"/>
      <c r="Y958" s="480"/>
      <c r="Z958" s="480"/>
      <c r="AA958" s="323"/>
      <c r="AB958" s="220"/>
      <c r="AC958" s="322"/>
      <c r="AD958" s="323"/>
      <c r="AE958" s="220"/>
      <c r="AF958" s="324"/>
      <c r="AG958" s="208"/>
      <c r="AH958" s="208"/>
      <c r="AI958" s="208"/>
      <c r="AJ958" s="208"/>
      <c r="AK958" s="208"/>
      <c r="AL958" s="208"/>
      <c r="AM958" s="208"/>
      <c r="AN958" s="208"/>
      <c r="AO958" s="208"/>
      <c r="AP958" s="208"/>
      <c r="AQ958" s="208"/>
      <c r="AR958" s="208"/>
      <c r="AS958" s="208"/>
      <c r="AT958" s="208"/>
      <c r="AU958" s="208"/>
      <c r="AV958" s="208"/>
      <c r="AW958" s="208"/>
      <c r="AX958" s="208"/>
      <c r="AY958" s="208"/>
      <c r="AZ958" s="208"/>
      <c r="BA958" s="208"/>
      <c r="BB958" s="208"/>
      <c r="BC958" s="208"/>
      <c r="BD958" s="208"/>
      <c r="BE958" s="208"/>
      <c r="BF958" s="208"/>
      <c r="BG958" s="208"/>
      <c r="BH958" s="208"/>
      <c r="BI958" s="323"/>
    </row>
    <row r="959" spans="3:61" ht="15" customHeight="1">
      <c r="C959" s="325"/>
      <c r="D959" s="326"/>
      <c r="E959" s="311"/>
      <c r="F959" s="311"/>
      <c r="G959" s="311"/>
      <c r="H959" s="311"/>
      <c r="I959" s="311"/>
      <c r="J959" s="317"/>
      <c r="K959" s="312"/>
      <c r="L959" s="312"/>
      <c r="M959" s="312"/>
      <c r="N959" s="312"/>
      <c r="O959" s="312"/>
      <c r="P959" s="318" t="str">
        <f t="shared" si="44"/>
        <v/>
      </c>
      <c r="Q959" s="205" t="str">
        <f t="shared" si="42"/>
        <v/>
      </c>
      <c r="R959" s="205"/>
      <c r="S959" s="319" t="str">
        <f t="shared" si="43"/>
        <v/>
      </c>
      <c r="U959" s="318"/>
      <c r="V959" s="794"/>
      <c r="W959" s="795"/>
      <c r="X959" s="482"/>
      <c r="Y959" s="482"/>
      <c r="Z959" s="482"/>
      <c r="AA959" s="319"/>
      <c r="AB959" s="220"/>
      <c r="AC959" s="318"/>
      <c r="AD959" s="319"/>
      <c r="AE959" s="220"/>
      <c r="AF959" s="320"/>
      <c r="AG959" s="205"/>
      <c r="AH959" s="205"/>
      <c r="AI959" s="205"/>
      <c r="AJ959" s="205"/>
      <c r="AK959" s="205"/>
      <c r="AL959" s="205"/>
      <c r="AM959" s="205"/>
      <c r="AN959" s="205"/>
      <c r="AO959" s="205"/>
      <c r="AP959" s="205"/>
      <c r="AQ959" s="205"/>
      <c r="AR959" s="205"/>
      <c r="AS959" s="205"/>
      <c r="AT959" s="205"/>
      <c r="AU959" s="205"/>
      <c r="AV959" s="205"/>
      <c r="AW959" s="205"/>
      <c r="AX959" s="205"/>
      <c r="AY959" s="205"/>
      <c r="AZ959" s="205"/>
      <c r="BA959" s="205"/>
      <c r="BB959" s="205"/>
      <c r="BC959" s="205"/>
      <c r="BD959" s="205"/>
      <c r="BE959" s="205"/>
      <c r="BF959" s="205"/>
      <c r="BG959" s="205"/>
      <c r="BH959" s="205"/>
      <c r="BI959" s="319"/>
    </row>
    <row r="960" spans="3:61" ht="15" customHeight="1">
      <c r="C960" s="325"/>
      <c r="D960" s="326"/>
      <c r="E960" s="311"/>
      <c r="F960" s="311"/>
      <c r="G960" s="311"/>
      <c r="H960" s="311"/>
      <c r="I960" s="311"/>
      <c r="J960" s="317"/>
      <c r="K960" s="312"/>
      <c r="L960" s="312"/>
      <c r="M960" s="312"/>
      <c r="N960" s="312"/>
      <c r="O960" s="312"/>
      <c r="P960" s="322" t="str">
        <f t="shared" si="44"/>
        <v/>
      </c>
      <c r="Q960" s="208" t="str">
        <f t="shared" si="42"/>
        <v/>
      </c>
      <c r="R960" s="208"/>
      <c r="S960" s="323" t="str">
        <f t="shared" si="43"/>
        <v/>
      </c>
      <c r="U960" s="322"/>
      <c r="V960" s="791"/>
      <c r="W960" s="792"/>
      <c r="X960" s="480"/>
      <c r="Y960" s="480"/>
      <c r="Z960" s="480"/>
      <c r="AA960" s="323"/>
      <c r="AB960" s="220"/>
      <c r="AC960" s="322"/>
      <c r="AD960" s="323"/>
      <c r="AE960" s="220"/>
      <c r="AF960" s="324"/>
      <c r="AG960" s="208"/>
      <c r="AH960" s="208"/>
      <c r="AI960" s="208"/>
      <c r="AJ960" s="208"/>
      <c r="AK960" s="208"/>
      <c r="AL960" s="208"/>
      <c r="AM960" s="208"/>
      <c r="AN960" s="208"/>
      <c r="AO960" s="208"/>
      <c r="AP960" s="208"/>
      <c r="AQ960" s="208"/>
      <c r="AR960" s="208"/>
      <c r="AS960" s="208"/>
      <c r="AT960" s="208"/>
      <c r="AU960" s="208"/>
      <c r="AV960" s="208"/>
      <c r="AW960" s="208"/>
      <c r="AX960" s="208"/>
      <c r="AY960" s="208"/>
      <c r="AZ960" s="208"/>
      <c r="BA960" s="208"/>
      <c r="BB960" s="208"/>
      <c r="BC960" s="208"/>
      <c r="BD960" s="208"/>
      <c r="BE960" s="208"/>
      <c r="BF960" s="208"/>
      <c r="BG960" s="208"/>
      <c r="BH960" s="208"/>
      <c r="BI960" s="323"/>
    </row>
    <row r="961" spans="3:61" ht="15" customHeight="1">
      <c r="C961" s="325"/>
      <c r="D961" s="326"/>
      <c r="E961" s="311"/>
      <c r="F961" s="311"/>
      <c r="G961" s="311"/>
      <c r="H961" s="311"/>
      <c r="I961" s="311"/>
      <c r="J961" s="317"/>
      <c r="K961" s="312"/>
      <c r="L961" s="312"/>
      <c r="M961" s="312"/>
      <c r="N961" s="312"/>
      <c r="O961" s="312"/>
      <c r="P961" s="318" t="str">
        <f t="shared" si="44"/>
        <v/>
      </c>
      <c r="Q961" s="205" t="str">
        <f t="shared" si="42"/>
        <v/>
      </c>
      <c r="R961" s="205"/>
      <c r="S961" s="319" t="str">
        <f t="shared" si="43"/>
        <v/>
      </c>
      <c r="U961" s="318"/>
      <c r="V961" s="794"/>
      <c r="W961" s="795"/>
      <c r="X961" s="482"/>
      <c r="Y961" s="482"/>
      <c r="Z961" s="482"/>
      <c r="AA961" s="319"/>
      <c r="AB961" s="220"/>
      <c r="AC961" s="318"/>
      <c r="AD961" s="319"/>
      <c r="AE961" s="220"/>
      <c r="AF961" s="320"/>
      <c r="AG961" s="205"/>
      <c r="AH961" s="205"/>
      <c r="AI961" s="205"/>
      <c r="AJ961" s="205"/>
      <c r="AK961" s="205"/>
      <c r="AL961" s="205"/>
      <c r="AM961" s="205"/>
      <c r="AN961" s="205"/>
      <c r="AO961" s="205"/>
      <c r="AP961" s="205"/>
      <c r="AQ961" s="205"/>
      <c r="AR961" s="205"/>
      <c r="AS961" s="205"/>
      <c r="AT961" s="205"/>
      <c r="AU961" s="205"/>
      <c r="AV961" s="205"/>
      <c r="AW961" s="205"/>
      <c r="AX961" s="205"/>
      <c r="AY961" s="205"/>
      <c r="AZ961" s="205"/>
      <c r="BA961" s="205"/>
      <c r="BB961" s="205"/>
      <c r="BC961" s="205"/>
      <c r="BD961" s="205"/>
      <c r="BE961" s="205"/>
      <c r="BF961" s="205"/>
      <c r="BG961" s="205"/>
      <c r="BH961" s="205"/>
      <c r="BI961" s="319"/>
    </row>
    <row r="962" spans="3:61" ht="15" customHeight="1">
      <c r="C962" s="325"/>
      <c r="D962" s="326"/>
      <c r="E962" s="311"/>
      <c r="F962" s="311"/>
      <c r="G962" s="311"/>
      <c r="H962" s="311"/>
      <c r="I962" s="311"/>
      <c r="J962" s="317"/>
      <c r="K962" s="312"/>
      <c r="L962" s="312"/>
      <c r="M962" s="312"/>
      <c r="N962" s="312"/>
      <c r="O962" s="312"/>
      <c r="P962" s="322" t="str">
        <f t="shared" si="44"/>
        <v/>
      </c>
      <c r="Q962" s="208" t="str">
        <f t="shared" si="42"/>
        <v/>
      </c>
      <c r="R962" s="208"/>
      <c r="S962" s="323" t="str">
        <f t="shared" si="43"/>
        <v/>
      </c>
      <c r="U962" s="322"/>
      <c r="V962" s="791"/>
      <c r="W962" s="792"/>
      <c r="X962" s="480"/>
      <c r="Y962" s="480"/>
      <c r="Z962" s="480"/>
      <c r="AA962" s="323"/>
      <c r="AB962" s="220"/>
      <c r="AC962" s="322"/>
      <c r="AD962" s="323"/>
      <c r="AE962" s="220"/>
      <c r="AF962" s="324"/>
      <c r="AG962" s="208"/>
      <c r="AH962" s="208"/>
      <c r="AI962" s="208"/>
      <c r="AJ962" s="208"/>
      <c r="AK962" s="208"/>
      <c r="AL962" s="208"/>
      <c r="AM962" s="208"/>
      <c r="AN962" s="208"/>
      <c r="AO962" s="208"/>
      <c r="AP962" s="208"/>
      <c r="AQ962" s="208"/>
      <c r="AR962" s="208"/>
      <c r="AS962" s="208"/>
      <c r="AT962" s="208"/>
      <c r="AU962" s="208"/>
      <c r="AV962" s="208"/>
      <c r="AW962" s="208"/>
      <c r="AX962" s="208"/>
      <c r="AY962" s="208"/>
      <c r="AZ962" s="208"/>
      <c r="BA962" s="208"/>
      <c r="BB962" s="208"/>
      <c r="BC962" s="208"/>
      <c r="BD962" s="208"/>
      <c r="BE962" s="208"/>
      <c r="BF962" s="208"/>
      <c r="BG962" s="208"/>
      <c r="BH962" s="208"/>
      <c r="BI962" s="323"/>
    </row>
    <row r="963" spans="3:61" ht="15" customHeight="1">
      <c r="C963" s="325"/>
      <c r="D963" s="326"/>
      <c r="E963" s="311"/>
      <c r="F963" s="311"/>
      <c r="G963" s="311"/>
      <c r="H963" s="311"/>
      <c r="I963" s="311"/>
      <c r="J963" s="317"/>
      <c r="K963" s="312"/>
      <c r="L963" s="312"/>
      <c r="M963" s="312"/>
      <c r="N963" s="312"/>
      <c r="O963" s="312"/>
      <c r="P963" s="318" t="str">
        <f t="shared" si="44"/>
        <v/>
      </c>
      <c r="Q963" s="205" t="str">
        <f t="shared" si="42"/>
        <v/>
      </c>
      <c r="R963" s="205"/>
      <c r="S963" s="319" t="str">
        <f t="shared" si="43"/>
        <v/>
      </c>
      <c r="U963" s="318"/>
      <c r="V963" s="794"/>
      <c r="W963" s="795"/>
      <c r="X963" s="482"/>
      <c r="Y963" s="482"/>
      <c r="Z963" s="482"/>
      <c r="AA963" s="319"/>
      <c r="AB963" s="220"/>
      <c r="AC963" s="318"/>
      <c r="AD963" s="319"/>
      <c r="AE963" s="220"/>
      <c r="AF963" s="320"/>
      <c r="AG963" s="205"/>
      <c r="AH963" s="205"/>
      <c r="AI963" s="205"/>
      <c r="AJ963" s="205"/>
      <c r="AK963" s="205"/>
      <c r="AL963" s="205"/>
      <c r="AM963" s="205"/>
      <c r="AN963" s="205"/>
      <c r="AO963" s="205"/>
      <c r="AP963" s="205"/>
      <c r="AQ963" s="205"/>
      <c r="AR963" s="205"/>
      <c r="AS963" s="205"/>
      <c r="AT963" s="205"/>
      <c r="AU963" s="205"/>
      <c r="AV963" s="205"/>
      <c r="AW963" s="205"/>
      <c r="AX963" s="205"/>
      <c r="AY963" s="205"/>
      <c r="AZ963" s="205"/>
      <c r="BA963" s="205"/>
      <c r="BB963" s="205"/>
      <c r="BC963" s="205"/>
      <c r="BD963" s="205"/>
      <c r="BE963" s="205"/>
      <c r="BF963" s="205"/>
      <c r="BG963" s="205"/>
      <c r="BH963" s="205"/>
      <c r="BI963" s="319"/>
    </row>
    <row r="964" spans="3:61" ht="15" customHeight="1">
      <c r="C964" s="325"/>
      <c r="D964" s="326"/>
      <c r="E964" s="311"/>
      <c r="F964" s="311"/>
      <c r="G964" s="311"/>
      <c r="H964" s="311"/>
      <c r="I964" s="311"/>
      <c r="J964" s="317"/>
      <c r="K964" s="312"/>
      <c r="L964" s="312"/>
      <c r="M964" s="312"/>
      <c r="N964" s="312"/>
      <c r="O964" s="312"/>
      <c r="P964" s="322" t="str">
        <f t="shared" si="44"/>
        <v/>
      </c>
      <c r="Q964" s="208" t="str">
        <f t="shared" si="42"/>
        <v/>
      </c>
      <c r="R964" s="208"/>
      <c r="S964" s="323" t="str">
        <f t="shared" si="43"/>
        <v/>
      </c>
      <c r="U964" s="322"/>
      <c r="V964" s="791"/>
      <c r="W964" s="792"/>
      <c r="X964" s="480"/>
      <c r="Y964" s="480"/>
      <c r="Z964" s="480"/>
      <c r="AA964" s="323"/>
      <c r="AB964" s="220"/>
      <c r="AC964" s="322"/>
      <c r="AD964" s="323"/>
      <c r="AE964" s="220"/>
      <c r="AF964" s="324"/>
      <c r="AG964" s="208"/>
      <c r="AH964" s="208"/>
      <c r="AI964" s="208"/>
      <c r="AJ964" s="208"/>
      <c r="AK964" s="208"/>
      <c r="AL964" s="208"/>
      <c r="AM964" s="208"/>
      <c r="AN964" s="208"/>
      <c r="AO964" s="208"/>
      <c r="AP964" s="208"/>
      <c r="AQ964" s="208"/>
      <c r="AR964" s="208"/>
      <c r="AS964" s="208"/>
      <c r="AT964" s="208"/>
      <c r="AU964" s="208"/>
      <c r="AV964" s="208"/>
      <c r="AW964" s="208"/>
      <c r="AX964" s="208"/>
      <c r="AY964" s="208"/>
      <c r="AZ964" s="208"/>
      <c r="BA964" s="208"/>
      <c r="BB964" s="208"/>
      <c r="BC964" s="208"/>
      <c r="BD964" s="208"/>
      <c r="BE964" s="208"/>
      <c r="BF964" s="208"/>
      <c r="BG964" s="208"/>
      <c r="BH964" s="208"/>
      <c r="BI964" s="323"/>
    </row>
    <row r="965" spans="3:61" ht="15" customHeight="1">
      <c r="C965" s="325"/>
      <c r="D965" s="326"/>
      <c r="E965" s="311"/>
      <c r="F965" s="311"/>
      <c r="G965" s="311"/>
      <c r="H965" s="311"/>
      <c r="I965" s="311"/>
      <c r="J965" s="317"/>
      <c r="K965" s="312"/>
      <c r="L965" s="312"/>
      <c r="M965" s="312"/>
      <c r="N965" s="312"/>
      <c r="O965" s="312"/>
      <c r="P965" s="318" t="str">
        <f t="shared" si="44"/>
        <v/>
      </c>
      <c r="Q965" s="205" t="str">
        <f t="shared" si="42"/>
        <v/>
      </c>
      <c r="R965" s="205"/>
      <c r="S965" s="319" t="str">
        <f t="shared" si="43"/>
        <v/>
      </c>
      <c r="U965" s="318"/>
      <c r="V965" s="794"/>
      <c r="W965" s="795"/>
      <c r="X965" s="482"/>
      <c r="Y965" s="482"/>
      <c r="Z965" s="482"/>
      <c r="AA965" s="319"/>
      <c r="AB965" s="220"/>
      <c r="AC965" s="318"/>
      <c r="AD965" s="319"/>
      <c r="AE965" s="220"/>
      <c r="AF965" s="320"/>
      <c r="AG965" s="205"/>
      <c r="AH965" s="205"/>
      <c r="AI965" s="205"/>
      <c r="AJ965" s="205"/>
      <c r="AK965" s="205"/>
      <c r="AL965" s="205"/>
      <c r="AM965" s="205"/>
      <c r="AN965" s="205"/>
      <c r="AO965" s="205"/>
      <c r="AP965" s="205"/>
      <c r="AQ965" s="205"/>
      <c r="AR965" s="205"/>
      <c r="AS965" s="205"/>
      <c r="AT965" s="205"/>
      <c r="AU965" s="205"/>
      <c r="AV965" s="205"/>
      <c r="AW965" s="205"/>
      <c r="AX965" s="205"/>
      <c r="AY965" s="205"/>
      <c r="AZ965" s="205"/>
      <c r="BA965" s="205"/>
      <c r="BB965" s="205"/>
      <c r="BC965" s="205"/>
      <c r="BD965" s="205"/>
      <c r="BE965" s="205"/>
      <c r="BF965" s="205"/>
      <c r="BG965" s="205"/>
      <c r="BH965" s="205"/>
      <c r="BI965" s="319"/>
    </row>
    <row r="966" spans="3:61" ht="15" customHeight="1">
      <c r="C966" s="325"/>
      <c r="D966" s="326"/>
      <c r="E966" s="311"/>
      <c r="F966" s="311"/>
      <c r="G966" s="311"/>
      <c r="H966" s="311"/>
      <c r="I966" s="311"/>
      <c r="J966" s="317"/>
      <c r="K966" s="312"/>
      <c r="L966" s="312"/>
      <c r="M966" s="312"/>
      <c r="N966" s="312"/>
      <c r="O966" s="312"/>
      <c r="P966" s="322" t="str">
        <f t="shared" si="44"/>
        <v/>
      </c>
      <c r="Q966" s="208" t="str">
        <f t="shared" si="42"/>
        <v/>
      </c>
      <c r="R966" s="208"/>
      <c r="S966" s="323" t="str">
        <f t="shared" si="43"/>
        <v/>
      </c>
      <c r="U966" s="322"/>
      <c r="V966" s="791"/>
      <c r="W966" s="792"/>
      <c r="X966" s="480"/>
      <c r="Y966" s="480"/>
      <c r="Z966" s="480"/>
      <c r="AA966" s="323"/>
      <c r="AB966" s="220"/>
      <c r="AC966" s="322"/>
      <c r="AD966" s="323"/>
      <c r="AE966" s="220"/>
      <c r="AF966" s="324"/>
      <c r="AG966" s="208"/>
      <c r="AH966" s="208"/>
      <c r="AI966" s="208"/>
      <c r="AJ966" s="208"/>
      <c r="AK966" s="208"/>
      <c r="AL966" s="208"/>
      <c r="AM966" s="208"/>
      <c r="AN966" s="208"/>
      <c r="AO966" s="208"/>
      <c r="AP966" s="208"/>
      <c r="AQ966" s="208"/>
      <c r="AR966" s="208"/>
      <c r="AS966" s="208"/>
      <c r="AT966" s="208"/>
      <c r="AU966" s="208"/>
      <c r="AV966" s="208"/>
      <c r="AW966" s="208"/>
      <c r="AX966" s="208"/>
      <c r="AY966" s="208"/>
      <c r="AZ966" s="208"/>
      <c r="BA966" s="208"/>
      <c r="BB966" s="208"/>
      <c r="BC966" s="208"/>
      <c r="BD966" s="208"/>
      <c r="BE966" s="208"/>
      <c r="BF966" s="208"/>
      <c r="BG966" s="208"/>
      <c r="BH966" s="208"/>
      <c r="BI966" s="323"/>
    </row>
    <row r="967" spans="3:61" ht="15" customHeight="1">
      <c r="C967" s="325"/>
      <c r="D967" s="326"/>
      <c r="E967" s="311"/>
      <c r="F967" s="311"/>
      <c r="G967" s="311"/>
      <c r="H967" s="311"/>
      <c r="I967" s="311"/>
      <c r="J967" s="317"/>
      <c r="K967" s="312"/>
      <c r="L967" s="312"/>
      <c r="M967" s="312"/>
      <c r="N967" s="312"/>
      <c r="O967" s="312"/>
      <c r="P967" s="318" t="str">
        <f t="shared" si="44"/>
        <v/>
      </c>
      <c r="Q967" s="205" t="str">
        <f t="shared" si="42"/>
        <v/>
      </c>
      <c r="R967" s="205"/>
      <c r="S967" s="319" t="str">
        <f t="shared" si="43"/>
        <v/>
      </c>
      <c r="U967" s="318"/>
      <c r="V967" s="794"/>
      <c r="W967" s="795"/>
      <c r="X967" s="482"/>
      <c r="Y967" s="482"/>
      <c r="Z967" s="482"/>
      <c r="AA967" s="319"/>
      <c r="AB967" s="220"/>
      <c r="AC967" s="318"/>
      <c r="AD967" s="319"/>
      <c r="AE967" s="220"/>
      <c r="AF967" s="320"/>
      <c r="AG967" s="205"/>
      <c r="AH967" s="205"/>
      <c r="AI967" s="205"/>
      <c r="AJ967" s="205"/>
      <c r="AK967" s="205"/>
      <c r="AL967" s="205"/>
      <c r="AM967" s="205"/>
      <c r="AN967" s="205"/>
      <c r="AO967" s="205"/>
      <c r="AP967" s="205"/>
      <c r="AQ967" s="205"/>
      <c r="AR967" s="205"/>
      <c r="AS967" s="205"/>
      <c r="AT967" s="205"/>
      <c r="AU967" s="205"/>
      <c r="AV967" s="205"/>
      <c r="AW967" s="205"/>
      <c r="AX967" s="205"/>
      <c r="AY967" s="205"/>
      <c r="AZ967" s="205"/>
      <c r="BA967" s="205"/>
      <c r="BB967" s="205"/>
      <c r="BC967" s="205"/>
      <c r="BD967" s="205"/>
      <c r="BE967" s="205"/>
      <c r="BF967" s="205"/>
      <c r="BG967" s="205"/>
      <c r="BH967" s="205"/>
      <c r="BI967" s="319"/>
    </row>
    <row r="968" spans="3:61" ht="15" customHeight="1">
      <c r="C968" s="325"/>
      <c r="D968" s="326"/>
      <c r="E968" s="311"/>
      <c r="F968" s="311"/>
      <c r="G968" s="311"/>
      <c r="H968" s="311"/>
      <c r="I968" s="311"/>
      <c r="J968" s="317"/>
      <c r="K968" s="312"/>
      <c r="L968" s="312"/>
      <c r="M968" s="312"/>
      <c r="N968" s="312"/>
      <c r="O968" s="312"/>
      <c r="P968" s="322" t="str">
        <f t="shared" si="44"/>
        <v/>
      </c>
      <c r="Q968" s="208" t="str">
        <f t="shared" si="42"/>
        <v/>
      </c>
      <c r="R968" s="208"/>
      <c r="S968" s="323" t="str">
        <f t="shared" si="43"/>
        <v/>
      </c>
      <c r="U968" s="322"/>
      <c r="V968" s="791"/>
      <c r="W968" s="792"/>
      <c r="X968" s="480"/>
      <c r="Y968" s="480"/>
      <c r="Z968" s="480"/>
      <c r="AA968" s="323"/>
      <c r="AB968" s="220"/>
      <c r="AC968" s="322"/>
      <c r="AD968" s="323"/>
      <c r="AE968" s="220"/>
      <c r="AF968" s="324"/>
      <c r="AG968" s="208"/>
      <c r="AH968" s="208"/>
      <c r="AI968" s="208"/>
      <c r="AJ968" s="208"/>
      <c r="AK968" s="208"/>
      <c r="AL968" s="208"/>
      <c r="AM968" s="208"/>
      <c r="AN968" s="208"/>
      <c r="AO968" s="208"/>
      <c r="AP968" s="208"/>
      <c r="AQ968" s="208"/>
      <c r="AR968" s="208"/>
      <c r="AS968" s="208"/>
      <c r="AT968" s="208"/>
      <c r="AU968" s="208"/>
      <c r="AV968" s="208"/>
      <c r="AW968" s="208"/>
      <c r="AX968" s="208"/>
      <c r="AY968" s="208"/>
      <c r="AZ968" s="208"/>
      <c r="BA968" s="208"/>
      <c r="BB968" s="208"/>
      <c r="BC968" s="208"/>
      <c r="BD968" s="208"/>
      <c r="BE968" s="208"/>
      <c r="BF968" s="208"/>
      <c r="BG968" s="208"/>
      <c r="BH968" s="208"/>
      <c r="BI968" s="323"/>
    </row>
    <row r="969" spans="3:61" ht="15" customHeight="1">
      <c r="C969" s="325"/>
      <c r="D969" s="326"/>
      <c r="E969" s="311"/>
      <c r="F969" s="311"/>
      <c r="G969" s="311"/>
      <c r="H969" s="311"/>
      <c r="I969" s="311"/>
      <c r="J969" s="317"/>
      <c r="K969" s="312"/>
      <c r="L969" s="312"/>
      <c r="M969" s="312"/>
      <c r="N969" s="312"/>
      <c r="O969" s="312"/>
      <c r="P969" s="318" t="str">
        <f t="shared" si="44"/>
        <v/>
      </c>
      <c r="Q969" s="205" t="str">
        <f t="shared" si="42"/>
        <v/>
      </c>
      <c r="R969" s="205"/>
      <c r="S969" s="319" t="str">
        <f t="shared" si="43"/>
        <v/>
      </c>
      <c r="U969" s="318"/>
      <c r="V969" s="794"/>
      <c r="W969" s="795"/>
      <c r="X969" s="482"/>
      <c r="Y969" s="482"/>
      <c r="Z969" s="482"/>
      <c r="AA969" s="319"/>
      <c r="AB969" s="220"/>
      <c r="AC969" s="318"/>
      <c r="AD969" s="319"/>
      <c r="AE969" s="220"/>
      <c r="AF969" s="320"/>
      <c r="AG969" s="205"/>
      <c r="AH969" s="205"/>
      <c r="AI969" s="205"/>
      <c r="AJ969" s="205"/>
      <c r="AK969" s="205"/>
      <c r="AL969" s="205"/>
      <c r="AM969" s="205"/>
      <c r="AN969" s="205"/>
      <c r="AO969" s="205"/>
      <c r="AP969" s="205"/>
      <c r="AQ969" s="205"/>
      <c r="AR969" s="205"/>
      <c r="AS969" s="205"/>
      <c r="AT969" s="205"/>
      <c r="AU969" s="205"/>
      <c r="AV969" s="205"/>
      <c r="AW969" s="205"/>
      <c r="AX969" s="205"/>
      <c r="AY969" s="205"/>
      <c r="AZ969" s="205"/>
      <c r="BA969" s="205"/>
      <c r="BB969" s="205"/>
      <c r="BC969" s="205"/>
      <c r="BD969" s="205"/>
      <c r="BE969" s="205"/>
      <c r="BF969" s="205"/>
      <c r="BG969" s="205"/>
      <c r="BH969" s="205"/>
      <c r="BI969" s="319"/>
    </row>
    <row r="970" spans="3:61" ht="15" customHeight="1">
      <c r="C970" s="325"/>
      <c r="D970" s="326"/>
      <c r="E970" s="311"/>
      <c r="F970" s="311"/>
      <c r="G970" s="311"/>
      <c r="H970" s="311"/>
      <c r="I970" s="311"/>
      <c r="J970" s="317"/>
      <c r="K970" s="312"/>
      <c r="L970" s="312"/>
      <c r="M970" s="312"/>
      <c r="N970" s="312"/>
      <c r="O970" s="312"/>
      <c r="P970" s="322" t="str">
        <f t="shared" si="44"/>
        <v/>
      </c>
      <c r="Q970" s="208" t="str">
        <f t="shared" si="42"/>
        <v/>
      </c>
      <c r="R970" s="208"/>
      <c r="S970" s="323" t="str">
        <f t="shared" si="43"/>
        <v/>
      </c>
      <c r="U970" s="322"/>
      <c r="V970" s="791"/>
      <c r="W970" s="792"/>
      <c r="X970" s="480"/>
      <c r="Y970" s="480"/>
      <c r="Z970" s="480"/>
      <c r="AA970" s="323"/>
      <c r="AB970" s="220"/>
      <c r="AC970" s="322"/>
      <c r="AD970" s="323"/>
      <c r="AE970" s="220"/>
      <c r="AF970" s="324"/>
      <c r="AG970" s="208"/>
      <c r="AH970" s="208"/>
      <c r="AI970" s="208"/>
      <c r="AJ970" s="208"/>
      <c r="AK970" s="208"/>
      <c r="AL970" s="208"/>
      <c r="AM970" s="208"/>
      <c r="AN970" s="208"/>
      <c r="AO970" s="208"/>
      <c r="AP970" s="208"/>
      <c r="AQ970" s="208"/>
      <c r="AR970" s="208"/>
      <c r="AS970" s="208"/>
      <c r="AT970" s="208"/>
      <c r="AU970" s="208"/>
      <c r="AV970" s="208"/>
      <c r="AW970" s="208"/>
      <c r="AX970" s="208"/>
      <c r="AY970" s="208"/>
      <c r="AZ970" s="208"/>
      <c r="BA970" s="208"/>
      <c r="BB970" s="208"/>
      <c r="BC970" s="208"/>
      <c r="BD970" s="208"/>
      <c r="BE970" s="208"/>
      <c r="BF970" s="208"/>
      <c r="BG970" s="208"/>
      <c r="BH970" s="208"/>
      <c r="BI970" s="323"/>
    </row>
    <row r="971" spans="3:61" ht="15" customHeight="1">
      <c r="C971" s="325"/>
      <c r="D971" s="326"/>
      <c r="E971" s="311"/>
      <c r="F971" s="311"/>
      <c r="G971" s="311"/>
      <c r="H971" s="311"/>
      <c r="I971" s="311"/>
      <c r="J971" s="317"/>
      <c r="K971" s="312"/>
      <c r="L971" s="312"/>
      <c r="M971" s="312"/>
      <c r="N971" s="312"/>
      <c r="O971" s="312"/>
      <c r="P971" s="318" t="str">
        <f t="shared" si="44"/>
        <v/>
      </c>
      <c r="Q971" s="205" t="str">
        <f t="shared" ref="Q971:Q1034" si="45">IF($AA971 = "", "", $AA971/$AA$10*100)</f>
        <v/>
      </c>
      <c r="R971" s="205"/>
      <c r="S971" s="319" t="str">
        <f t="shared" ref="S971:S1034" si="46">IF($AD971 = "", "", $AD971/$AD$10*100)</f>
        <v/>
      </c>
      <c r="U971" s="318"/>
      <c r="V971" s="794"/>
      <c r="W971" s="795"/>
      <c r="X971" s="482"/>
      <c r="Y971" s="482"/>
      <c r="Z971" s="482"/>
      <c r="AA971" s="319"/>
      <c r="AB971" s="220"/>
      <c r="AC971" s="318"/>
      <c r="AD971" s="319"/>
      <c r="AE971" s="220"/>
      <c r="AF971" s="320"/>
      <c r="AG971" s="205"/>
      <c r="AH971" s="205"/>
      <c r="AI971" s="205"/>
      <c r="AJ971" s="205"/>
      <c r="AK971" s="205"/>
      <c r="AL971" s="205"/>
      <c r="AM971" s="205"/>
      <c r="AN971" s="205"/>
      <c r="AO971" s="205"/>
      <c r="AP971" s="205"/>
      <c r="AQ971" s="205"/>
      <c r="AR971" s="205"/>
      <c r="AS971" s="205"/>
      <c r="AT971" s="205"/>
      <c r="AU971" s="205"/>
      <c r="AV971" s="205"/>
      <c r="AW971" s="205"/>
      <c r="AX971" s="205"/>
      <c r="AY971" s="205"/>
      <c r="AZ971" s="205"/>
      <c r="BA971" s="205"/>
      <c r="BB971" s="205"/>
      <c r="BC971" s="205"/>
      <c r="BD971" s="205"/>
      <c r="BE971" s="205"/>
      <c r="BF971" s="205"/>
      <c r="BG971" s="205"/>
      <c r="BH971" s="205"/>
      <c r="BI971" s="319"/>
    </row>
    <row r="972" spans="3:61" ht="15" customHeight="1">
      <c r="C972" s="325"/>
      <c r="D972" s="326"/>
      <c r="E972" s="311"/>
      <c r="F972" s="311"/>
      <c r="G972" s="311"/>
      <c r="H972" s="311"/>
      <c r="I972" s="311"/>
      <c r="J972" s="317"/>
      <c r="K972" s="312"/>
      <c r="L972" s="312"/>
      <c r="M972" s="312"/>
      <c r="N972" s="312"/>
      <c r="O972" s="312"/>
      <c r="P972" s="322" t="str">
        <f t="shared" ref="P972:P1035" si="47">IF(U972="", "", U972)</f>
        <v/>
      </c>
      <c r="Q972" s="208" t="str">
        <f t="shared" si="45"/>
        <v/>
      </c>
      <c r="R972" s="208"/>
      <c r="S972" s="323" t="str">
        <f t="shared" si="46"/>
        <v/>
      </c>
      <c r="U972" s="322"/>
      <c r="V972" s="791"/>
      <c r="W972" s="792"/>
      <c r="X972" s="480"/>
      <c r="Y972" s="480"/>
      <c r="Z972" s="480"/>
      <c r="AA972" s="323"/>
      <c r="AB972" s="220"/>
      <c r="AC972" s="322"/>
      <c r="AD972" s="323"/>
      <c r="AE972" s="220"/>
      <c r="AF972" s="324"/>
      <c r="AG972" s="208"/>
      <c r="AH972" s="208"/>
      <c r="AI972" s="208"/>
      <c r="AJ972" s="208"/>
      <c r="AK972" s="208"/>
      <c r="AL972" s="208"/>
      <c r="AM972" s="208"/>
      <c r="AN972" s="208"/>
      <c r="AO972" s="208"/>
      <c r="AP972" s="208"/>
      <c r="AQ972" s="208"/>
      <c r="AR972" s="208"/>
      <c r="AS972" s="208"/>
      <c r="AT972" s="208"/>
      <c r="AU972" s="208"/>
      <c r="AV972" s="208"/>
      <c r="AW972" s="208"/>
      <c r="AX972" s="208"/>
      <c r="AY972" s="208"/>
      <c r="AZ972" s="208"/>
      <c r="BA972" s="208"/>
      <c r="BB972" s="208"/>
      <c r="BC972" s="208"/>
      <c r="BD972" s="208"/>
      <c r="BE972" s="208"/>
      <c r="BF972" s="208"/>
      <c r="BG972" s="208"/>
      <c r="BH972" s="208"/>
      <c r="BI972" s="323"/>
    </row>
    <row r="973" spans="3:61" ht="15" customHeight="1">
      <c r="C973" s="325"/>
      <c r="D973" s="326"/>
      <c r="E973" s="311"/>
      <c r="F973" s="311"/>
      <c r="G973" s="311"/>
      <c r="H973" s="311"/>
      <c r="I973" s="311"/>
      <c r="J973" s="317"/>
      <c r="K973" s="312"/>
      <c r="L973" s="312"/>
      <c r="M973" s="312"/>
      <c r="N973" s="312"/>
      <c r="O973" s="312"/>
      <c r="P973" s="318" t="str">
        <f t="shared" si="47"/>
        <v/>
      </c>
      <c r="Q973" s="205" t="str">
        <f t="shared" si="45"/>
        <v/>
      </c>
      <c r="R973" s="205"/>
      <c r="S973" s="319" t="str">
        <f t="shared" si="46"/>
        <v/>
      </c>
      <c r="U973" s="318"/>
      <c r="V973" s="794"/>
      <c r="W973" s="795"/>
      <c r="X973" s="482"/>
      <c r="Y973" s="482"/>
      <c r="Z973" s="482"/>
      <c r="AA973" s="319"/>
      <c r="AB973" s="220"/>
      <c r="AC973" s="318"/>
      <c r="AD973" s="319"/>
      <c r="AE973" s="220"/>
      <c r="AF973" s="320"/>
      <c r="AG973" s="205"/>
      <c r="AH973" s="205"/>
      <c r="AI973" s="205"/>
      <c r="AJ973" s="205"/>
      <c r="AK973" s="205"/>
      <c r="AL973" s="205"/>
      <c r="AM973" s="205"/>
      <c r="AN973" s="205"/>
      <c r="AO973" s="205"/>
      <c r="AP973" s="205"/>
      <c r="AQ973" s="205"/>
      <c r="AR973" s="205"/>
      <c r="AS973" s="205"/>
      <c r="AT973" s="205"/>
      <c r="AU973" s="205"/>
      <c r="AV973" s="205"/>
      <c r="AW973" s="205"/>
      <c r="AX973" s="205"/>
      <c r="AY973" s="205"/>
      <c r="AZ973" s="205"/>
      <c r="BA973" s="205"/>
      <c r="BB973" s="205"/>
      <c r="BC973" s="205"/>
      <c r="BD973" s="205"/>
      <c r="BE973" s="205"/>
      <c r="BF973" s="205"/>
      <c r="BG973" s="205"/>
      <c r="BH973" s="205"/>
      <c r="BI973" s="319"/>
    </row>
    <row r="974" spans="3:61" ht="15" customHeight="1">
      <c r="C974" s="325"/>
      <c r="D974" s="326"/>
      <c r="E974" s="311"/>
      <c r="F974" s="311"/>
      <c r="G974" s="311"/>
      <c r="H974" s="311"/>
      <c r="I974" s="311"/>
      <c r="J974" s="317"/>
      <c r="K974" s="312"/>
      <c r="L974" s="312"/>
      <c r="M974" s="312"/>
      <c r="N974" s="312"/>
      <c r="O974" s="312"/>
      <c r="P974" s="322" t="str">
        <f t="shared" si="47"/>
        <v/>
      </c>
      <c r="Q974" s="208" t="str">
        <f t="shared" si="45"/>
        <v/>
      </c>
      <c r="R974" s="208"/>
      <c r="S974" s="323" t="str">
        <f t="shared" si="46"/>
        <v/>
      </c>
      <c r="U974" s="322"/>
      <c r="V974" s="791"/>
      <c r="W974" s="792"/>
      <c r="X974" s="480"/>
      <c r="Y974" s="480"/>
      <c r="Z974" s="480"/>
      <c r="AA974" s="323"/>
      <c r="AB974" s="220"/>
      <c r="AC974" s="322"/>
      <c r="AD974" s="323"/>
      <c r="AE974" s="220"/>
      <c r="AF974" s="324"/>
      <c r="AG974" s="208"/>
      <c r="AH974" s="208"/>
      <c r="AI974" s="208"/>
      <c r="AJ974" s="208"/>
      <c r="AK974" s="208"/>
      <c r="AL974" s="208"/>
      <c r="AM974" s="208"/>
      <c r="AN974" s="208"/>
      <c r="AO974" s="208"/>
      <c r="AP974" s="208"/>
      <c r="AQ974" s="208"/>
      <c r="AR974" s="208"/>
      <c r="AS974" s="208"/>
      <c r="AT974" s="208"/>
      <c r="AU974" s="208"/>
      <c r="AV974" s="208"/>
      <c r="AW974" s="208"/>
      <c r="AX974" s="208"/>
      <c r="AY974" s="208"/>
      <c r="AZ974" s="208"/>
      <c r="BA974" s="208"/>
      <c r="BB974" s="208"/>
      <c r="BC974" s="208"/>
      <c r="BD974" s="208"/>
      <c r="BE974" s="208"/>
      <c r="BF974" s="208"/>
      <c r="BG974" s="208"/>
      <c r="BH974" s="208"/>
      <c r="BI974" s="323"/>
    </row>
    <row r="975" spans="3:61" ht="15" customHeight="1">
      <c r="C975" s="325"/>
      <c r="D975" s="326"/>
      <c r="E975" s="311"/>
      <c r="F975" s="311"/>
      <c r="G975" s="311"/>
      <c r="H975" s="311"/>
      <c r="I975" s="311"/>
      <c r="J975" s="317"/>
      <c r="K975" s="312"/>
      <c r="L975" s="312"/>
      <c r="M975" s="312"/>
      <c r="N975" s="312"/>
      <c r="O975" s="312"/>
      <c r="P975" s="318" t="str">
        <f t="shared" si="47"/>
        <v/>
      </c>
      <c r="Q975" s="205" t="str">
        <f t="shared" si="45"/>
        <v/>
      </c>
      <c r="R975" s="205"/>
      <c r="S975" s="319" t="str">
        <f t="shared" si="46"/>
        <v/>
      </c>
      <c r="U975" s="318"/>
      <c r="V975" s="794"/>
      <c r="W975" s="795"/>
      <c r="X975" s="482"/>
      <c r="Y975" s="482"/>
      <c r="Z975" s="482"/>
      <c r="AA975" s="319"/>
      <c r="AB975" s="220"/>
      <c r="AC975" s="318"/>
      <c r="AD975" s="319"/>
      <c r="AE975" s="220"/>
      <c r="AF975" s="320"/>
      <c r="AG975" s="205"/>
      <c r="AH975" s="205"/>
      <c r="AI975" s="205"/>
      <c r="AJ975" s="205"/>
      <c r="AK975" s="205"/>
      <c r="AL975" s="205"/>
      <c r="AM975" s="205"/>
      <c r="AN975" s="205"/>
      <c r="AO975" s="205"/>
      <c r="AP975" s="205"/>
      <c r="AQ975" s="205"/>
      <c r="AR975" s="205"/>
      <c r="AS975" s="205"/>
      <c r="AT975" s="205"/>
      <c r="AU975" s="205"/>
      <c r="AV975" s="205"/>
      <c r="AW975" s="205"/>
      <c r="AX975" s="205"/>
      <c r="AY975" s="205"/>
      <c r="AZ975" s="205"/>
      <c r="BA975" s="205"/>
      <c r="BB975" s="205"/>
      <c r="BC975" s="205"/>
      <c r="BD975" s="205"/>
      <c r="BE975" s="205"/>
      <c r="BF975" s="205"/>
      <c r="BG975" s="205"/>
      <c r="BH975" s="205"/>
      <c r="BI975" s="319"/>
    </row>
    <row r="976" spans="3:61" ht="15" customHeight="1">
      <c r="C976" s="325"/>
      <c r="D976" s="326"/>
      <c r="E976" s="311"/>
      <c r="F976" s="311"/>
      <c r="G976" s="311"/>
      <c r="H976" s="311"/>
      <c r="I976" s="311"/>
      <c r="J976" s="317"/>
      <c r="K976" s="312"/>
      <c r="L976" s="312"/>
      <c r="M976" s="312"/>
      <c r="N976" s="312"/>
      <c r="O976" s="312"/>
      <c r="P976" s="322" t="str">
        <f t="shared" si="47"/>
        <v/>
      </c>
      <c r="Q976" s="208" t="str">
        <f t="shared" si="45"/>
        <v/>
      </c>
      <c r="R976" s="208"/>
      <c r="S976" s="323" t="str">
        <f t="shared" si="46"/>
        <v/>
      </c>
      <c r="U976" s="322"/>
      <c r="V976" s="791"/>
      <c r="W976" s="792"/>
      <c r="X976" s="480"/>
      <c r="Y976" s="480"/>
      <c r="Z976" s="480"/>
      <c r="AA976" s="323"/>
      <c r="AB976" s="220"/>
      <c r="AC976" s="322"/>
      <c r="AD976" s="323"/>
      <c r="AE976" s="220"/>
      <c r="AF976" s="324"/>
      <c r="AG976" s="208"/>
      <c r="AH976" s="208"/>
      <c r="AI976" s="208"/>
      <c r="AJ976" s="208"/>
      <c r="AK976" s="208"/>
      <c r="AL976" s="208"/>
      <c r="AM976" s="208"/>
      <c r="AN976" s="208"/>
      <c r="AO976" s="208"/>
      <c r="AP976" s="208"/>
      <c r="AQ976" s="208"/>
      <c r="AR976" s="208"/>
      <c r="AS976" s="208"/>
      <c r="AT976" s="208"/>
      <c r="AU976" s="208"/>
      <c r="AV976" s="208"/>
      <c r="AW976" s="208"/>
      <c r="AX976" s="208"/>
      <c r="AY976" s="208"/>
      <c r="AZ976" s="208"/>
      <c r="BA976" s="208"/>
      <c r="BB976" s="208"/>
      <c r="BC976" s="208"/>
      <c r="BD976" s="208"/>
      <c r="BE976" s="208"/>
      <c r="BF976" s="208"/>
      <c r="BG976" s="208"/>
      <c r="BH976" s="208"/>
      <c r="BI976" s="323"/>
    </row>
    <row r="977" spans="3:61" ht="15" customHeight="1">
      <c r="C977" s="325"/>
      <c r="D977" s="326"/>
      <c r="E977" s="311"/>
      <c r="F977" s="311"/>
      <c r="G977" s="311"/>
      <c r="H977" s="311"/>
      <c r="I977" s="311"/>
      <c r="J977" s="317"/>
      <c r="K977" s="312"/>
      <c r="L977" s="312"/>
      <c r="M977" s="312"/>
      <c r="N977" s="312"/>
      <c r="O977" s="312"/>
      <c r="P977" s="318" t="str">
        <f t="shared" si="47"/>
        <v/>
      </c>
      <c r="Q977" s="205" t="str">
        <f t="shared" si="45"/>
        <v/>
      </c>
      <c r="R977" s="205"/>
      <c r="S977" s="319" t="str">
        <f t="shared" si="46"/>
        <v/>
      </c>
      <c r="U977" s="318"/>
      <c r="V977" s="794"/>
      <c r="W977" s="795"/>
      <c r="X977" s="482"/>
      <c r="Y977" s="482"/>
      <c r="Z977" s="482"/>
      <c r="AA977" s="319"/>
      <c r="AB977" s="220"/>
      <c r="AC977" s="318"/>
      <c r="AD977" s="319"/>
      <c r="AE977" s="220"/>
      <c r="AF977" s="320"/>
      <c r="AG977" s="205"/>
      <c r="AH977" s="205"/>
      <c r="AI977" s="205"/>
      <c r="AJ977" s="205"/>
      <c r="AK977" s="205"/>
      <c r="AL977" s="205"/>
      <c r="AM977" s="205"/>
      <c r="AN977" s="205"/>
      <c r="AO977" s="205"/>
      <c r="AP977" s="205"/>
      <c r="AQ977" s="205"/>
      <c r="AR977" s="205"/>
      <c r="AS977" s="205"/>
      <c r="AT977" s="205"/>
      <c r="AU977" s="205"/>
      <c r="AV977" s="205"/>
      <c r="AW977" s="205"/>
      <c r="AX977" s="205"/>
      <c r="AY977" s="205"/>
      <c r="AZ977" s="205"/>
      <c r="BA977" s="205"/>
      <c r="BB977" s="205"/>
      <c r="BC977" s="205"/>
      <c r="BD977" s="205"/>
      <c r="BE977" s="205"/>
      <c r="BF977" s="205"/>
      <c r="BG977" s="205"/>
      <c r="BH977" s="205"/>
      <c r="BI977" s="319"/>
    </row>
    <row r="978" spans="3:61" ht="15" customHeight="1">
      <c r="C978" s="325"/>
      <c r="D978" s="326"/>
      <c r="E978" s="311"/>
      <c r="F978" s="311"/>
      <c r="G978" s="311"/>
      <c r="H978" s="311"/>
      <c r="I978" s="311"/>
      <c r="J978" s="317"/>
      <c r="K978" s="312"/>
      <c r="L978" s="312"/>
      <c r="M978" s="312"/>
      <c r="N978" s="312"/>
      <c r="O978" s="312"/>
      <c r="P978" s="322" t="str">
        <f t="shared" si="47"/>
        <v/>
      </c>
      <c r="Q978" s="208" t="str">
        <f t="shared" si="45"/>
        <v/>
      </c>
      <c r="R978" s="208"/>
      <c r="S978" s="323" t="str">
        <f t="shared" si="46"/>
        <v/>
      </c>
      <c r="U978" s="322"/>
      <c r="V978" s="791"/>
      <c r="W978" s="792"/>
      <c r="X978" s="480"/>
      <c r="Y978" s="480"/>
      <c r="Z978" s="480"/>
      <c r="AA978" s="323"/>
      <c r="AB978" s="220"/>
      <c r="AC978" s="322"/>
      <c r="AD978" s="323"/>
      <c r="AE978" s="220"/>
      <c r="AF978" s="324"/>
      <c r="AG978" s="208"/>
      <c r="AH978" s="208"/>
      <c r="AI978" s="208"/>
      <c r="AJ978" s="208"/>
      <c r="AK978" s="208"/>
      <c r="AL978" s="208"/>
      <c r="AM978" s="208"/>
      <c r="AN978" s="208"/>
      <c r="AO978" s="208"/>
      <c r="AP978" s="208"/>
      <c r="AQ978" s="208"/>
      <c r="AR978" s="208"/>
      <c r="AS978" s="208"/>
      <c r="AT978" s="208"/>
      <c r="AU978" s="208"/>
      <c r="AV978" s="208"/>
      <c r="AW978" s="208"/>
      <c r="AX978" s="208"/>
      <c r="AY978" s="208"/>
      <c r="AZ978" s="208"/>
      <c r="BA978" s="208"/>
      <c r="BB978" s="208"/>
      <c r="BC978" s="208"/>
      <c r="BD978" s="208"/>
      <c r="BE978" s="208"/>
      <c r="BF978" s="208"/>
      <c r="BG978" s="208"/>
      <c r="BH978" s="208"/>
      <c r="BI978" s="323"/>
    </row>
    <row r="979" spans="3:61" ht="15" customHeight="1">
      <c r="C979" s="325"/>
      <c r="D979" s="326"/>
      <c r="E979" s="311"/>
      <c r="F979" s="311"/>
      <c r="G979" s="311"/>
      <c r="H979" s="311"/>
      <c r="I979" s="311"/>
      <c r="J979" s="317"/>
      <c r="K979" s="312"/>
      <c r="L979" s="312"/>
      <c r="M979" s="312"/>
      <c r="N979" s="312"/>
      <c r="O979" s="312"/>
      <c r="P979" s="318" t="str">
        <f t="shared" si="47"/>
        <v/>
      </c>
      <c r="Q979" s="205" t="str">
        <f t="shared" si="45"/>
        <v/>
      </c>
      <c r="R979" s="205"/>
      <c r="S979" s="319" t="str">
        <f t="shared" si="46"/>
        <v/>
      </c>
      <c r="U979" s="318"/>
      <c r="V979" s="794"/>
      <c r="W979" s="795"/>
      <c r="X979" s="482"/>
      <c r="Y979" s="482"/>
      <c r="Z979" s="482"/>
      <c r="AA979" s="319"/>
      <c r="AB979" s="220"/>
      <c r="AC979" s="318"/>
      <c r="AD979" s="319"/>
      <c r="AE979" s="220"/>
      <c r="AF979" s="320"/>
      <c r="AG979" s="205"/>
      <c r="AH979" s="205"/>
      <c r="AI979" s="205"/>
      <c r="AJ979" s="205"/>
      <c r="AK979" s="205"/>
      <c r="AL979" s="205"/>
      <c r="AM979" s="205"/>
      <c r="AN979" s="205"/>
      <c r="AO979" s="205"/>
      <c r="AP979" s="205"/>
      <c r="AQ979" s="205"/>
      <c r="AR979" s="205"/>
      <c r="AS979" s="205"/>
      <c r="AT979" s="205"/>
      <c r="AU979" s="205"/>
      <c r="AV979" s="205"/>
      <c r="AW979" s="205"/>
      <c r="AX979" s="205"/>
      <c r="AY979" s="205"/>
      <c r="AZ979" s="205"/>
      <c r="BA979" s="205"/>
      <c r="BB979" s="205"/>
      <c r="BC979" s="205"/>
      <c r="BD979" s="205"/>
      <c r="BE979" s="205"/>
      <c r="BF979" s="205"/>
      <c r="BG979" s="205"/>
      <c r="BH979" s="205"/>
      <c r="BI979" s="319"/>
    </row>
    <row r="980" spans="3:61" ht="15" customHeight="1">
      <c r="C980" s="325"/>
      <c r="D980" s="326"/>
      <c r="E980" s="311"/>
      <c r="F980" s="311"/>
      <c r="G980" s="311"/>
      <c r="H980" s="311"/>
      <c r="I980" s="311"/>
      <c r="J980" s="317"/>
      <c r="K980" s="312"/>
      <c r="L980" s="312"/>
      <c r="M980" s="312"/>
      <c r="N980" s="312"/>
      <c r="O980" s="312"/>
      <c r="P980" s="322" t="str">
        <f t="shared" si="47"/>
        <v/>
      </c>
      <c r="Q980" s="208" t="str">
        <f t="shared" si="45"/>
        <v/>
      </c>
      <c r="R980" s="208"/>
      <c r="S980" s="323" t="str">
        <f t="shared" si="46"/>
        <v/>
      </c>
      <c r="U980" s="322"/>
      <c r="V980" s="791"/>
      <c r="W980" s="792"/>
      <c r="X980" s="480"/>
      <c r="Y980" s="480"/>
      <c r="Z980" s="480"/>
      <c r="AA980" s="323"/>
      <c r="AB980" s="220"/>
      <c r="AC980" s="322"/>
      <c r="AD980" s="323"/>
      <c r="AE980" s="220"/>
      <c r="AF980" s="324"/>
      <c r="AG980" s="208"/>
      <c r="AH980" s="208"/>
      <c r="AI980" s="208"/>
      <c r="AJ980" s="208"/>
      <c r="AK980" s="208"/>
      <c r="AL980" s="208"/>
      <c r="AM980" s="208"/>
      <c r="AN980" s="208"/>
      <c r="AO980" s="208"/>
      <c r="AP980" s="208"/>
      <c r="AQ980" s="208"/>
      <c r="AR980" s="208"/>
      <c r="AS980" s="208"/>
      <c r="AT980" s="208"/>
      <c r="AU980" s="208"/>
      <c r="AV980" s="208"/>
      <c r="AW980" s="208"/>
      <c r="AX980" s="208"/>
      <c r="AY980" s="208"/>
      <c r="AZ980" s="208"/>
      <c r="BA980" s="208"/>
      <c r="BB980" s="208"/>
      <c r="BC980" s="208"/>
      <c r="BD980" s="208"/>
      <c r="BE980" s="208"/>
      <c r="BF980" s="208"/>
      <c r="BG980" s="208"/>
      <c r="BH980" s="208"/>
      <c r="BI980" s="323"/>
    </row>
    <row r="981" spans="3:61" ht="15" customHeight="1">
      <c r="C981" s="325"/>
      <c r="D981" s="326"/>
      <c r="E981" s="311"/>
      <c r="F981" s="311"/>
      <c r="G981" s="311"/>
      <c r="H981" s="311"/>
      <c r="I981" s="311"/>
      <c r="J981" s="317"/>
      <c r="K981" s="312"/>
      <c r="L981" s="312"/>
      <c r="M981" s="312"/>
      <c r="N981" s="312"/>
      <c r="O981" s="312"/>
      <c r="P981" s="318" t="str">
        <f t="shared" si="47"/>
        <v/>
      </c>
      <c r="Q981" s="205" t="str">
        <f t="shared" si="45"/>
        <v/>
      </c>
      <c r="R981" s="205"/>
      <c r="S981" s="319" t="str">
        <f t="shared" si="46"/>
        <v/>
      </c>
      <c r="U981" s="318"/>
      <c r="V981" s="794"/>
      <c r="W981" s="795"/>
      <c r="X981" s="482"/>
      <c r="Y981" s="482"/>
      <c r="Z981" s="482"/>
      <c r="AA981" s="319"/>
      <c r="AB981" s="220"/>
      <c r="AC981" s="318"/>
      <c r="AD981" s="319"/>
      <c r="AE981" s="220"/>
      <c r="AF981" s="320"/>
      <c r="AG981" s="205"/>
      <c r="AH981" s="205"/>
      <c r="AI981" s="205"/>
      <c r="AJ981" s="205"/>
      <c r="AK981" s="205"/>
      <c r="AL981" s="205"/>
      <c r="AM981" s="205"/>
      <c r="AN981" s="205"/>
      <c r="AO981" s="205"/>
      <c r="AP981" s="205"/>
      <c r="AQ981" s="205"/>
      <c r="AR981" s="205"/>
      <c r="AS981" s="205"/>
      <c r="AT981" s="205"/>
      <c r="AU981" s="205"/>
      <c r="AV981" s="205"/>
      <c r="AW981" s="205"/>
      <c r="AX981" s="205"/>
      <c r="AY981" s="205"/>
      <c r="AZ981" s="205"/>
      <c r="BA981" s="205"/>
      <c r="BB981" s="205"/>
      <c r="BC981" s="205"/>
      <c r="BD981" s="205"/>
      <c r="BE981" s="205"/>
      <c r="BF981" s="205"/>
      <c r="BG981" s="205"/>
      <c r="BH981" s="205"/>
      <c r="BI981" s="319"/>
    </row>
    <row r="982" spans="3:61" ht="15" customHeight="1">
      <c r="C982" s="325"/>
      <c r="D982" s="326"/>
      <c r="E982" s="311"/>
      <c r="F982" s="311"/>
      <c r="G982" s="311"/>
      <c r="H982" s="311"/>
      <c r="I982" s="311"/>
      <c r="J982" s="317"/>
      <c r="K982" s="312"/>
      <c r="L982" s="312"/>
      <c r="M982" s="312"/>
      <c r="N982" s="312"/>
      <c r="O982" s="312"/>
      <c r="P982" s="322" t="str">
        <f t="shared" si="47"/>
        <v/>
      </c>
      <c r="Q982" s="208" t="str">
        <f t="shared" si="45"/>
        <v/>
      </c>
      <c r="R982" s="208"/>
      <c r="S982" s="323" t="str">
        <f t="shared" si="46"/>
        <v/>
      </c>
      <c r="U982" s="322"/>
      <c r="V982" s="791"/>
      <c r="W982" s="792"/>
      <c r="X982" s="480"/>
      <c r="Y982" s="480"/>
      <c r="Z982" s="480"/>
      <c r="AA982" s="323"/>
      <c r="AB982" s="220"/>
      <c r="AC982" s="322"/>
      <c r="AD982" s="323"/>
      <c r="AE982" s="220"/>
      <c r="AF982" s="324"/>
      <c r="AG982" s="208"/>
      <c r="AH982" s="208"/>
      <c r="AI982" s="208"/>
      <c r="AJ982" s="208"/>
      <c r="AK982" s="208"/>
      <c r="AL982" s="208"/>
      <c r="AM982" s="208"/>
      <c r="AN982" s="208"/>
      <c r="AO982" s="208"/>
      <c r="AP982" s="208"/>
      <c r="AQ982" s="208"/>
      <c r="AR982" s="208"/>
      <c r="AS982" s="208"/>
      <c r="AT982" s="208"/>
      <c r="AU982" s="208"/>
      <c r="AV982" s="208"/>
      <c r="AW982" s="208"/>
      <c r="AX982" s="208"/>
      <c r="AY982" s="208"/>
      <c r="AZ982" s="208"/>
      <c r="BA982" s="208"/>
      <c r="BB982" s="208"/>
      <c r="BC982" s="208"/>
      <c r="BD982" s="208"/>
      <c r="BE982" s="208"/>
      <c r="BF982" s="208"/>
      <c r="BG982" s="208"/>
      <c r="BH982" s="208"/>
      <c r="BI982" s="323"/>
    </row>
    <row r="983" spans="3:61" ht="15" customHeight="1">
      <c r="C983" s="325"/>
      <c r="D983" s="326"/>
      <c r="E983" s="311"/>
      <c r="F983" s="311"/>
      <c r="G983" s="311"/>
      <c r="H983" s="311"/>
      <c r="I983" s="311"/>
      <c r="J983" s="317"/>
      <c r="K983" s="312"/>
      <c r="L983" s="312"/>
      <c r="M983" s="312"/>
      <c r="N983" s="312"/>
      <c r="O983" s="312"/>
      <c r="P983" s="318" t="str">
        <f t="shared" si="47"/>
        <v/>
      </c>
      <c r="Q983" s="205" t="str">
        <f t="shared" si="45"/>
        <v/>
      </c>
      <c r="R983" s="205"/>
      <c r="S983" s="319" t="str">
        <f t="shared" si="46"/>
        <v/>
      </c>
      <c r="U983" s="318"/>
      <c r="V983" s="794"/>
      <c r="W983" s="795"/>
      <c r="X983" s="482"/>
      <c r="Y983" s="482"/>
      <c r="Z983" s="482"/>
      <c r="AA983" s="319"/>
      <c r="AB983" s="220"/>
      <c r="AC983" s="318"/>
      <c r="AD983" s="319"/>
      <c r="AE983" s="220"/>
      <c r="AF983" s="320"/>
      <c r="AG983" s="205"/>
      <c r="AH983" s="205"/>
      <c r="AI983" s="205"/>
      <c r="AJ983" s="205"/>
      <c r="AK983" s="205"/>
      <c r="AL983" s="205"/>
      <c r="AM983" s="205"/>
      <c r="AN983" s="205"/>
      <c r="AO983" s="205"/>
      <c r="AP983" s="205"/>
      <c r="AQ983" s="205"/>
      <c r="AR983" s="205"/>
      <c r="AS983" s="205"/>
      <c r="AT983" s="205"/>
      <c r="AU983" s="205"/>
      <c r="AV983" s="205"/>
      <c r="AW983" s="205"/>
      <c r="AX983" s="205"/>
      <c r="AY983" s="205"/>
      <c r="AZ983" s="205"/>
      <c r="BA983" s="205"/>
      <c r="BB983" s="205"/>
      <c r="BC983" s="205"/>
      <c r="BD983" s="205"/>
      <c r="BE983" s="205"/>
      <c r="BF983" s="205"/>
      <c r="BG983" s="205"/>
      <c r="BH983" s="205"/>
      <c r="BI983" s="319"/>
    </row>
    <row r="984" spans="3:61" ht="15" customHeight="1">
      <c r="C984" s="325"/>
      <c r="D984" s="326"/>
      <c r="E984" s="311"/>
      <c r="F984" s="311"/>
      <c r="G984" s="311"/>
      <c r="H984" s="311"/>
      <c r="I984" s="311"/>
      <c r="J984" s="317"/>
      <c r="K984" s="312"/>
      <c r="L984" s="312"/>
      <c r="M984" s="312"/>
      <c r="N984" s="312"/>
      <c r="O984" s="312"/>
      <c r="P984" s="322" t="str">
        <f t="shared" si="47"/>
        <v/>
      </c>
      <c r="Q984" s="208" t="str">
        <f t="shared" si="45"/>
        <v/>
      </c>
      <c r="R984" s="208"/>
      <c r="S984" s="323" t="str">
        <f t="shared" si="46"/>
        <v/>
      </c>
      <c r="U984" s="322"/>
      <c r="V984" s="791"/>
      <c r="W984" s="792"/>
      <c r="X984" s="480"/>
      <c r="Y984" s="480"/>
      <c r="Z984" s="480"/>
      <c r="AA984" s="323"/>
      <c r="AB984" s="220"/>
      <c r="AC984" s="322"/>
      <c r="AD984" s="323"/>
      <c r="AE984" s="220"/>
      <c r="AF984" s="324"/>
      <c r="AG984" s="208"/>
      <c r="AH984" s="208"/>
      <c r="AI984" s="208"/>
      <c r="AJ984" s="208"/>
      <c r="AK984" s="208"/>
      <c r="AL984" s="208"/>
      <c r="AM984" s="208"/>
      <c r="AN984" s="208"/>
      <c r="AO984" s="208"/>
      <c r="AP984" s="208"/>
      <c r="AQ984" s="208"/>
      <c r="AR984" s="208"/>
      <c r="AS984" s="208"/>
      <c r="AT984" s="208"/>
      <c r="AU984" s="208"/>
      <c r="AV984" s="208"/>
      <c r="AW984" s="208"/>
      <c r="AX984" s="208"/>
      <c r="AY984" s="208"/>
      <c r="AZ984" s="208"/>
      <c r="BA984" s="208"/>
      <c r="BB984" s="208"/>
      <c r="BC984" s="208"/>
      <c r="BD984" s="208"/>
      <c r="BE984" s="208"/>
      <c r="BF984" s="208"/>
      <c r="BG984" s="208"/>
      <c r="BH984" s="208"/>
      <c r="BI984" s="323"/>
    </row>
    <row r="985" spans="3:61" ht="15" customHeight="1">
      <c r="C985" s="325"/>
      <c r="D985" s="326"/>
      <c r="E985" s="311"/>
      <c r="F985" s="311"/>
      <c r="G985" s="311"/>
      <c r="H985" s="311"/>
      <c r="I985" s="311"/>
      <c r="J985" s="317"/>
      <c r="K985" s="312"/>
      <c r="L985" s="312"/>
      <c r="M985" s="312"/>
      <c r="N985" s="312"/>
      <c r="O985" s="312"/>
      <c r="P985" s="318" t="str">
        <f t="shared" si="47"/>
        <v/>
      </c>
      <c r="Q985" s="205" t="str">
        <f t="shared" si="45"/>
        <v/>
      </c>
      <c r="R985" s="205"/>
      <c r="S985" s="319" t="str">
        <f t="shared" si="46"/>
        <v/>
      </c>
      <c r="U985" s="318"/>
      <c r="V985" s="794"/>
      <c r="W985" s="795"/>
      <c r="X985" s="482"/>
      <c r="Y985" s="482"/>
      <c r="Z985" s="482"/>
      <c r="AA985" s="319"/>
      <c r="AB985" s="220"/>
      <c r="AC985" s="318"/>
      <c r="AD985" s="319"/>
      <c r="AE985" s="220"/>
      <c r="AF985" s="320"/>
      <c r="AG985" s="205"/>
      <c r="AH985" s="205"/>
      <c r="AI985" s="205"/>
      <c r="AJ985" s="205"/>
      <c r="AK985" s="205"/>
      <c r="AL985" s="205"/>
      <c r="AM985" s="205"/>
      <c r="AN985" s="205"/>
      <c r="AO985" s="205"/>
      <c r="AP985" s="205"/>
      <c r="AQ985" s="205"/>
      <c r="AR985" s="205"/>
      <c r="AS985" s="205"/>
      <c r="AT985" s="205"/>
      <c r="AU985" s="205"/>
      <c r="AV985" s="205"/>
      <c r="AW985" s="205"/>
      <c r="AX985" s="205"/>
      <c r="AY985" s="205"/>
      <c r="AZ985" s="205"/>
      <c r="BA985" s="205"/>
      <c r="BB985" s="205"/>
      <c r="BC985" s="205"/>
      <c r="BD985" s="205"/>
      <c r="BE985" s="205"/>
      <c r="BF985" s="205"/>
      <c r="BG985" s="205"/>
      <c r="BH985" s="205"/>
      <c r="BI985" s="319"/>
    </row>
    <row r="986" spans="3:61" ht="15" customHeight="1">
      <c r="C986" s="325"/>
      <c r="D986" s="326"/>
      <c r="E986" s="311"/>
      <c r="F986" s="311"/>
      <c r="G986" s="311"/>
      <c r="H986" s="311"/>
      <c r="I986" s="311"/>
      <c r="J986" s="317"/>
      <c r="K986" s="312"/>
      <c r="L986" s="312"/>
      <c r="M986" s="312"/>
      <c r="N986" s="312"/>
      <c r="O986" s="312"/>
      <c r="P986" s="322" t="str">
        <f t="shared" si="47"/>
        <v/>
      </c>
      <c r="Q986" s="208" t="str">
        <f t="shared" si="45"/>
        <v/>
      </c>
      <c r="R986" s="208"/>
      <c r="S986" s="323" t="str">
        <f t="shared" si="46"/>
        <v/>
      </c>
      <c r="U986" s="322"/>
      <c r="V986" s="791"/>
      <c r="W986" s="792"/>
      <c r="X986" s="480"/>
      <c r="Y986" s="480"/>
      <c r="Z986" s="480"/>
      <c r="AA986" s="323"/>
      <c r="AB986" s="220"/>
      <c r="AC986" s="322"/>
      <c r="AD986" s="323"/>
      <c r="AE986" s="220"/>
      <c r="AF986" s="324"/>
      <c r="AG986" s="208"/>
      <c r="AH986" s="208"/>
      <c r="AI986" s="208"/>
      <c r="AJ986" s="208"/>
      <c r="AK986" s="208"/>
      <c r="AL986" s="208"/>
      <c r="AM986" s="208"/>
      <c r="AN986" s="208"/>
      <c r="AO986" s="208"/>
      <c r="AP986" s="208"/>
      <c r="AQ986" s="208"/>
      <c r="AR986" s="208"/>
      <c r="AS986" s="208"/>
      <c r="AT986" s="208"/>
      <c r="AU986" s="208"/>
      <c r="AV986" s="208"/>
      <c r="AW986" s="208"/>
      <c r="AX986" s="208"/>
      <c r="AY986" s="208"/>
      <c r="AZ986" s="208"/>
      <c r="BA986" s="208"/>
      <c r="BB986" s="208"/>
      <c r="BC986" s="208"/>
      <c r="BD986" s="208"/>
      <c r="BE986" s="208"/>
      <c r="BF986" s="208"/>
      <c r="BG986" s="208"/>
      <c r="BH986" s="208"/>
      <c r="BI986" s="323"/>
    </row>
    <row r="987" spans="3:61" ht="15" customHeight="1">
      <c r="C987" s="325"/>
      <c r="D987" s="326"/>
      <c r="E987" s="311"/>
      <c r="F987" s="311"/>
      <c r="G987" s="311"/>
      <c r="H987" s="311"/>
      <c r="I987" s="311"/>
      <c r="J987" s="317"/>
      <c r="K987" s="312"/>
      <c r="L987" s="312"/>
      <c r="M987" s="312"/>
      <c r="N987" s="312"/>
      <c r="O987" s="312"/>
      <c r="P987" s="318" t="str">
        <f t="shared" si="47"/>
        <v/>
      </c>
      <c r="Q987" s="205" t="str">
        <f t="shared" si="45"/>
        <v/>
      </c>
      <c r="R987" s="205"/>
      <c r="S987" s="319" t="str">
        <f t="shared" si="46"/>
        <v/>
      </c>
      <c r="U987" s="318"/>
      <c r="V987" s="794"/>
      <c r="W987" s="795"/>
      <c r="X987" s="482"/>
      <c r="Y987" s="482"/>
      <c r="Z987" s="482"/>
      <c r="AA987" s="319"/>
      <c r="AB987" s="220"/>
      <c r="AC987" s="318"/>
      <c r="AD987" s="319"/>
      <c r="AE987" s="220"/>
      <c r="AF987" s="320"/>
      <c r="AG987" s="205"/>
      <c r="AH987" s="205"/>
      <c r="AI987" s="205"/>
      <c r="AJ987" s="205"/>
      <c r="AK987" s="205"/>
      <c r="AL987" s="205"/>
      <c r="AM987" s="205"/>
      <c r="AN987" s="205"/>
      <c r="AO987" s="205"/>
      <c r="AP987" s="205"/>
      <c r="AQ987" s="205"/>
      <c r="AR987" s="205"/>
      <c r="AS987" s="205"/>
      <c r="AT987" s="205"/>
      <c r="AU987" s="205"/>
      <c r="AV987" s="205"/>
      <c r="AW987" s="205"/>
      <c r="AX987" s="205"/>
      <c r="AY987" s="205"/>
      <c r="AZ987" s="205"/>
      <c r="BA987" s="205"/>
      <c r="BB987" s="205"/>
      <c r="BC987" s="205"/>
      <c r="BD987" s="205"/>
      <c r="BE987" s="205"/>
      <c r="BF987" s="205"/>
      <c r="BG987" s="205"/>
      <c r="BH987" s="205"/>
      <c r="BI987" s="319"/>
    </row>
    <row r="988" spans="3:61" ht="15" customHeight="1">
      <c r="C988" s="325"/>
      <c r="D988" s="326"/>
      <c r="E988" s="311"/>
      <c r="F988" s="311"/>
      <c r="G988" s="311"/>
      <c r="H988" s="311"/>
      <c r="I988" s="311"/>
      <c r="J988" s="317"/>
      <c r="K988" s="312"/>
      <c r="L988" s="312"/>
      <c r="M988" s="312"/>
      <c r="N988" s="312"/>
      <c r="O988" s="312"/>
      <c r="P988" s="322" t="str">
        <f t="shared" si="47"/>
        <v/>
      </c>
      <c r="Q988" s="208" t="str">
        <f t="shared" si="45"/>
        <v/>
      </c>
      <c r="R988" s="208"/>
      <c r="S988" s="323" t="str">
        <f t="shared" si="46"/>
        <v/>
      </c>
      <c r="U988" s="322"/>
      <c r="V988" s="791"/>
      <c r="W988" s="792"/>
      <c r="X988" s="480"/>
      <c r="Y988" s="480"/>
      <c r="Z988" s="480"/>
      <c r="AA988" s="323"/>
      <c r="AB988" s="220"/>
      <c r="AC988" s="322"/>
      <c r="AD988" s="323"/>
      <c r="AE988" s="220"/>
      <c r="AF988" s="324"/>
      <c r="AG988" s="208"/>
      <c r="AH988" s="208"/>
      <c r="AI988" s="208"/>
      <c r="AJ988" s="208"/>
      <c r="AK988" s="208"/>
      <c r="AL988" s="208"/>
      <c r="AM988" s="208"/>
      <c r="AN988" s="208"/>
      <c r="AO988" s="208"/>
      <c r="AP988" s="208"/>
      <c r="AQ988" s="208"/>
      <c r="AR988" s="208"/>
      <c r="AS988" s="208"/>
      <c r="AT988" s="208"/>
      <c r="AU988" s="208"/>
      <c r="AV988" s="208"/>
      <c r="AW988" s="208"/>
      <c r="AX988" s="208"/>
      <c r="AY988" s="208"/>
      <c r="AZ988" s="208"/>
      <c r="BA988" s="208"/>
      <c r="BB988" s="208"/>
      <c r="BC988" s="208"/>
      <c r="BD988" s="208"/>
      <c r="BE988" s="208"/>
      <c r="BF988" s="208"/>
      <c r="BG988" s="208"/>
      <c r="BH988" s="208"/>
      <c r="BI988" s="323"/>
    </row>
    <row r="989" spans="3:61" ht="15" customHeight="1">
      <c r="C989" s="325"/>
      <c r="D989" s="326"/>
      <c r="E989" s="311"/>
      <c r="F989" s="311"/>
      <c r="G989" s="311"/>
      <c r="H989" s="311"/>
      <c r="I989" s="311"/>
      <c r="J989" s="317"/>
      <c r="K989" s="312"/>
      <c r="L989" s="312"/>
      <c r="M989" s="312"/>
      <c r="N989" s="312"/>
      <c r="O989" s="312"/>
      <c r="P989" s="318" t="str">
        <f t="shared" si="47"/>
        <v/>
      </c>
      <c r="Q989" s="205" t="str">
        <f t="shared" si="45"/>
        <v/>
      </c>
      <c r="R989" s="205"/>
      <c r="S989" s="319" t="str">
        <f t="shared" si="46"/>
        <v/>
      </c>
      <c r="U989" s="318"/>
      <c r="V989" s="794"/>
      <c r="W989" s="795"/>
      <c r="X989" s="482"/>
      <c r="Y989" s="482"/>
      <c r="Z989" s="482"/>
      <c r="AA989" s="319"/>
      <c r="AB989" s="220"/>
      <c r="AC989" s="318"/>
      <c r="AD989" s="319"/>
      <c r="AE989" s="220"/>
      <c r="AF989" s="320"/>
      <c r="AG989" s="205"/>
      <c r="AH989" s="205"/>
      <c r="AI989" s="205"/>
      <c r="AJ989" s="205"/>
      <c r="AK989" s="205"/>
      <c r="AL989" s="205"/>
      <c r="AM989" s="205"/>
      <c r="AN989" s="205"/>
      <c r="AO989" s="205"/>
      <c r="AP989" s="205"/>
      <c r="AQ989" s="205"/>
      <c r="AR989" s="205"/>
      <c r="AS989" s="205"/>
      <c r="AT989" s="205"/>
      <c r="AU989" s="205"/>
      <c r="AV989" s="205"/>
      <c r="AW989" s="205"/>
      <c r="AX989" s="205"/>
      <c r="AY989" s="205"/>
      <c r="AZ989" s="205"/>
      <c r="BA989" s="205"/>
      <c r="BB989" s="205"/>
      <c r="BC989" s="205"/>
      <c r="BD989" s="205"/>
      <c r="BE989" s="205"/>
      <c r="BF989" s="205"/>
      <c r="BG989" s="205"/>
      <c r="BH989" s="205"/>
      <c r="BI989" s="319"/>
    </row>
    <row r="990" spans="3:61" ht="15" customHeight="1">
      <c r="C990" s="325"/>
      <c r="D990" s="326"/>
      <c r="E990" s="311"/>
      <c r="F990" s="311"/>
      <c r="G990" s="311"/>
      <c r="H990" s="311"/>
      <c r="I990" s="311"/>
      <c r="J990" s="317"/>
      <c r="K990" s="312"/>
      <c r="L990" s="312"/>
      <c r="M990" s="312"/>
      <c r="N990" s="312"/>
      <c r="O990" s="312"/>
      <c r="P990" s="322" t="str">
        <f t="shared" si="47"/>
        <v/>
      </c>
      <c r="Q990" s="208" t="str">
        <f t="shared" si="45"/>
        <v/>
      </c>
      <c r="R990" s="208"/>
      <c r="S990" s="323" t="str">
        <f t="shared" si="46"/>
        <v/>
      </c>
      <c r="U990" s="322"/>
      <c r="V990" s="791"/>
      <c r="W990" s="792"/>
      <c r="X990" s="480"/>
      <c r="Y990" s="480"/>
      <c r="Z990" s="480"/>
      <c r="AA990" s="323"/>
      <c r="AB990" s="220"/>
      <c r="AC990" s="322"/>
      <c r="AD990" s="323"/>
      <c r="AE990" s="220"/>
      <c r="AF990" s="324"/>
      <c r="AG990" s="208"/>
      <c r="AH990" s="208"/>
      <c r="AI990" s="208"/>
      <c r="AJ990" s="208"/>
      <c r="AK990" s="208"/>
      <c r="AL990" s="208"/>
      <c r="AM990" s="208"/>
      <c r="AN990" s="208"/>
      <c r="AO990" s="208"/>
      <c r="AP990" s="208"/>
      <c r="AQ990" s="208"/>
      <c r="AR990" s="208"/>
      <c r="AS990" s="208"/>
      <c r="AT990" s="208"/>
      <c r="AU990" s="208"/>
      <c r="AV990" s="208"/>
      <c r="AW990" s="208"/>
      <c r="AX990" s="208"/>
      <c r="AY990" s="208"/>
      <c r="AZ990" s="208"/>
      <c r="BA990" s="208"/>
      <c r="BB990" s="208"/>
      <c r="BC990" s="208"/>
      <c r="BD990" s="208"/>
      <c r="BE990" s="208"/>
      <c r="BF990" s="208"/>
      <c r="BG990" s="208"/>
      <c r="BH990" s="208"/>
      <c r="BI990" s="323"/>
    </row>
    <row r="991" spans="3:61" ht="15" customHeight="1">
      <c r="C991" s="325"/>
      <c r="D991" s="326"/>
      <c r="E991" s="311"/>
      <c r="F991" s="311"/>
      <c r="G991" s="311"/>
      <c r="H991" s="311"/>
      <c r="I991" s="311"/>
      <c r="J991" s="317"/>
      <c r="K991" s="312"/>
      <c r="L991" s="312"/>
      <c r="M991" s="312"/>
      <c r="N991" s="312"/>
      <c r="O991" s="312"/>
      <c r="P991" s="318" t="str">
        <f t="shared" si="47"/>
        <v/>
      </c>
      <c r="Q991" s="205" t="str">
        <f t="shared" si="45"/>
        <v/>
      </c>
      <c r="R991" s="205"/>
      <c r="S991" s="319" t="str">
        <f t="shared" si="46"/>
        <v/>
      </c>
      <c r="U991" s="318"/>
      <c r="V991" s="794"/>
      <c r="W991" s="795"/>
      <c r="X991" s="482"/>
      <c r="Y991" s="482"/>
      <c r="Z991" s="482"/>
      <c r="AA991" s="319"/>
      <c r="AB991" s="220"/>
      <c r="AC991" s="318"/>
      <c r="AD991" s="319"/>
      <c r="AE991" s="220"/>
      <c r="AF991" s="320"/>
      <c r="AG991" s="205"/>
      <c r="AH991" s="205"/>
      <c r="AI991" s="205"/>
      <c r="AJ991" s="205"/>
      <c r="AK991" s="205"/>
      <c r="AL991" s="205"/>
      <c r="AM991" s="205"/>
      <c r="AN991" s="205"/>
      <c r="AO991" s="205"/>
      <c r="AP991" s="205"/>
      <c r="AQ991" s="205"/>
      <c r="AR991" s="205"/>
      <c r="AS991" s="205"/>
      <c r="AT991" s="205"/>
      <c r="AU991" s="205"/>
      <c r="AV991" s="205"/>
      <c r="AW991" s="205"/>
      <c r="AX991" s="205"/>
      <c r="AY991" s="205"/>
      <c r="AZ991" s="205"/>
      <c r="BA991" s="205"/>
      <c r="BB991" s="205"/>
      <c r="BC991" s="205"/>
      <c r="BD991" s="205"/>
      <c r="BE991" s="205"/>
      <c r="BF991" s="205"/>
      <c r="BG991" s="205"/>
      <c r="BH991" s="205"/>
      <c r="BI991" s="319"/>
    </row>
    <row r="992" spans="3:61" ht="15" customHeight="1">
      <c r="C992" s="325"/>
      <c r="D992" s="326"/>
      <c r="E992" s="311"/>
      <c r="F992" s="311"/>
      <c r="G992" s="311"/>
      <c r="H992" s="311"/>
      <c r="I992" s="311"/>
      <c r="J992" s="317"/>
      <c r="K992" s="312"/>
      <c r="L992" s="312"/>
      <c r="M992" s="312"/>
      <c r="N992" s="312"/>
      <c r="O992" s="312"/>
      <c r="P992" s="322" t="str">
        <f t="shared" si="47"/>
        <v/>
      </c>
      <c r="Q992" s="208" t="str">
        <f t="shared" si="45"/>
        <v/>
      </c>
      <c r="R992" s="208"/>
      <c r="S992" s="323" t="str">
        <f t="shared" si="46"/>
        <v/>
      </c>
      <c r="U992" s="322"/>
      <c r="V992" s="791"/>
      <c r="W992" s="792"/>
      <c r="X992" s="480"/>
      <c r="Y992" s="480"/>
      <c r="Z992" s="480"/>
      <c r="AA992" s="323"/>
      <c r="AB992" s="220"/>
      <c r="AC992" s="322"/>
      <c r="AD992" s="323"/>
      <c r="AE992" s="220"/>
      <c r="AF992" s="324"/>
      <c r="AG992" s="208"/>
      <c r="AH992" s="208"/>
      <c r="AI992" s="208"/>
      <c r="AJ992" s="208"/>
      <c r="AK992" s="208"/>
      <c r="AL992" s="208"/>
      <c r="AM992" s="208"/>
      <c r="AN992" s="208"/>
      <c r="AO992" s="208"/>
      <c r="AP992" s="208"/>
      <c r="AQ992" s="208"/>
      <c r="AR992" s="208"/>
      <c r="AS992" s="208"/>
      <c r="AT992" s="208"/>
      <c r="AU992" s="208"/>
      <c r="AV992" s="208"/>
      <c r="AW992" s="208"/>
      <c r="AX992" s="208"/>
      <c r="AY992" s="208"/>
      <c r="AZ992" s="208"/>
      <c r="BA992" s="208"/>
      <c r="BB992" s="208"/>
      <c r="BC992" s="208"/>
      <c r="BD992" s="208"/>
      <c r="BE992" s="208"/>
      <c r="BF992" s="208"/>
      <c r="BG992" s="208"/>
      <c r="BH992" s="208"/>
      <c r="BI992" s="323"/>
    </row>
    <row r="993" spans="3:61" ht="15" customHeight="1">
      <c r="C993" s="325"/>
      <c r="D993" s="326"/>
      <c r="E993" s="311"/>
      <c r="F993" s="311"/>
      <c r="G993" s="311"/>
      <c r="H993" s="311"/>
      <c r="I993" s="311"/>
      <c r="J993" s="317"/>
      <c r="K993" s="312"/>
      <c r="L993" s="312"/>
      <c r="M993" s="312"/>
      <c r="N993" s="312"/>
      <c r="O993" s="312"/>
      <c r="P993" s="318" t="str">
        <f t="shared" si="47"/>
        <v/>
      </c>
      <c r="Q993" s="205" t="str">
        <f t="shared" si="45"/>
        <v/>
      </c>
      <c r="R993" s="205"/>
      <c r="S993" s="319" t="str">
        <f t="shared" si="46"/>
        <v/>
      </c>
      <c r="U993" s="318"/>
      <c r="V993" s="794"/>
      <c r="W993" s="795"/>
      <c r="X993" s="482"/>
      <c r="Y993" s="482"/>
      <c r="Z993" s="482"/>
      <c r="AA993" s="319"/>
      <c r="AB993" s="220"/>
      <c r="AC993" s="318"/>
      <c r="AD993" s="319"/>
      <c r="AE993" s="220"/>
      <c r="AF993" s="320"/>
      <c r="AG993" s="205"/>
      <c r="AH993" s="205"/>
      <c r="AI993" s="205"/>
      <c r="AJ993" s="205"/>
      <c r="AK993" s="205"/>
      <c r="AL993" s="205"/>
      <c r="AM993" s="205"/>
      <c r="AN993" s="205"/>
      <c r="AO993" s="205"/>
      <c r="AP993" s="205"/>
      <c r="AQ993" s="205"/>
      <c r="AR993" s="205"/>
      <c r="AS993" s="205"/>
      <c r="AT993" s="205"/>
      <c r="AU993" s="205"/>
      <c r="AV993" s="205"/>
      <c r="AW993" s="205"/>
      <c r="AX993" s="205"/>
      <c r="AY993" s="205"/>
      <c r="AZ993" s="205"/>
      <c r="BA993" s="205"/>
      <c r="BB993" s="205"/>
      <c r="BC993" s="205"/>
      <c r="BD993" s="205"/>
      <c r="BE993" s="205"/>
      <c r="BF993" s="205"/>
      <c r="BG993" s="205"/>
      <c r="BH993" s="205"/>
      <c r="BI993" s="319"/>
    </row>
    <row r="994" spans="3:61" ht="15" customHeight="1">
      <c r="C994" s="325"/>
      <c r="D994" s="326"/>
      <c r="E994" s="311"/>
      <c r="F994" s="311"/>
      <c r="G994" s="311"/>
      <c r="H994" s="311"/>
      <c r="I994" s="311"/>
      <c r="J994" s="317"/>
      <c r="K994" s="312"/>
      <c r="L994" s="312"/>
      <c r="M994" s="312"/>
      <c r="N994" s="312"/>
      <c r="O994" s="312"/>
      <c r="P994" s="322" t="str">
        <f t="shared" si="47"/>
        <v/>
      </c>
      <c r="Q994" s="208" t="str">
        <f t="shared" si="45"/>
        <v/>
      </c>
      <c r="R994" s="208"/>
      <c r="S994" s="323" t="str">
        <f t="shared" si="46"/>
        <v/>
      </c>
      <c r="U994" s="322"/>
      <c r="V994" s="791"/>
      <c r="W994" s="792"/>
      <c r="X994" s="480"/>
      <c r="Y994" s="480"/>
      <c r="Z994" s="480"/>
      <c r="AA994" s="323"/>
      <c r="AB994" s="220"/>
      <c r="AC994" s="322"/>
      <c r="AD994" s="323"/>
      <c r="AE994" s="220"/>
      <c r="AF994" s="324"/>
      <c r="AG994" s="208"/>
      <c r="AH994" s="208"/>
      <c r="AI994" s="208"/>
      <c r="AJ994" s="208"/>
      <c r="AK994" s="208"/>
      <c r="AL994" s="208"/>
      <c r="AM994" s="208"/>
      <c r="AN994" s="208"/>
      <c r="AO994" s="208"/>
      <c r="AP994" s="208"/>
      <c r="AQ994" s="208"/>
      <c r="AR994" s="208"/>
      <c r="AS994" s="208"/>
      <c r="AT994" s="208"/>
      <c r="AU994" s="208"/>
      <c r="AV994" s="208"/>
      <c r="AW994" s="208"/>
      <c r="AX994" s="208"/>
      <c r="AY994" s="208"/>
      <c r="AZ994" s="208"/>
      <c r="BA994" s="208"/>
      <c r="BB994" s="208"/>
      <c r="BC994" s="208"/>
      <c r="BD994" s="208"/>
      <c r="BE994" s="208"/>
      <c r="BF994" s="208"/>
      <c r="BG994" s="208"/>
      <c r="BH994" s="208"/>
      <c r="BI994" s="323"/>
    </row>
    <row r="995" spans="3:61" ht="15" customHeight="1">
      <c r="C995" s="325"/>
      <c r="D995" s="326"/>
      <c r="E995" s="311"/>
      <c r="F995" s="311"/>
      <c r="G995" s="311"/>
      <c r="H995" s="311"/>
      <c r="I995" s="311"/>
      <c r="J995" s="317"/>
      <c r="K995" s="312"/>
      <c r="L995" s="312"/>
      <c r="M995" s="312"/>
      <c r="N995" s="312"/>
      <c r="O995" s="312"/>
      <c r="P995" s="318" t="str">
        <f t="shared" si="47"/>
        <v/>
      </c>
      <c r="Q995" s="205" t="str">
        <f t="shared" si="45"/>
        <v/>
      </c>
      <c r="R995" s="205"/>
      <c r="S995" s="319" t="str">
        <f t="shared" si="46"/>
        <v/>
      </c>
      <c r="U995" s="318"/>
      <c r="V995" s="794"/>
      <c r="W995" s="795"/>
      <c r="X995" s="482"/>
      <c r="Y995" s="482"/>
      <c r="Z995" s="482"/>
      <c r="AA995" s="319"/>
      <c r="AB995" s="220"/>
      <c r="AC995" s="318"/>
      <c r="AD995" s="319"/>
      <c r="AE995" s="220"/>
      <c r="AF995" s="320"/>
      <c r="AG995" s="205"/>
      <c r="AH995" s="205"/>
      <c r="AI995" s="205"/>
      <c r="AJ995" s="205"/>
      <c r="AK995" s="205"/>
      <c r="AL995" s="205"/>
      <c r="AM995" s="205"/>
      <c r="AN995" s="205"/>
      <c r="AO995" s="205"/>
      <c r="AP995" s="205"/>
      <c r="AQ995" s="205"/>
      <c r="AR995" s="205"/>
      <c r="AS995" s="205"/>
      <c r="AT995" s="205"/>
      <c r="AU995" s="205"/>
      <c r="AV995" s="205"/>
      <c r="AW995" s="205"/>
      <c r="AX995" s="205"/>
      <c r="AY995" s="205"/>
      <c r="AZ995" s="205"/>
      <c r="BA995" s="205"/>
      <c r="BB995" s="205"/>
      <c r="BC995" s="205"/>
      <c r="BD995" s="205"/>
      <c r="BE995" s="205"/>
      <c r="BF995" s="205"/>
      <c r="BG995" s="205"/>
      <c r="BH995" s="205"/>
      <c r="BI995" s="319"/>
    </row>
    <row r="996" spans="3:61" ht="15" customHeight="1">
      <c r="C996" s="325"/>
      <c r="D996" s="326"/>
      <c r="E996" s="311"/>
      <c r="F996" s="311"/>
      <c r="G996" s="311"/>
      <c r="H996" s="311"/>
      <c r="I996" s="311"/>
      <c r="J996" s="317"/>
      <c r="K996" s="312"/>
      <c r="L996" s="312"/>
      <c r="M996" s="312"/>
      <c r="N996" s="312"/>
      <c r="O996" s="312"/>
      <c r="P996" s="322" t="str">
        <f t="shared" si="47"/>
        <v/>
      </c>
      <c r="Q996" s="208" t="str">
        <f t="shared" si="45"/>
        <v/>
      </c>
      <c r="R996" s="208"/>
      <c r="S996" s="323" t="str">
        <f t="shared" si="46"/>
        <v/>
      </c>
      <c r="U996" s="322"/>
      <c r="V996" s="791"/>
      <c r="W996" s="792"/>
      <c r="X996" s="480"/>
      <c r="Y996" s="480"/>
      <c r="Z996" s="480"/>
      <c r="AA996" s="323"/>
      <c r="AB996" s="220"/>
      <c r="AC996" s="322"/>
      <c r="AD996" s="323"/>
      <c r="AE996" s="220"/>
      <c r="AF996" s="324"/>
      <c r="AG996" s="208"/>
      <c r="AH996" s="208"/>
      <c r="AI996" s="208"/>
      <c r="AJ996" s="208"/>
      <c r="AK996" s="208"/>
      <c r="AL996" s="208"/>
      <c r="AM996" s="208"/>
      <c r="AN996" s="208"/>
      <c r="AO996" s="208"/>
      <c r="AP996" s="208"/>
      <c r="AQ996" s="208"/>
      <c r="AR996" s="208"/>
      <c r="AS996" s="208"/>
      <c r="AT996" s="208"/>
      <c r="AU996" s="208"/>
      <c r="AV996" s="208"/>
      <c r="AW996" s="208"/>
      <c r="AX996" s="208"/>
      <c r="AY996" s="208"/>
      <c r="AZ996" s="208"/>
      <c r="BA996" s="208"/>
      <c r="BB996" s="208"/>
      <c r="BC996" s="208"/>
      <c r="BD996" s="208"/>
      <c r="BE996" s="208"/>
      <c r="BF996" s="208"/>
      <c r="BG996" s="208"/>
      <c r="BH996" s="208"/>
      <c r="BI996" s="323"/>
    </row>
    <row r="997" spans="3:61" ht="15" customHeight="1">
      <c r="C997" s="325"/>
      <c r="D997" s="326"/>
      <c r="E997" s="311"/>
      <c r="F997" s="311"/>
      <c r="G997" s="311"/>
      <c r="H997" s="311"/>
      <c r="I997" s="311"/>
      <c r="J997" s="317"/>
      <c r="K997" s="312"/>
      <c r="L997" s="312"/>
      <c r="M997" s="312"/>
      <c r="N997" s="312"/>
      <c r="O997" s="312"/>
      <c r="P997" s="318" t="str">
        <f t="shared" si="47"/>
        <v/>
      </c>
      <c r="Q997" s="205" t="str">
        <f t="shared" si="45"/>
        <v/>
      </c>
      <c r="R997" s="205"/>
      <c r="S997" s="319" t="str">
        <f t="shared" si="46"/>
        <v/>
      </c>
      <c r="U997" s="318"/>
      <c r="V997" s="794"/>
      <c r="W997" s="795"/>
      <c r="X997" s="482"/>
      <c r="Y997" s="482"/>
      <c r="Z997" s="482"/>
      <c r="AA997" s="319"/>
      <c r="AB997" s="220"/>
      <c r="AC997" s="318"/>
      <c r="AD997" s="319"/>
      <c r="AE997" s="220"/>
      <c r="AF997" s="320"/>
      <c r="AG997" s="205"/>
      <c r="AH997" s="205"/>
      <c r="AI997" s="205"/>
      <c r="AJ997" s="205"/>
      <c r="AK997" s="205"/>
      <c r="AL997" s="205"/>
      <c r="AM997" s="205"/>
      <c r="AN997" s="205"/>
      <c r="AO997" s="205"/>
      <c r="AP997" s="205"/>
      <c r="AQ997" s="205"/>
      <c r="AR997" s="205"/>
      <c r="AS997" s="205"/>
      <c r="AT997" s="205"/>
      <c r="AU997" s="205"/>
      <c r="AV997" s="205"/>
      <c r="AW997" s="205"/>
      <c r="AX997" s="205"/>
      <c r="AY997" s="205"/>
      <c r="AZ997" s="205"/>
      <c r="BA997" s="205"/>
      <c r="BB997" s="205"/>
      <c r="BC997" s="205"/>
      <c r="BD997" s="205"/>
      <c r="BE997" s="205"/>
      <c r="BF997" s="205"/>
      <c r="BG997" s="205"/>
      <c r="BH997" s="205"/>
      <c r="BI997" s="319"/>
    </row>
    <row r="998" spans="3:61" ht="15" customHeight="1">
      <c r="C998" s="325"/>
      <c r="D998" s="326"/>
      <c r="E998" s="311"/>
      <c r="F998" s="311"/>
      <c r="G998" s="311"/>
      <c r="H998" s="311"/>
      <c r="I998" s="311"/>
      <c r="J998" s="317"/>
      <c r="K998" s="312"/>
      <c r="L998" s="312"/>
      <c r="M998" s="312"/>
      <c r="N998" s="312"/>
      <c r="O998" s="312"/>
      <c r="P998" s="322" t="str">
        <f t="shared" si="47"/>
        <v/>
      </c>
      <c r="Q998" s="208" t="str">
        <f t="shared" si="45"/>
        <v/>
      </c>
      <c r="R998" s="208"/>
      <c r="S998" s="323" t="str">
        <f t="shared" si="46"/>
        <v/>
      </c>
      <c r="U998" s="322"/>
      <c r="V998" s="791"/>
      <c r="W998" s="792"/>
      <c r="X998" s="480"/>
      <c r="Y998" s="480"/>
      <c r="Z998" s="480"/>
      <c r="AA998" s="323"/>
      <c r="AB998" s="220"/>
      <c r="AC998" s="322"/>
      <c r="AD998" s="323"/>
      <c r="AE998" s="220"/>
      <c r="AF998" s="324"/>
      <c r="AG998" s="208"/>
      <c r="AH998" s="208"/>
      <c r="AI998" s="208"/>
      <c r="AJ998" s="208"/>
      <c r="AK998" s="208"/>
      <c r="AL998" s="208"/>
      <c r="AM998" s="208"/>
      <c r="AN998" s="208"/>
      <c r="AO998" s="208"/>
      <c r="AP998" s="208"/>
      <c r="AQ998" s="208"/>
      <c r="AR998" s="208"/>
      <c r="AS998" s="208"/>
      <c r="AT998" s="208"/>
      <c r="AU998" s="208"/>
      <c r="AV998" s="208"/>
      <c r="AW998" s="208"/>
      <c r="AX998" s="208"/>
      <c r="AY998" s="208"/>
      <c r="AZ998" s="208"/>
      <c r="BA998" s="208"/>
      <c r="BB998" s="208"/>
      <c r="BC998" s="208"/>
      <c r="BD998" s="208"/>
      <c r="BE998" s="208"/>
      <c r="BF998" s="208"/>
      <c r="BG998" s="208"/>
      <c r="BH998" s="208"/>
      <c r="BI998" s="323"/>
    </row>
    <row r="999" spans="3:61" ht="15" customHeight="1">
      <c r="C999" s="325"/>
      <c r="D999" s="326"/>
      <c r="E999" s="311"/>
      <c r="F999" s="311"/>
      <c r="G999" s="311"/>
      <c r="H999" s="311"/>
      <c r="I999" s="311"/>
      <c r="J999" s="317"/>
      <c r="K999" s="312"/>
      <c r="L999" s="312"/>
      <c r="M999" s="312"/>
      <c r="N999" s="312"/>
      <c r="O999" s="312"/>
      <c r="P999" s="318" t="str">
        <f t="shared" si="47"/>
        <v/>
      </c>
      <c r="Q999" s="205" t="str">
        <f t="shared" si="45"/>
        <v/>
      </c>
      <c r="R999" s="205"/>
      <c r="S999" s="319" t="str">
        <f t="shared" si="46"/>
        <v/>
      </c>
      <c r="U999" s="318"/>
      <c r="V999" s="794"/>
      <c r="W999" s="795"/>
      <c r="X999" s="482"/>
      <c r="Y999" s="482"/>
      <c r="Z999" s="482"/>
      <c r="AA999" s="319"/>
      <c r="AB999" s="220"/>
      <c r="AC999" s="318"/>
      <c r="AD999" s="319"/>
      <c r="AE999" s="220"/>
      <c r="AF999" s="320"/>
      <c r="AG999" s="205"/>
      <c r="AH999" s="205"/>
      <c r="AI999" s="205"/>
      <c r="AJ999" s="205"/>
      <c r="AK999" s="205"/>
      <c r="AL999" s="205"/>
      <c r="AM999" s="205"/>
      <c r="AN999" s="205"/>
      <c r="AO999" s="205"/>
      <c r="AP999" s="205"/>
      <c r="AQ999" s="205"/>
      <c r="AR999" s="205"/>
      <c r="AS999" s="205"/>
      <c r="AT999" s="205"/>
      <c r="AU999" s="205"/>
      <c r="AV999" s="205"/>
      <c r="AW999" s="205"/>
      <c r="AX999" s="205"/>
      <c r="AY999" s="205"/>
      <c r="AZ999" s="205"/>
      <c r="BA999" s="205"/>
      <c r="BB999" s="205"/>
      <c r="BC999" s="205"/>
      <c r="BD999" s="205"/>
      <c r="BE999" s="205"/>
      <c r="BF999" s="205"/>
      <c r="BG999" s="205"/>
      <c r="BH999" s="205"/>
      <c r="BI999" s="319"/>
    </row>
    <row r="1000" spans="3:61" ht="15" customHeight="1">
      <c r="C1000" s="325"/>
      <c r="D1000" s="326"/>
      <c r="E1000" s="311"/>
      <c r="F1000" s="311"/>
      <c r="G1000" s="311"/>
      <c r="H1000" s="311"/>
      <c r="I1000" s="311"/>
      <c r="J1000" s="317"/>
      <c r="K1000" s="312"/>
      <c r="L1000" s="312"/>
      <c r="M1000" s="312"/>
      <c r="N1000" s="312"/>
      <c r="O1000" s="312"/>
      <c r="P1000" s="322" t="str">
        <f t="shared" si="47"/>
        <v/>
      </c>
      <c r="Q1000" s="208" t="str">
        <f t="shared" si="45"/>
        <v/>
      </c>
      <c r="R1000" s="208"/>
      <c r="S1000" s="323" t="str">
        <f t="shared" si="46"/>
        <v/>
      </c>
      <c r="U1000" s="322"/>
      <c r="V1000" s="791"/>
      <c r="W1000" s="792"/>
      <c r="X1000" s="480"/>
      <c r="Y1000" s="480"/>
      <c r="Z1000" s="480"/>
      <c r="AA1000" s="323"/>
      <c r="AB1000" s="220"/>
      <c r="AC1000" s="322"/>
      <c r="AD1000" s="323"/>
      <c r="AE1000" s="220"/>
      <c r="AF1000" s="324"/>
      <c r="AG1000" s="208"/>
      <c r="AH1000" s="208"/>
      <c r="AI1000" s="208"/>
      <c r="AJ1000" s="208"/>
      <c r="AK1000" s="208"/>
      <c r="AL1000" s="208"/>
      <c r="AM1000" s="208"/>
      <c r="AN1000" s="208"/>
      <c r="AO1000" s="208"/>
      <c r="AP1000" s="208"/>
      <c r="AQ1000" s="208"/>
      <c r="AR1000" s="208"/>
      <c r="AS1000" s="208"/>
      <c r="AT1000" s="208"/>
      <c r="AU1000" s="208"/>
      <c r="AV1000" s="208"/>
      <c r="AW1000" s="208"/>
      <c r="AX1000" s="208"/>
      <c r="AY1000" s="208"/>
      <c r="AZ1000" s="208"/>
      <c r="BA1000" s="208"/>
      <c r="BB1000" s="208"/>
      <c r="BC1000" s="208"/>
      <c r="BD1000" s="208"/>
      <c r="BE1000" s="208"/>
      <c r="BF1000" s="208"/>
      <c r="BG1000" s="208"/>
      <c r="BH1000" s="208"/>
      <c r="BI1000" s="323"/>
    </row>
    <row r="1001" spans="3:61" ht="15" customHeight="1">
      <c r="C1001" s="325"/>
      <c r="D1001" s="326"/>
      <c r="E1001" s="311"/>
      <c r="F1001" s="311"/>
      <c r="G1001" s="311"/>
      <c r="H1001" s="311"/>
      <c r="I1001" s="311"/>
      <c r="J1001" s="317"/>
      <c r="K1001" s="312"/>
      <c r="L1001" s="312"/>
      <c r="M1001" s="312"/>
      <c r="N1001" s="312"/>
      <c r="O1001" s="312"/>
      <c r="P1001" s="318" t="str">
        <f t="shared" si="47"/>
        <v/>
      </c>
      <c r="Q1001" s="205" t="str">
        <f t="shared" si="45"/>
        <v/>
      </c>
      <c r="R1001" s="205"/>
      <c r="S1001" s="319" t="str">
        <f t="shared" si="46"/>
        <v/>
      </c>
      <c r="U1001" s="318"/>
      <c r="V1001" s="794"/>
      <c r="W1001" s="795"/>
      <c r="X1001" s="482"/>
      <c r="Y1001" s="482"/>
      <c r="Z1001" s="482"/>
      <c r="AA1001" s="319"/>
      <c r="AB1001" s="220"/>
      <c r="AC1001" s="318"/>
      <c r="AD1001" s="319"/>
      <c r="AE1001" s="220"/>
      <c r="AF1001" s="320"/>
      <c r="AG1001" s="205"/>
      <c r="AH1001" s="205"/>
      <c r="AI1001" s="205"/>
      <c r="AJ1001" s="205"/>
      <c r="AK1001" s="205"/>
      <c r="AL1001" s="205"/>
      <c r="AM1001" s="205"/>
      <c r="AN1001" s="205"/>
      <c r="AO1001" s="205"/>
      <c r="AP1001" s="205"/>
      <c r="AQ1001" s="205"/>
      <c r="AR1001" s="205"/>
      <c r="AS1001" s="205"/>
      <c r="AT1001" s="205"/>
      <c r="AU1001" s="205"/>
      <c r="AV1001" s="205"/>
      <c r="AW1001" s="205"/>
      <c r="AX1001" s="205"/>
      <c r="AY1001" s="205"/>
      <c r="AZ1001" s="205"/>
      <c r="BA1001" s="205"/>
      <c r="BB1001" s="205"/>
      <c r="BC1001" s="205"/>
      <c r="BD1001" s="205"/>
      <c r="BE1001" s="205"/>
      <c r="BF1001" s="205"/>
      <c r="BG1001" s="205"/>
      <c r="BH1001" s="205"/>
      <c r="BI1001" s="319"/>
    </row>
    <row r="1002" spans="3:61" ht="15" customHeight="1">
      <c r="C1002" s="325"/>
      <c r="D1002" s="326"/>
      <c r="E1002" s="311"/>
      <c r="F1002" s="311"/>
      <c r="G1002" s="311"/>
      <c r="H1002" s="311"/>
      <c r="I1002" s="311"/>
      <c r="J1002" s="317"/>
      <c r="K1002" s="312"/>
      <c r="L1002" s="312"/>
      <c r="M1002" s="312"/>
      <c r="N1002" s="312"/>
      <c r="O1002" s="312"/>
      <c r="P1002" s="322" t="str">
        <f t="shared" si="47"/>
        <v/>
      </c>
      <c r="Q1002" s="208" t="str">
        <f t="shared" si="45"/>
        <v/>
      </c>
      <c r="R1002" s="208"/>
      <c r="S1002" s="323" t="str">
        <f t="shared" si="46"/>
        <v/>
      </c>
      <c r="U1002" s="322"/>
      <c r="V1002" s="791"/>
      <c r="W1002" s="792"/>
      <c r="X1002" s="480"/>
      <c r="Y1002" s="480"/>
      <c r="Z1002" s="480"/>
      <c r="AA1002" s="323"/>
      <c r="AB1002" s="220"/>
      <c r="AC1002" s="322"/>
      <c r="AD1002" s="323"/>
      <c r="AE1002" s="220"/>
      <c r="AF1002" s="324"/>
      <c r="AG1002" s="208"/>
      <c r="AH1002" s="208"/>
      <c r="AI1002" s="208"/>
      <c r="AJ1002" s="208"/>
      <c r="AK1002" s="208"/>
      <c r="AL1002" s="208"/>
      <c r="AM1002" s="208"/>
      <c r="AN1002" s="208"/>
      <c r="AO1002" s="208"/>
      <c r="AP1002" s="208"/>
      <c r="AQ1002" s="208"/>
      <c r="AR1002" s="208"/>
      <c r="AS1002" s="208"/>
      <c r="AT1002" s="208"/>
      <c r="AU1002" s="208"/>
      <c r="AV1002" s="208"/>
      <c r="AW1002" s="208"/>
      <c r="AX1002" s="208"/>
      <c r="AY1002" s="208"/>
      <c r="AZ1002" s="208"/>
      <c r="BA1002" s="208"/>
      <c r="BB1002" s="208"/>
      <c r="BC1002" s="208"/>
      <c r="BD1002" s="208"/>
      <c r="BE1002" s="208"/>
      <c r="BF1002" s="208"/>
      <c r="BG1002" s="208"/>
      <c r="BH1002" s="208"/>
      <c r="BI1002" s="323"/>
    </row>
    <row r="1003" spans="3:61" ht="15" customHeight="1">
      <c r="C1003" s="327"/>
      <c r="D1003" s="328"/>
      <c r="E1003" s="329"/>
      <c r="F1003" s="329"/>
      <c r="G1003" s="329"/>
      <c r="H1003" s="329"/>
      <c r="I1003" s="329"/>
      <c r="J1003" s="166"/>
      <c r="K1003" s="330"/>
      <c r="L1003" s="312"/>
      <c r="M1003" s="312"/>
      <c r="N1003" s="312"/>
      <c r="O1003" s="312"/>
      <c r="P1003" s="318" t="str">
        <f t="shared" si="47"/>
        <v/>
      </c>
      <c r="Q1003" s="205" t="str">
        <f t="shared" si="45"/>
        <v/>
      </c>
      <c r="R1003" s="173"/>
      <c r="S1003" s="319" t="str">
        <f t="shared" si="46"/>
        <v/>
      </c>
      <c r="U1003" s="318"/>
      <c r="V1003" s="794"/>
      <c r="W1003" s="795"/>
      <c r="X1003" s="482"/>
      <c r="Y1003" s="482"/>
      <c r="Z1003" s="482"/>
      <c r="AA1003" s="319"/>
      <c r="AB1003" s="220"/>
      <c r="AC1003" s="318"/>
      <c r="AD1003" s="319"/>
      <c r="AE1003" s="220"/>
      <c r="AF1003" s="320"/>
      <c r="AG1003" s="205"/>
      <c r="AH1003" s="205"/>
      <c r="AI1003" s="205"/>
      <c r="AJ1003" s="205"/>
      <c r="AK1003" s="205"/>
      <c r="AL1003" s="205"/>
      <c r="AM1003" s="205"/>
      <c r="AN1003" s="205"/>
      <c r="AO1003" s="205"/>
      <c r="AP1003" s="205"/>
      <c r="AQ1003" s="205"/>
      <c r="AR1003" s="205"/>
      <c r="AS1003" s="205"/>
      <c r="AT1003" s="205"/>
      <c r="AU1003" s="205"/>
      <c r="AV1003" s="205"/>
      <c r="AW1003" s="205"/>
      <c r="AX1003" s="205"/>
      <c r="AY1003" s="205"/>
      <c r="AZ1003" s="205"/>
      <c r="BA1003" s="205"/>
      <c r="BB1003" s="205"/>
      <c r="BC1003" s="205"/>
      <c r="BD1003" s="205"/>
      <c r="BE1003" s="205"/>
      <c r="BF1003" s="205"/>
      <c r="BG1003" s="205"/>
      <c r="BH1003" s="205"/>
      <c r="BI1003" s="319"/>
    </row>
    <row r="1004" spans="3:61" ht="15" customHeight="1">
      <c r="C1004" s="327"/>
      <c r="D1004" s="328"/>
      <c r="E1004" s="329"/>
      <c r="F1004" s="329"/>
      <c r="G1004" s="329"/>
      <c r="H1004" s="329"/>
      <c r="I1004" s="329"/>
      <c r="J1004" s="166"/>
      <c r="K1004" s="330"/>
      <c r="L1004" s="312"/>
      <c r="M1004" s="312"/>
      <c r="N1004" s="312"/>
      <c r="O1004" s="312"/>
      <c r="P1004" s="322" t="str">
        <f t="shared" si="47"/>
        <v/>
      </c>
      <c r="Q1004" s="208" t="str">
        <f t="shared" si="45"/>
        <v/>
      </c>
      <c r="R1004" s="174"/>
      <c r="S1004" s="323" t="str">
        <f t="shared" si="46"/>
        <v/>
      </c>
      <c r="U1004" s="322"/>
      <c r="V1004" s="791"/>
      <c r="W1004" s="792"/>
      <c r="X1004" s="480"/>
      <c r="Y1004" s="480"/>
      <c r="Z1004" s="480"/>
      <c r="AA1004" s="323"/>
      <c r="AB1004" s="220"/>
      <c r="AC1004" s="322"/>
      <c r="AD1004" s="323"/>
      <c r="AE1004" s="220"/>
      <c r="AF1004" s="324"/>
      <c r="AG1004" s="208"/>
      <c r="AH1004" s="208"/>
      <c r="AI1004" s="208"/>
      <c r="AJ1004" s="208"/>
      <c r="AK1004" s="208"/>
      <c r="AL1004" s="208"/>
      <c r="AM1004" s="208"/>
      <c r="AN1004" s="208"/>
      <c r="AO1004" s="208"/>
      <c r="AP1004" s="208"/>
      <c r="AQ1004" s="208"/>
      <c r="AR1004" s="208"/>
      <c r="AS1004" s="208"/>
      <c r="AT1004" s="208"/>
      <c r="AU1004" s="208"/>
      <c r="AV1004" s="208"/>
      <c r="AW1004" s="208"/>
      <c r="AX1004" s="208"/>
      <c r="AY1004" s="208"/>
      <c r="AZ1004" s="208"/>
      <c r="BA1004" s="208"/>
      <c r="BB1004" s="208"/>
      <c r="BC1004" s="208"/>
      <c r="BD1004" s="208"/>
      <c r="BE1004" s="208"/>
      <c r="BF1004" s="208"/>
      <c r="BG1004" s="208"/>
      <c r="BH1004" s="208"/>
      <c r="BI1004" s="323"/>
    </row>
    <row r="1005" spans="3:61" ht="15" customHeight="1">
      <c r="C1005" s="327"/>
      <c r="D1005" s="328"/>
      <c r="E1005" s="329"/>
      <c r="F1005" s="329"/>
      <c r="G1005" s="329"/>
      <c r="H1005" s="329"/>
      <c r="I1005" s="329"/>
      <c r="J1005" s="166"/>
      <c r="K1005" s="330"/>
      <c r="L1005" s="312"/>
      <c r="M1005" s="312"/>
      <c r="N1005" s="312"/>
      <c r="O1005" s="312"/>
      <c r="P1005" s="318" t="str">
        <f t="shared" si="47"/>
        <v/>
      </c>
      <c r="Q1005" s="205" t="str">
        <f t="shared" si="45"/>
        <v/>
      </c>
      <c r="R1005" s="173"/>
      <c r="S1005" s="319" t="str">
        <f t="shared" si="46"/>
        <v/>
      </c>
      <c r="U1005" s="318"/>
      <c r="V1005" s="794"/>
      <c r="W1005" s="795"/>
      <c r="X1005" s="482"/>
      <c r="Y1005" s="482"/>
      <c r="Z1005" s="482"/>
      <c r="AA1005" s="319"/>
      <c r="AB1005" s="220"/>
      <c r="AC1005" s="318"/>
      <c r="AD1005" s="319"/>
      <c r="AE1005" s="220"/>
      <c r="AF1005" s="320"/>
      <c r="AG1005" s="205"/>
      <c r="AH1005" s="205"/>
      <c r="AI1005" s="205"/>
      <c r="AJ1005" s="205"/>
      <c r="AK1005" s="205"/>
      <c r="AL1005" s="205"/>
      <c r="AM1005" s="205"/>
      <c r="AN1005" s="205"/>
      <c r="AO1005" s="205"/>
      <c r="AP1005" s="205"/>
      <c r="AQ1005" s="205"/>
      <c r="AR1005" s="205"/>
      <c r="AS1005" s="205"/>
      <c r="AT1005" s="205"/>
      <c r="AU1005" s="205"/>
      <c r="AV1005" s="205"/>
      <c r="AW1005" s="205"/>
      <c r="AX1005" s="205"/>
      <c r="AY1005" s="205"/>
      <c r="AZ1005" s="205"/>
      <c r="BA1005" s="205"/>
      <c r="BB1005" s="205"/>
      <c r="BC1005" s="205"/>
      <c r="BD1005" s="205"/>
      <c r="BE1005" s="205"/>
      <c r="BF1005" s="205"/>
      <c r="BG1005" s="205"/>
      <c r="BH1005" s="205"/>
      <c r="BI1005" s="319"/>
    </row>
    <row r="1006" spans="3:61" ht="15" customHeight="1">
      <c r="C1006" s="327"/>
      <c r="D1006" s="328"/>
      <c r="E1006" s="213"/>
      <c r="F1006" s="213"/>
      <c r="G1006" s="213"/>
      <c r="H1006" s="213"/>
      <c r="I1006" s="213"/>
      <c r="K1006" s="56"/>
      <c r="L1006" s="312"/>
      <c r="M1006" s="312"/>
      <c r="N1006" s="312"/>
      <c r="O1006" s="312"/>
      <c r="P1006" s="322" t="str">
        <f t="shared" si="47"/>
        <v/>
      </c>
      <c r="Q1006" s="208" t="str">
        <f t="shared" si="45"/>
        <v/>
      </c>
      <c r="R1006" s="175"/>
      <c r="S1006" s="323" t="str">
        <f t="shared" si="46"/>
        <v/>
      </c>
      <c r="U1006" s="322"/>
      <c r="V1006" s="791"/>
      <c r="W1006" s="792"/>
      <c r="X1006" s="480"/>
      <c r="Y1006" s="480"/>
      <c r="Z1006" s="480"/>
      <c r="AA1006" s="323"/>
      <c r="AB1006" s="220"/>
      <c r="AC1006" s="322"/>
      <c r="AD1006" s="323"/>
      <c r="AE1006" s="220"/>
      <c r="AF1006" s="324"/>
      <c r="AG1006" s="208"/>
      <c r="AH1006" s="208"/>
      <c r="AI1006" s="208"/>
      <c r="AJ1006" s="208"/>
      <c r="AK1006" s="208"/>
      <c r="AL1006" s="208"/>
      <c r="AM1006" s="208"/>
      <c r="AN1006" s="208"/>
      <c r="AO1006" s="208"/>
      <c r="AP1006" s="208"/>
      <c r="AQ1006" s="208"/>
      <c r="AR1006" s="208"/>
      <c r="AS1006" s="208"/>
      <c r="AT1006" s="208"/>
      <c r="AU1006" s="208"/>
      <c r="AV1006" s="208"/>
      <c r="AW1006" s="208"/>
      <c r="AX1006" s="208"/>
      <c r="AY1006" s="208"/>
      <c r="AZ1006" s="208"/>
      <c r="BA1006" s="208"/>
      <c r="BB1006" s="208"/>
      <c r="BC1006" s="208"/>
      <c r="BD1006" s="208"/>
      <c r="BE1006" s="208"/>
      <c r="BF1006" s="208"/>
      <c r="BG1006" s="208"/>
      <c r="BH1006" s="208"/>
      <c r="BI1006" s="323"/>
    </row>
    <row r="1007" spans="3:61" ht="15" customHeight="1">
      <c r="C1007" s="327"/>
      <c r="D1007" s="328"/>
      <c r="E1007" s="213"/>
      <c r="F1007" s="213"/>
      <c r="G1007" s="213"/>
      <c r="H1007" s="213"/>
      <c r="I1007" s="213"/>
      <c r="K1007" s="56"/>
      <c r="L1007" s="312"/>
      <c r="M1007" s="312"/>
      <c r="N1007" s="312"/>
      <c r="O1007" s="312"/>
      <c r="P1007" s="318" t="str">
        <f t="shared" si="47"/>
        <v/>
      </c>
      <c r="Q1007" s="205" t="str">
        <f t="shared" si="45"/>
        <v/>
      </c>
      <c r="R1007" s="176"/>
      <c r="S1007" s="319" t="str">
        <f t="shared" si="46"/>
        <v/>
      </c>
      <c r="U1007" s="318"/>
      <c r="V1007" s="794"/>
      <c r="W1007" s="795"/>
      <c r="X1007" s="482"/>
      <c r="Y1007" s="482"/>
      <c r="Z1007" s="482"/>
      <c r="AA1007" s="319"/>
      <c r="AB1007" s="220"/>
      <c r="AC1007" s="318"/>
      <c r="AD1007" s="319"/>
      <c r="AE1007" s="220"/>
      <c r="AF1007" s="320"/>
      <c r="AG1007" s="205"/>
      <c r="AH1007" s="205"/>
      <c r="AI1007" s="205"/>
      <c r="AJ1007" s="205"/>
      <c r="AK1007" s="205"/>
      <c r="AL1007" s="205"/>
      <c r="AM1007" s="205"/>
      <c r="AN1007" s="205"/>
      <c r="AO1007" s="205"/>
      <c r="AP1007" s="205"/>
      <c r="AQ1007" s="205"/>
      <c r="AR1007" s="205"/>
      <c r="AS1007" s="205"/>
      <c r="AT1007" s="205"/>
      <c r="AU1007" s="205"/>
      <c r="AV1007" s="205"/>
      <c r="AW1007" s="205"/>
      <c r="AX1007" s="205"/>
      <c r="AY1007" s="205"/>
      <c r="AZ1007" s="205"/>
      <c r="BA1007" s="205"/>
      <c r="BB1007" s="205"/>
      <c r="BC1007" s="205"/>
      <c r="BD1007" s="205"/>
      <c r="BE1007" s="205"/>
      <c r="BF1007" s="205"/>
      <c r="BG1007" s="205"/>
      <c r="BH1007" s="205"/>
      <c r="BI1007" s="319"/>
    </row>
    <row r="1008" spans="3:61" ht="15" customHeight="1">
      <c r="C1008" s="327"/>
      <c r="D1008" s="328"/>
      <c r="E1008" s="213"/>
      <c r="F1008" s="213"/>
      <c r="G1008" s="213"/>
      <c r="H1008" s="213"/>
      <c r="I1008" s="213"/>
      <c r="K1008" s="56"/>
      <c r="L1008" s="312"/>
      <c r="M1008" s="312"/>
      <c r="N1008" s="312"/>
      <c r="O1008" s="312"/>
      <c r="P1008" s="322" t="str">
        <f t="shared" si="47"/>
        <v/>
      </c>
      <c r="Q1008" s="208" t="str">
        <f t="shared" si="45"/>
        <v/>
      </c>
      <c r="R1008" s="175"/>
      <c r="S1008" s="323" t="str">
        <f t="shared" si="46"/>
        <v/>
      </c>
      <c r="U1008" s="322"/>
      <c r="V1008" s="791"/>
      <c r="W1008" s="792"/>
      <c r="X1008" s="480"/>
      <c r="Y1008" s="480"/>
      <c r="Z1008" s="480"/>
      <c r="AA1008" s="323"/>
      <c r="AB1008" s="220"/>
      <c r="AC1008" s="322"/>
      <c r="AD1008" s="323"/>
      <c r="AE1008" s="220"/>
      <c r="AF1008" s="324"/>
      <c r="AG1008" s="208"/>
      <c r="AH1008" s="208"/>
      <c r="AI1008" s="208"/>
      <c r="AJ1008" s="208"/>
      <c r="AK1008" s="208"/>
      <c r="AL1008" s="208"/>
      <c r="AM1008" s="208"/>
      <c r="AN1008" s="208"/>
      <c r="AO1008" s="208"/>
      <c r="AP1008" s="208"/>
      <c r="AQ1008" s="208"/>
      <c r="AR1008" s="208"/>
      <c r="AS1008" s="208"/>
      <c r="AT1008" s="208"/>
      <c r="AU1008" s="208"/>
      <c r="AV1008" s="208"/>
      <c r="AW1008" s="208"/>
      <c r="AX1008" s="208"/>
      <c r="AY1008" s="208"/>
      <c r="AZ1008" s="208"/>
      <c r="BA1008" s="208"/>
      <c r="BB1008" s="208"/>
      <c r="BC1008" s="208"/>
      <c r="BD1008" s="208"/>
      <c r="BE1008" s="208"/>
      <c r="BF1008" s="208"/>
      <c r="BG1008" s="208"/>
      <c r="BH1008" s="208"/>
      <c r="BI1008" s="323"/>
    </row>
    <row r="1009" spans="3:61" ht="15" customHeight="1">
      <c r="C1009" s="327"/>
      <c r="D1009" s="328"/>
      <c r="E1009" s="213"/>
      <c r="F1009" s="213"/>
      <c r="G1009" s="213"/>
      <c r="H1009" s="213"/>
      <c r="I1009" s="213"/>
      <c r="K1009" s="56"/>
      <c r="L1009" s="312"/>
      <c r="M1009" s="312"/>
      <c r="N1009" s="312"/>
      <c r="O1009" s="312"/>
      <c r="P1009" s="318" t="str">
        <f t="shared" si="47"/>
        <v/>
      </c>
      <c r="Q1009" s="205" t="str">
        <f t="shared" si="45"/>
        <v/>
      </c>
      <c r="R1009" s="176"/>
      <c r="S1009" s="319" t="str">
        <f t="shared" si="46"/>
        <v/>
      </c>
      <c r="U1009" s="318"/>
      <c r="V1009" s="794"/>
      <c r="W1009" s="795"/>
      <c r="X1009" s="482"/>
      <c r="Y1009" s="482"/>
      <c r="Z1009" s="482"/>
      <c r="AA1009" s="319"/>
      <c r="AB1009" s="220"/>
      <c r="AC1009" s="318"/>
      <c r="AD1009" s="319"/>
      <c r="AE1009" s="220"/>
      <c r="AF1009" s="320"/>
      <c r="AG1009" s="205"/>
      <c r="AH1009" s="205"/>
      <c r="AI1009" s="205"/>
      <c r="AJ1009" s="205"/>
      <c r="AK1009" s="205"/>
      <c r="AL1009" s="205"/>
      <c r="AM1009" s="205"/>
      <c r="AN1009" s="205"/>
      <c r="AO1009" s="205"/>
      <c r="AP1009" s="205"/>
      <c r="AQ1009" s="205"/>
      <c r="AR1009" s="205"/>
      <c r="AS1009" s="205"/>
      <c r="AT1009" s="205"/>
      <c r="AU1009" s="205"/>
      <c r="AV1009" s="205"/>
      <c r="AW1009" s="205"/>
      <c r="AX1009" s="205"/>
      <c r="AY1009" s="205"/>
      <c r="AZ1009" s="205"/>
      <c r="BA1009" s="205"/>
      <c r="BB1009" s="205"/>
      <c r="BC1009" s="205"/>
      <c r="BD1009" s="205"/>
      <c r="BE1009" s="205"/>
      <c r="BF1009" s="205"/>
      <c r="BG1009" s="205"/>
      <c r="BH1009" s="205"/>
      <c r="BI1009" s="319"/>
    </row>
    <row r="1010" spans="3:61" ht="15" customHeight="1">
      <c r="C1010" s="327"/>
      <c r="D1010" s="328"/>
      <c r="E1010" s="213"/>
      <c r="F1010" s="213"/>
      <c r="G1010" s="213"/>
      <c r="H1010" s="213"/>
      <c r="I1010" s="213"/>
      <c r="K1010" s="56"/>
      <c r="L1010" s="312"/>
      <c r="M1010" s="312"/>
      <c r="N1010" s="312"/>
      <c r="O1010" s="312"/>
      <c r="P1010" s="322" t="str">
        <f t="shared" si="47"/>
        <v/>
      </c>
      <c r="Q1010" s="208" t="str">
        <f t="shared" si="45"/>
        <v/>
      </c>
      <c r="R1010" s="175"/>
      <c r="S1010" s="323" t="str">
        <f t="shared" si="46"/>
        <v/>
      </c>
      <c r="U1010" s="322"/>
      <c r="V1010" s="791"/>
      <c r="W1010" s="792"/>
      <c r="X1010" s="480"/>
      <c r="Y1010" s="480"/>
      <c r="Z1010" s="480"/>
      <c r="AA1010" s="323"/>
      <c r="AB1010" s="220"/>
      <c r="AC1010" s="322"/>
      <c r="AD1010" s="323"/>
      <c r="AE1010" s="220"/>
      <c r="AF1010" s="324"/>
      <c r="AG1010" s="208"/>
      <c r="AH1010" s="208"/>
      <c r="AI1010" s="208"/>
      <c r="AJ1010" s="208"/>
      <c r="AK1010" s="208"/>
      <c r="AL1010" s="208"/>
      <c r="AM1010" s="208"/>
      <c r="AN1010" s="208"/>
      <c r="AO1010" s="208"/>
      <c r="AP1010" s="208"/>
      <c r="AQ1010" s="208"/>
      <c r="AR1010" s="208"/>
      <c r="AS1010" s="208"/>
      <c r="AT1010" s="208"/>
      <c r="AU1010" s="208"/>
      <c r="AV1010" s="208"/>
      <c r="AW1010" s="208"/>
      <c r="AX1010" s="208"/>
      <c r="AY1010" s="208"/>
      <c r="AZ1010" s="208"/>
      <c r="BA1010" s="208"/>
      <c r="BB1010" s="208"/>
      <c r="BC1010" s="208"/>
      <c r="BD1010" s="208"/>
      <c r="BE1010" s="208"/>
      <c r="BF1010" s="208"/>
      <c r="BG1010" s="208"/>
      <c r="BH1010" s="208"/>
      <c r="BI1010" s="323"/>
    </row>
    <row r="1011" spans="3:61" ht="15" customHeight="1">
      <c r="C1011" s="327"/>
      <c r="D1011" s="328"/>
      <c r="E1011" s="213"/>
      <c r="F1011" s="213"/>
      <c r="G1011" s="213"/>
      <c r="H1011" s="213"/>
      <c r="I1011" s="213"/>
      <c r="K1011" s="56"/>
      <c r="L1011" s="312"/>
      <c r="M1011" s="312"/>
      <c r="N1011" s="312"/>
      <c r="O1011" s="312"/>
      <c r="P1011" s="318" t="str">
        <f t="shared" si="47"/>
        <v/>
      </c>
      <c r="Q1011" s="205" t="str">
        <f t="shared" si="45"/>
        <v/>
      </c>
      <c r="R1011" s="176"/>
      <c r="S1011" s="319" t="str">
        <f t="shared" si="46"/>
        <v/>
      </c>
      <c r="U1011" s="318"/>
      <c r="V1011" s="794"/>
      <c r="W1011" s="795"/>
      <c r="X1011" s="482"/>
      <c r="Y1011" s="482"/>
      <c r="Z1011" s="482"/>
      <c r="AA1011" s="319"/>
      <c r="AB1011" s="220"/>
      <c r="AC1011" s="318"/>
      <c r="AD1011" s="319"/>
      <c r="AE1011" s="220"/>
      <c r="AF1011" s="320"/>
      <c r="AG1011" s="205"/>
      <c r="AH1011" s="205"/>
      <c r="AI1011" s="205"/>
      <c r="AJ1011" s="205"/>
      <c r="AK1011" s="205"/>
      <c r="AL1011" s="205"/>
      <c r="AM1011" s="205"/>
      <c r="AN1011" s="205"/>
      <c r="AO1011" s="205"/>
      <c r="AP1011" s="205"/>
      <c r="AQ1011" s="205"/>
      <c r="AR1011" s="205"/>
      <c r="AS1011" s="205"/>
      <c r="AT1011" s="205"/>
      <c r="AU1011" s="205"/>
      <c r="AV1011" s="205"/>
      <c r="AW1011" s="205"/>
      <c r="AX1011" s="205"/>
      <c r="AY1011" s="205"/>
      <c r="AZ1011" s="205"/>
      <c r="BA1011" s="205"/>
      <c r="BB1011" s="205"/>
      <c r="BC1011" s="205"/>
      <c r="BD1011" s="205"/>
      <c r="BE1011" s="205"/>
      <c r="BF1011" s="205"/>
      <c r="BG1011" s="205"/>
      <c r="BH1011" s="205"/>
      <c r="BI1011" s="319"/>
    </row>
    <row r="1012" spans="3:61" ht="15" customHeight="1">
      <c r="C1012" s="327"/>
      <c r="D1012" s="328"/>
      <c r="E1012" s="213"/>
      <c r="F1012" s="213"/>
      <c r="G1012" s="213"/>
      <c r="H1012" s="213"/>
      <c r="I1012" s="213"/>
      <c r="K1012" s="56"/>
      <c r="L1012" s="312"/>
      <c r="M1012" s="312"/>
      <c r="N1012" s="312"/>
      <c r="O1012" s="312"/>
      <c r="P1012" s="322" t="str">
        <f t="shared" si="47"/>
        <v/>
      </c>
      <c r="Q1012" s="208" t="str">
        <f t="shared" si="45"/>
        <v/>
      </c>
      <c r="R1012" s="175"/>
      <c r="S1012" s="323" t="str">
        <f t="shared" si="46"/>
        <v/>
      </c>
      <c r="U1012" s="322"/>
      <c r="V1012" s="791"/>
      <c r="W1012" s="792"/>
      <c r="X1012" s="480"/>
      <c r="Y1012" s="480"/>
      <c r="Z1012" s="480"/>
      <c r="AA1012" s="323"/>
      <c r="AB1012" s="220"/>
      <c r="AC1012" s="322"/>
      <c r="AD1012" s="323"/>
      <c r="AE1012" s="220"/>
      <c r="AF1012" s="324"/>
      <c r="AG1012" s="208"/>
      <c r="AH1012" s="208"/>
      <c r="AI1012" s="208"/>
      <c r="AJ1012" s="208"/>
      <c r="AK1012" s="208"/>
      <c r="AL1012" s="208"/>
      <c r="AM1012" s="208"/>
      <c r="AN1012" s="208"/>
      <c r="AO1012" s="208"/>
      <c r="AP1012" s="208"/>
      <c r="AQ1012" s="208"/>
      <c r="AR1012" s="208"/>
      <c r="AS1012" s="208"/>
      <c r="AT1012" s="208"/>
      <c r="AU1012" s="208"/>
      <c r="AV1012" s="208"/>
      <c r="AW1012" s="208"/>
      <c r="AX1012" s="208"/>
      <c r="AY1012" s="208"/>
      <c r="AZ1012" s="208"/>
      <c r="BA1012" s="208"/>
      <c r="BB1012" s="208"/>
      <c r="BC1012" s="208"/>
      <c r="BD1012" s="208"/>
      <c r="BE1012" s="208"/>
      <c r="BF1012" s="208"/>
      <c r="BG1012" s="208"/>
      <c r="BH1012" s="208"/>
      <c r="BI1012" s="323"/>
    </row>
    <row r="1013" spans="3:61" ht="15" customHeight="1">
      <c r="C1013" s="327"/>
      <c r="D1013" s="328"/>
      <c r="E1013" s="213"/>
      <c r="F1013" s="213"/>
      <c r="G1013" s="213"/>
      <c r="H1013" s="213"/>
      <c r="I1013" s="213"/>
      <c r="K1013" s="56"/>
      <c r="L1013" s="312"/>
      <c r="M1013" s="312"/>
      <c r="N1013" s="312"/>
      <c r="O1013" s="312"/>
      <c r="P1013" s="318" t="str">
        <f t="shared" si="47"/>
        <v/>
      </c>
      <c r="Q1013" s="205" t="str">
        <f t="shared" si="45"/>
        <v/>
      </c>
      <c r="R1013" s="176"/>
      <c r="S1013" s="319" t="str">
        <f t="shared" si="46"/>
        <v/>
      </c>
      <c r="U1013" s="318"/>
      <c r="V1013" s="794"/>
      <c r="W1013" s="795"/>
      <c r="X1013" s="482"/>
      <c r="Y1013" s="482"/>
      <c r="Z1013" s="482"/>
      <c r="AA1013" s="319"/>
      <c r="AB1013" s="220"/>
      <c r="AC1013" s="318"/>
      <c r="AD1013" s="319"/>
      <c r="AE1013" s="220"/>
      <c r="AF1013" s="320"/>
      <c r="AG1013" s="205"/>
      <c r="AH1013" s="205"/>
      <c r="AI1013" s="205"/>
      <c r="AJ1013" s="205"/>
      <c r="AK1013" s="205"/>
      <c r="AL1013" s="205"/>
      <c r="AM1013" s="205"/>
      <c r="AN1013" s="205"/>
      <c r="AO1013" s="205"/>
      <c r="AP1013" s="205"/>
      <c r="AQ1013" s="205"/>
      <c r="AR1013" s="205"/>
      <c r="AS1013" s="205"/>
      <c r="AT1013" s="205"/>
      <c r="AU1013" s="205"/>
      <c r="AV1013" s="205"/>
      <c r="AW1013" s="205"/>
      <c r="AX1013" s="205"/>
      <c r="AY1013" s="205"/>
      <c r="AZ1013" s="205"/>
      <c r="BA1013" s="205"/>
      <c r="BB1013" s="205"/>
      <c r="BC1013" s="205"/>
      <c r="BD1013" s="205"/>
      <c r="BE1013" s="205"/>
      <c r="BF1013" s="205"/>
      <c r="BG1013" s="205"/>
      <c r="BH1013" s="205"/>
      <c r="BI1013" s="319"/>
    </row>
    <row r="1014" spans="3:61" ht="15" customHeight="1">
      <c r="C1014" s="327"/>
      <c r="D1014" s="328"/>
      <c r="E1014" s="213"/>
      <c r="F1014" s="213"/>
      <c r="G1014" s="213"/>
      <c r="H1014" s="213"/>
      <c r="I1014" s="213"/>
      <c r="K1014" s="56"/>
      <c r="L1014" s="312"/>
      <c r="M1014" s="312"/>
      <c r="N1014" s="312"/>
      <c r="O1014" s="312"/>
      <c r="P1014" s="322" t="str">
        <f t="shared" si="47"/>
        <v/>
      </c>
      <c r="Q1014" s="208" t="str">
        <f t="shared" si="45"/>
        <v/>
      </c>
      <c r="R1014" s="175"/>
      <c r="S1014" s="323" t="str">
        <f t="shared" si="46"/>
        <v/>
      </c>
      <c r="U1014" s="322"/>
      <c r="V1014" s="791"/>
      <c r="W1014" s="792"/>
      <c r="X1014" s="480"/>
      <c r="Y1014" s="480"/>
      <c r="Z1014" s="480"/>
      <c r="AA1014" s="323"/>
      <c r="AB1014" s="220"/>
      <c r="AC1014" s="322"/>
      <c r="AD1014" s="323"/>
      <c r="AE1014" s="220"/>
      <c r="AF1014" s="324"/>
      <c r="AG1014" s="208"/>
      <c r="AH1014" s="208"/>
      <c r="AI1014" s="208"/>
      <c r="AJ1014" s="208"/>
      <c r="AK1014" s="208"/>
      <c r="AL1014" s="208"/>
      <c r="AM1014" s="208"/>
      <c r="AN1014" s="208"/>
      <c r="AO1014" s="208"/>
      <c r="AP1014" s="208"/>
      <c r="AQ1014" s="208"/>
      <c r="AR1014" s="208"/>
      <c r="AS1014" s="208"/>
      <c r="AT1014" s="208"/>
      <c r="AU1014" s="208"/>
      <c r="AV1014" s="208"/>
      <c r="AW1014" s="208"/>
      <c r="AX1014" s="208"/>
      <c r="AY1014" s="208"/>
      <c r="AZ1014" s="208"/>
      <c r="BA1014" s="208"/>
      <c r="BB1014" s="208"/>
      <c r="BC1014" s="208"/>
      <c r="BD1014" s="208"/>
      <c r="BE1014" s="208"/>
      <c r="BF1014" s="208"/>
      <c r="BG1014" s="208"/>
      <c r="BH1014" s="208"/>
      <c r="BI1014" s="323"/>
    </row>
    <row r="1015" spans="3:61" ht="15" customHeight="1">
      <c r="C1015" s="327"/>
      <c r="D1015" s="328"/>
      <c r="E1015" s="213"/>
      <c r="F1015" s="213"/>
      <c r="G1015" s="213"/>
      <c r="H1015" s="213"/>
      <c r="I1015" s="213"/>
      <c r="K1015" s="56"/>
      <c r="L1015" s="312"/>
      <c r="M1015" s="312"/>
      <c r="N1015" s="312"/>
      <c r="O1015" s="312"/>
      <c r="P1015" s="318" t="str">
        <f t="shared" si="47"/>
        <v/>
      </c>
      <c r="Q1015" s="205" t="str">
        <f t="shared" si="45"/>
        <v/>
      </c>
      <c r="R1015" s="176"/>
      <c r="S1015" s="319" t="str">
        <f t="shared" si="46"/>
        <v/>
      </c>
      <c r="U1015" s="318"/>
      <c r="V1015" s="794"/>
      <c r="W1015" s="795"/>
      <c r="X1015" s="482"/>
      <c r="Y1015" s="482"/>
      <c r="Z1015" s="482"/>
      <c r="AA1015" s="319"/>
      <c r="AB1015" s="220"/>
      <c r="AC1015" s="318"/>
      <c r="AD1015" s="319"/>
      <c r="AE1015" s="220"/>
      <c r="AF1015" s="320"/>
      <c r="AG1015" s="205"/>
      <c r="AH1015" s="205"/>
      <c r="AI1015" s="205"/>
      <c r="AJ1015" s="205"/>
      <c r="AK1015" s="205"/>
      <c r="AL1015" s="205"/>
      <c r="AM1015" s="205"/>
      <c r="AN1015" s="205"/>
      <c r="AO1015" s="205"/>
      <c r="AP1015" s="205"/>
      <c r="AQ1015" s="205"/>
      <c r="AR1015" s="205"/>
      <c r="AS1015" s="205"/>
      <c r="AT1015" s="205"/>
      <c r="AU1015" s="205"/>
      <c r="AV1015" s="205"/>
      <c r="AW1015" s="205"/>
      <c r="AX1015" s="205"/>
      <c r="AY1015" s="205"/>
      <c r="AZ1015" s="205"/>
      <c r="BA1015" s="205"/>
      <c r="BB1015" s="205"/>
      <c r="BC1015" s="205"/>
      <c r="BD1015" s="205"/>
      <c r="BE1015" s="205"/>
      <c r="BF1015" s="205"/>
      <c r="BG1015" s="205"/>
      <c r="BH1015" s="205"/>
      <c r="BI1015" s="319"/>
    </row>
    <row r="1016" spans="3:61" ht="15" customHeight="1">
      <c r="C1016" s="327"/>
      <c r="D1016" s="328"/>
      <c r="E1016" s="213"/>
      <c r="F1016" s="213"/>
      <c r="G1016" s="213"/>
      <c r="H1016" s="213"/>
      <c r="I1016" s="213"/>
      <c r="K1016" s="56"/>
      <c r="L1016" s="312"/>
      <c r="M1016" s="312"/>
      <c r="N1016" s="312"/>
      <c r="O1016" s="312"/>
      <c r="P1016" s="322" t="str">
        <f t="shared" si="47"/>
        <v/>
      </c>
      <c r="Q1016" s="208" t="str">
        <f t="shared" si="45"/>
        <v/>
      </c>
      <c r="R1016" s="175"/>
      <c r="S1016" s="323" t="str">
        <f t="shared" si="46"/>
        <v/>
      </c>
      <c r="U1016" s="322"/>
      <c r="V1016" s="791"/>
      <c r="W1016" s="792"/>
      <c r="X1016" s="480"/>
      <c r="Y1016" s="480"/>
      <c r="Z1016" s="480"/>
      <c r="AA1016" s="323"/>
      <c r="AB1016" s="220"/>
      <c r="AC1016" s="322"/>
      <c r="AD1016" s="323"/>
      <c r="AE1016" s="220"/>
      <c r="AF1016" s="324"/>
      <c r="AG1016" s="208"/>
      <c r="AH1016" s="208"/>
      <c r="AI1016" s="208"/>
      <c r="AJ1016" s="208"/>
      <c r="AK1016" s="208"/>
      <c r="AL1016" s="208"/>
      <c r="AM1016" s="208"/>
      <c r="AN1016" s="208"/>
      <c r="AO1016" s="208"/>
      <c r="AP1016" s="208"/>
      <c r="AQ1016" s="208"/>
      <c r="AR1016" s="208"/>
      <c r="AS1016" s="208"/>
      <c r="AT1016" s="208"/>
      <c r="AU1016" s="208"/>
      <c r="AV1016" s="208"/>
      <c r="AW1016" s="208"/>
      <c r="AX1016" s="208"/>
      <c r="AY1016" s="208"/>
      <c r="AZ1016" s="208"/>
      <c r="BA1016" s="208"/>
      <c r="BB1016" s="208"/>
      <c r="BC1016" s="208"/>
      <c r="BD1016" s="208"/>
      <c r="BE1016" s="208"/>
      <c r="BF1016" s="208"/>
      <c r="BG1016" s="208"/>
      <c r="BH1016" s="208"/>
      <c r="BI1016" s="323"/>
    </row>
    <row r="1017" spans="3:61" ht="15" customHeight="1">
      <c r="C1017" s="327"/>
      <c r="D1017" s="328"/>
      <c r="E1017" s="213"/>
      <c r="F1017" s="213"/>
      <c r="G1017" s="213"/>
      <c r="H1017" s="213"/>
      <c r="I1017" s="213"/>
      <c r="K1017" s="56"/>
      <c r="L1017" s="312"/>
      <c r="M1017" s="312"/>
      <c r="N1017" s="312"/>
      <c r="O1017" s="312"/>
      <c r="P1017" s="318" t="str">
        <f t="shared" si="47"/>
        <v/>
      </c>
      <c r="Q1017" s="205" t="str">
        <f t="shared" si="45"/>
        <v/>
      </c>
      <c r="R1017" s="176"/>
      <c r="S1017" s="319" t="str">
        <f t="shared" si="46"/>
        <v/>
      </c>
      <c r="U1017" s="318"/>
      <c r="V1017" s="794"/>
      <c r="W1017" s="795"/>
      <c r="X1017" s="482"/>
      <c r="Y1017" s="482"/>
      <c r="Z1017" s="482"/>
      <c r="AA1017" s="319"/>
      <c r="AB1017" s="220"/>
      <c r="AC1017" s="318"/>
      <c r="AD1017" s="319"/>
      <c r="AE1017" s="220"/>
      <c r="AF1017" s="320"/>
      <c r="AG1017" s="205"/>
      <c r="AH1017" s="205"/>
      <c r="AI1017" s="205"/>
      <c r="AJ1017" s="205"/>
      <c r="AK1017" s="205"/>
      <c r="AL1017" s="205"/>
      <c r="AM1017" s="205"/>
      <c r="AN1017" s="205"/>
      <c r="AO1017" s="205"/>
      <c r="AP1017" s="205"/>
      <c r="AQ1017" s="205"/>
      <c r="AR1017" s="205"/>
      <c r="AS1017" s="205"/>
      <c r="AT1017" s="205"/>
      <c r="AU1017" s="205"/>
      <c r="AV1017" s="205"/>
      <c r="AW1017" s="205"/>
      <c r="AX1017" s="205"/>
      <c r="AY1017" s="205"/>
      <c r="AZ1017" s="205"/>
      <c r="BA1017" s="205"/>
      <c r="BB1017" s="205"/>
      <c r="BC1017" s="205"/>
      <c r="BD1017" s="205"/>
      <c r="BE1017" s="205"/>
      <c r="BF1017" s="205"/>
      <c r="BG1017" s="205"/>
      <c r="BH1017" s="205"/>
      <c r="BI1017" s="319"/>
    </row>
    <row r="1018" spans="3:61" ht="15" customHeight="1">
      <c r="C1018" s="327"/>
      <c r="D1018" s="328"/>
      <c r="E1018" s="213"/>
      <c r="F1018" s="213"/>
      <c r="G1018" s="213"/>
      <c r="H1018" s="213"/>
      <c r="I1018" s="213"/>
      <c r="K1018" s="56"/>
      <c r="L1018" s="312"/>
      <c r="M1018" s="312"/>
      <c r="N1018" s="312"/>
      <c r="O1018" s="312"/>
      <c r="P1018" s="322" t="str">
        <f t="shared" si="47"/>
        <v/>
      </c>
      <c r="Q1018" s="208" t="str">
        <f t="shared" si="45"/>
        <v/>
      </c>
      <c r="R1018" s="175"/>
      <c r="S1018" s="323" t="str">
        <f t="shared" si="46"/>
        <v/>
      </c>
      <c r="U1018" s="322"/>
      <c r="V1018" s="791"/>
      <c r="W1018" s="792"/>
      <c r="X1018" s="480"/>
      <c r="Y1018" s="480"/>
      <c r="Z1018" s="480"/>
      <c r="AA1018" s="323"/>
      <c r="AB1018" s="220"/>
      <c r="AC1018" s="322"/>
      <c r="AD1018" s="323"/>
      <c r="AE1018" s="220"/>
      <c r="AF1018" s="324"/>
      <c r="AG1018" s="208"/>
      <c r="AH1018" s="208"/>
      <c r="AI1018" s="208"/>
      <c r="AJ1018" s="208"/>
      <c r="AK1018" s="208"/>
      <c r="AL1018" s="208"/>
      <c r="AM1018" s="208"/>
      <c r="AN1018" s="208"/>
      <c r="AO1018" s="208"/>
      <c r="AP1018" s="208"/>
      <c r="AQ1018" s="208"/>
      <c r="AR1018" s="208"/>
      <c r="AS1018" s="208"/>
      <c r="AT1018" s="208"/>
      <c r="AU1018" s="208"/>
      <c r="AV1018" s="208"/>
      <c r="AW1018" s="208"/>
      <c r="AX1018" s="208"/>
      <c r="AY1018" s="208"/>
      <c r="AZ1018" s="208"/>
      <c r="BA1018" s="208"/>
      <c r="BB1018" s="208"/>
      <c r="BC1018" s="208"/>
      <c r="BD1018" s="208"/>
      <c r="BE1018" s="208"/>
      <c r="BF1018" s="208"/>
      <c r="BG1018" s="208"/>
      <c r="BH1018" s="208"/>
      <c r="BI1018" s="323"/>
    </row>
    <row r="1019" spans="3:61" ht="15" customHeight="1">
      <c r="C1019" s="327"/>
      <c r="D1019" s="328"/>
      <c r="E1019" s="213"/>
      <c r="F1019" s="213"/>
      <c r="G1019" s="213"/>
      <c r="H1019" s="213"/>
      <c r="I1019" s="213"/>
      <c r="K1019" s="56"/>
      <c r="L1019" s="312"/>
      <c r="M1019" s="312"/>
      <c r="N1019" s="312"/>
      <c r="O1019" s="312"/>
      <c r="P1019" s="318" t="str">
        <f t="shared" si="47"/>
        <v/>
      </c>
      <c r="Q1019" s="205" t="str">
        <f t="shared" si="45"/>
        <v/>
      </c>
      <c r="R1019" s="176"/>
      <c r="S1019" s="319" t="str">
        <f t="shared" si="46"/>
        <v/>
      </c>
      <c r="U1019" s="318"/>
      <c r="V1019" s="794"/>
      <c r="W1019" s="795"/>
      <c r="X1019" s="482"/>
      <c r="Y1019" s="482"/>
      <c r="Z1019" s="482"/>
      <c r="AA1019" s="319"/>
      <c r="AB1019" s="220"/>
      <c r="AC1019" s="318"/>
      <c r="AD1019" s="319"/>
      <c r="AE1019" s="220"/>
      <c r="AF1019" s="320"/>
      <c r="AG1019" s="205"/>
      <c r="AH1019" s="205"/>
      <c r="AI1019" s="205"/>
      <c r="AJ1019" s="205"/>
      <c r="AK1019" s="205"/>
      <c r="AL1019" s="205"/>
      <c r="AM1019" s="205"/>
      <c r="AN1019" s="205"/>
      <c r="AO1019" s="205"/>
      <c r="AP1019" s="205"/>
      <c r="AQ1019" s="205"/>
      <c r="AR1019" s="205"/>
      <c r="AS1019" s="205"/>
      <c r="AT1019" s="205"/>
      <c r="AU1019" s="205"/>
      <c r="AV1019" s="205"/>
      <c r="AW1019" s="205"/>
      <c r="AX1019" s="205"/>
      <c r="AY1019" s="205"/>
      <c r="AZ1019" s="205"/>
      <c r="BA1019" s="205"/>
      <c r="BB1019" s="205"/>
      <c r="BC1019" s="205"/>
      <c r="BD1019" s="205"/>
      <c r="BE1019" s="205"/>
      <c r="BF1019" s="205"/>
      <c r="BG1019" s="205"/>
      <c r="BH1019" s="205"/>
      <c r="BI1019" s="319"/>
    </row>
    <row r="1020" spans="3:61" ht="15" customHeight="1">
      <c r="C1020" s="327"/>
      <c r="D1020" s="328"/>
      <c r="E1020" s="213"/>
      <c r="F1020" s="213"/>
      <c r="G1020" s="213"/>
      <c r="H1020" s="213"/>
      <c r="I1020" s="213"/>
      <c r="K1020" s="56"/>
      <c r="L1020" s="312"/>
      <c r="M1020" s="312"/>
      <c r="N1020" s="312"/>
      <c r="O1020" s="312"/>
      <c r="P1020" s="322" t="str">
        <f t="shared" si="47"/>
        <v/>
      </c>
      <c r="Q1020" s="208" t="str">
        <f t="shared" si="45"/>
        <v/>
      </c>
      <c r="R1020" s="175"/>
      <c r="S1020" s="323" t="str">
        <f t="shared" si="46"/>
        <v/>
      </c>
      <c r="U1020" s="322"/>
      <c r="V1020" s="791"/>
      <c r="W1020" s="792"/>
      <c r="X1020" s="480"/>
      <c r="Y1020" s="480"/>
      <c r="Z1020" s="480"/>
      <c r="AA1020" s="323"/>
      <c r="AB1020" s="220"/>
      <c r="AC1020" s="322"/>
      <c r="AD1020" s="323"/>
      <c r="AE1020" s="220"/>
      <c r="AF1020" s="324"/>
      <c r="AG1020" s="208"/>
      <c r="AH1020" s="208"/>
      <c r="AI1020" s="208"/>
      <c r="AJ1020" s="208"/>
      <c r="AK1020" s="208"/>
      <c r="AL1020" s="208"/>
      <c r="AM1020" s="208"/>
      <c r="AN1020" s="208"/>
      <c r="AO1020" s="208"/>
      <c r="AP1020" s="208"/>
      <c r="AQ1020" s="208"/>
      <c r="AR1020" s="208"/>
      <c r="AS1020" s="208"/>
      <c r="AT1020" s="208"/>
      <c r="AU1020" s="208"/>
      <c r="AV1020" s="208"/>
      <c r="AW1020" s="208"/>
      <c r="AX1020" s="208"/>
      <c r="AY1020" s="208"/>
      <c r="AZ1020" s="208"/>
      <c r="BA1020" s="208"/>
      <c r="BB1020" s="208"/>
      <c r="BC1020" s="208"/>
      <c r="BD1020" s="208"/>
      <c r="BE1020" s="208"/>
      <c r="BF1020" s="208"/>
      <c r="BG1020" s="208"/>
      <c r="BH1020" s="208"/>
      <c r="BI1020" s="323"/>
    </row>
    <row r="1021" spans="3:61" ht="15" customHeight="1">
      <c r="C1021" s="327"/>
      <c r="D1021" s="328"/>
      <c r="E1021" s="213"/>
      <c r="F1021" s="213"/>
      <c r="G1021" s="213"/>
      <c r="H1021" s="213"/>
      <c r="I1021" s="213"/>
      <c r="K1021" s="56"/>
      <c r="L1021" s="312"/>
      <c r="M1021" s="312"/>
      <c r="N1021" s="312"/>
      <c r="O1021" s="312"/>
      <c r="P1021" s="318" t="str">
        <f t="shared" si="47"/>
        <v/>
      </c>
      <c r="Q1021" s="205" t="str">
        <f t="shared" si="45"/>
        <v/>
      </c>
      <c r="R1021" s="176"/>
      <c r="S1021" s="319" t="str">
        <f t="shared" si="46"/>
        <v/>
      </c>
      <c r="U1021" s="318"/>
      <c r="V1021" s="794"/>
      <c r="W1021" s="795"/>
      <c r="X1021" s="482"/>
      <c r="Y1021" s="482"/>
      <c r="Z1021" s="482"/>
      <c r="AA1021" s="319"/>
      <c r="AB1021" s="220"/>
      <c r="AC1021" s="318"/>
      <c r="AD1021" s="319"/>
      <c r="AE1021" s="220"/>
      <c r="AF1021" s="320"/>
      <c r="AG1021" s="205"/>
      <c r="AH1021" s="205"/>
      <c r="AI1021" s="205"/>
      <c r="AJ1021" s="205"/>
      <c r="AK1021" s="205"/>
      <c r="AL1021" s="205"/>
      <c r="AM1021" s="205"/>
      <c r="AN1021" s="205"/>
      <c r="AO1021" s="205"/>
      <c r="AP1021" s="205"/>
      <c r="AQ1021" s="205"/>
      <c r="AR1021" s="205"/>
      <c r="AS1021" s="205"/>
      <c r="AT1021" s="205"/>
      <c r="AU1021" s="205"/>
      <c r="AV1021" s="205"/>
      <c r="AW1021" s="205"/>
      <c r="AX1021" s="205"/>
      <c r="AY1021" s="205"/>
      <c r="AZ1021" s="205"/>
      <c r="BA1021" s="205"/>
      <c r="BB1021" s="205"/>
      <c r="BC1021" s="205"/>
      <c r="BD1021" s="205"/>
      <c r="BE1021" s="205"/>
      <c r="BF1021" s="205"/>
      <c r="BG1021" s="205"/>
      <c r="BH1021" s="205"/>
      <c r="BI1021" s="319"/>
    </row>
    <row r="1022" spans="3:61" ht="15" customHeight="1">
      <c r="C1022" s="327"/>
      <c r="D1022" s="328"/>
      <c r="E1022" s="213"/>
      <c r="F1022" s="213"/>
      <c r="G1022" s="213"/>
      <c r="H1022" s="213"/>
      <c r="I1022" s="213"/>
      <c r="K1022" s="56"/>
      <c r="L1022" s="312"/>
      <c r="M1022" s="312"/>
      <c r="N1022" s="312"/>
      <c r="O1022" s="312"/>
      <c r="P1022" s="322" t="str">
        <f t="shared" si="47"/>
        <v/>
      </c>
      <c r="Q1022" s="208" t="str">
        <f t="shared" si="45"/>
        <v/>
      </c>
      <c r="R1022" s="175"/>
      <c r="S1022" s="323" t="str">
        <f t="shared" si="46"/>
        <v/>
      </c>
      <c r="U1022" s="322"/>
      <c r="V1022" s="791"/>
      <c r="W1022" s="792"/>
      <c r="X1022" s="480"/>
      <c r="Y1022" s="480"/>
      <c r="Z1022" s="480"/>
      <c r="AA1022" s="323"/>
      <c r="AB1022" s="220"/>
      <c r="AC1022" s="322"/>
      <c r="AD1022" s="323"/>
      <c r="AE1022" s="220"/>
      <c r="AF1022" s="324"/>
      <c r="AG1022" s="208"/>
      <c r="AH1022" s="208"/>
      <c r="AI1022" s="208"/>
      <c r="AJ1022" s="208"/>
      <c r="AK1022" s="208"/>
      <c r="AL1022" s="208"/>
      <c r="AM1022" s="208"/>
      <c r="AN1022" s="208"/>
      <c r="AO1022" s="208"/>
      <c r="AP1022" s="208"/>
      <c r="AQ1022" s="208"/>
      <c r="AR1022" s="208"/>
      <c r="AS1022" s="208"/>
      <c r="AT1022" s="208"/>
      <c r="AU1022" s="208"/>
      <c r="AV1022" s="208"/>
      <c r="AW1022" s="208"/>
      <c r="AX1022" s="208"/>
      <c r="AY1022" s="208"/>
      <c r="AZ1022" s="208"/>
      <c r="BA1022" s="208"/>
      <c r="BB1022" s="208"/>
      <c r="BC1022" s="208"/>
      <c r="BD1022" s="208"/>
      <c r="BE1022" s="208"/>
      <c r="BF1022" s="208"/>
      <c r="BG1022" s="208"/>
      <c r="BH1022" s="208"/>
      <c r="BI1022" s="323"/>
    </row>
    <row r="1023" spans="3:61" ht="15" customHeight="1">
      <c r="C1023" s="327"/>
      <c r="D1023" s="328"/>
      <c r="E1023" s="213"/>
      <c r="F1023" s="213"/>
      <c r="G1023" s="213"/>
      <c r="H1023" s="213"/>
      <c r="I1023" s="213"/>
      <c r="K1023" s="56"/>
      <c r="L1023" s="312"/>
      <c r="M1023" s="312"/>
      <c r="N1023" s="312"/>
      <c r="O1023" s="312"/>
      <c r="P1023" s="318" t="str">
        <f t="shared" si="47"/>
        <v/>
      </c>
      <c r="Q1023" s="205" t="str">
        <f t="shared" si="45"/>
        <v/>
      </c>
      <c r="R1023" s="176"/>
      <c r="S1023" s="319" t="str">
        <f t="shared" si="46"/>
        <v/>
      </c>
      <c r="U1023" s="318"/>
      <c r="V1023" s="794"/>
      <c r="W1023" s="795"/>
      <c r="X1023" s="482"/>
      <c r="Y1023" s="482"/>
      <c r="Z1023" s="482"/>
      <c r="AA1023" s="319"/>
      <c r="AB1023" s="220"/>
      <c r="AC1023" s="318"/>
      <c r="AD1023" s="319"/>
      <c r="AE1023" s="220"/>
      <c r="AF1023" s="320"/>
      <c r="AG1023" s="205"/>
      <c r="AH1023" s="205"/>
      <c r="AI1023" s="205"/>
      <c r="AJ1023" s="205"/>
      <c r="AK1023" s="205"/>
      <c r="AL1023" s="205"/>
      <c r="AM1023" s="205"/>
      <c r="AN1023" s="205"/>
      <c r="AO1023" s="205"/>
      <c r="AP1023" s="205"/>
      <c r="AQ1023" s="205"/>
      <c r="AR1023" s="205"/>
      <c r="AS1023" s="205"/>
      <c r="AT1023" s="205"/>
      <c r="AU1023" s="205"/>
      <c r="AV1023" s="205"/>
      <c r="AW1023" s="205"/>
      <c r="AX1023" s="205"/>
      <c r="AY1023" s="205"/>
      <c r="AZ1023" s="205"/>
      <c r="BA1023" s="205"/>
      <c r="BB1023" s="205"/>
      <c r="BC1023" s="205"/>
      <c r="BD1023" s="205"/>
      <c r="BE1023" s="205"/>
      <c r="BF1023" s="205"/>
      <c r="BG1023" s="205"/>
      <c r="BH1023" s="205"/>
      <c r="BI1023" s="319"/>
    </row>
    <row r="1024" spans="3:61" ht="15" customHeight="1">
      <c r="C1024" s="327"/>
      <c r="D1024" s="328"/>
      <c r="E1024" s="213"/>
      <c r="F1024" s="213"/>
      <c r="G1024" s="213"/>
      <c r="H1024" s="213"/>
      <c r="I1024" s="213"/>
      <c r="K1024" s="56"/>
      <c r="L1024" s="312"/>
      <c r="M1024" s="312"/>
      <c r="N1024" s="312"/>
      <c r="O1024" s="312"/>
      <c r="P1024" s="322" t="str">
        <f t="shared" si="47"/>
        <v/>
      </c>
      <c r="Q1024" s="208" t="str">
        <f t="shared" si="45"/>
        <v/>
      </c>
      <c r="R1024" s="175"/>
      <c r="S1024" s="323" t="str">
        <f t="shared" si="46"/>
        <v/>
      </c>
      <c r="U1024" s="322"/>
      <c r="V1024" s="791"/>
      <c r="W1024" s="792"/>
      <c r="X1024" s="480"/>
      <c r="Y1024" s="480"/>
      <c r="Z1024" s="480"/>
      <c r="AA1024" s="323"/>
      <c r="AB1024" s="220"/>
      <c r="AC1024" s="322"/>
      <c r="AD1024" s="323"/>
      <c r="AE1024" s="220"/>
      <c r="AF1024" s="324"/>
      <c r="AG1024" s="208"/>
      <c r="AH1024" s="208"/>
      <c r="AI1024" s="208"/>
      <c r="AJ1024" s="208"/>
      <c r="AK1024" s="208"/>
      <c r="AL1024" s="208"/>
      <c r="AM1024" s="208"/>
      <c r="AN1024" s="208"/>
      <c r="AO1024" s="208"/>
      <c r="AP1024" s="208"/>
      <c r="AQ1024" s="208"/>
      <c r="AR1024" s="208"/>
      <c r="AS1024" s="208"/>
      <c r="AT1024" s="208"/>
      <c r="AU1024" s="208"/>
      <c r="AV1024" s="208"/>
      <c r="AW1024" s="208"/>
      <c r="AX1024" s="208"/>
      <c r="AY1024" s="208"/>
      <c r="AZ1024" s="208"/>
      <c r="BA1024" s="208"/>
      <c r="BB1024" s="208"/>
      <c r="BC1024" s="208"/>
      <c r="BD1024" s="208"/>
      <c r="BE1024" s="208"/>
      <c r="BF1024" s="208"/>
      <c r="BG1024" s="208"/>
      <c r="BH1024" s="208"/>
      <c r="BI1024" s="323"/>
    </row>
    <row r="1025" spans="3:61" ht="15" customHeight="1">
      <c r="C1025" s="327"/>
      <c r="D1025" s="328"/>
      <c r="E1025" s="213"/>
      <c r="F1025" s="213"/>
      <c r="G1025" s="213"/>
      <c r="H1025" s="213"/>
      <c r="I1025" s="213"/>
      <c r="K1025" s="56"/>
      <c r="L1025" s="312"/>
      <c r="M1025" s="312"/>
      <c r="N1025" s="312"/>
      <c r="O1025" s="312"/>
      <c r="P1025" s="318" t="str">
        <f t="shared" si="47"/>
        <v/>
      </c>
      <c r="Q1025" s="205" t="str">
        <f t="shared" si="45"/>
        <v/>
      </c>
      <c r="R1025" s="176"/>
      <c r="S1025" s="319" t="str">
        <f t="shared" si="46"/>
        <v/>
      </c>
      <c r="U1025" s="318"/>
      <c r="V1025" s="794"/>
      <c r="W1025" s="795"/>
      <c r="X1025" s="482"/>
      <c r="Y1025" s="482"/>
      <c r="Z1025" s="482"/>
      <c r="AA1025" s="319"/>
      <c r="AB1025" s="220"/>
      <c r="AC1025" s="318"/>
      <c r="AD1025" s="319"/>
      <c r="AE1025" s="220"/>
      <c r="AF1025" s="320"/>
      <c r="AG1025" s="205"/>
      <c r="AH1025" s="205"/>
      <c r="AI1025" s="205"/>
      <c r="AJ1025" s="205"/>
      <c r="AK1025" s="205"/>
      <c r="AL1025" s="205"/>
      <c r="AM1025" s="205"/>
      <c r="AN1025" s="205"/>
      <c r="AO1025" s="205"/>
      <c r="AP1025" s="205"/>
      <c r="AQ1025" s="205"/>
      <c r="AR1025" s="205"/>
      <c r="AS1025" s="205"/>
      <c r="AT1025" s="205"/>
      <c r="AU1025" s="205"/>
      <c r="AV1025" s="205"/>
      <c r="AW1025" s="205"/>
      <c r="AX1025" s="205"/>
      <c r="AY1025" s="205"/>
      <c r="AZ1025" s="205"/>
      <c r="BA1025" s="205"/>
      <c r="BB1025" s="205"/>
      <c r="BC1025" s="205"/>
      <c r="BD1025" s="205"/>
      <c r="BE1025" s="205"/>
      <c r="BF1025" s="205"/>
      <c r="BG1025" s="205"/>
      <c r="BH1025" s="205"/>
      <c r="BI1025" s="319"/>
    </row>
    <row r="1026" spans="3:61" ht="15" customHeight="1">
      <c r="C1026" s="327"/>
      <c r="D1026" s="328"/>
      <c r="E1026" s="213"/>
      <c r="F1026" s="213"/>
      <c r="G1026" s="213"/>
      <c r="H1026" s="213"/>
      <c r="I1026" s="213"/>
      <c r="K1026" s="56"/>
      <c r="L1026" s="312"/>
      <c r="M1026" s="312"/>
      <c r="N1026" s="312"/>
      <c r="O1026" s="312"/>
      <c r="P1026" s="322" t="str">
        <f t="shared" si="47"/>
        <v/>
      </c>
      <c r="Q1026" s="208" t="str">
        <f t="shared" si="45"/>
        <v/>
      </c>
      <c r="R1026" s="175"/>
      <c r="S1026" s="323" t="str">
        <f t="shared" si="46"/>
        <v/>
      </c>
      <c r="U1026" s="322"/>
      <c r="V1026" s="791"/>
      <c r="W1026" s="792"/>
      <c r="X1026" s="480"/>
      <c r="Y1026" s="480"/>
      <c r="Z1026" s="480"/>
      <c r="AA1026" s="323"/>
      <c r="AB1026" s="220"/>
      <c r="AC1026" s="322"/>
      <c r="AD1026" s="323"/>
      <c r="AE1026" s="220"/>
      <c r="AF1026" s="324"/>
      <c r="AG1026" s="208"/>
      <c r="AH1026" s="208"/>
      <c r="AI1026" s="208"/>
      <c r="AJ1026" s="208"/>
      <c r="AK1026" s="208"/>
      <c r="AL1026" s="208"/>
      <c r="AM1026" s="208"/>
      <c r="AN1026" s="208"/>
      <c r="AO1026" s="208"/>
      <c r="AP1026" s="208"/>
      <c r="AQ1026" s="208"/>
      <c r="AR1026" s="208"/>
      <c r="AS1026" s="208"/>
      <c r="AT1026" s="208"/>
      <c r="AU1026" s="208"/>
      <c r="AV1026" s="208"/>
      <c r="AW1026" s="208"/>
      <c r="AX1026" s="208"/>
      <c r="AY1026" s="208"/>
      <c r="AZ1026" s="208"/>
      <c r="BA1026" s="208"/>
      <c r="BB1026" s="208"/>
      <c r="BC1026" s="208"/>
      <c r="BD1026" s="208"/>
      <c r="BE1026" s="208"/>
      <c r="BF1026" s="208"/>
      <c r="BG1026" s="208"/>
      <c r="BH1026" s="208"/>
      <c r="BI1026" s="323"/>
    </row>
    <row r="1027" spans="3:61" ht="15" customHeight="1">
      <c r="C1027" s="327"/>
      <c r="D1027" s="328"/>
      <c r="E1027" s="213"/>
      <c r="F1027" s="213"/>
      <c r="G1027" s="213"/>
      <c r="H1027" s="213"/>
      <c r="I1027" s="213"/>
      <c r="K1027" s="56"/>
      <c r="L1027" s="312"/>
      <c r="M1027" s="312"/>
      <c r="N1027" s="312"/>
      <c r="O1027" s="312"/>
      <c r="P1027" s="318" t="str">
        <f t="shared" si="47"/>
        <v/>
      </c>
      <c r="Q1027" s="205" t="str">
        <f t="shared" si="45"/>
        <v/>
      </c>
      <c r="R1027" s="176"/>
      <c r="S1027" s="319" t="str">
        <f t="shared" si="46"/>
        <v/>
      </c>
      <c r="U1027" s="318"/>
      <c r="V1027" s="794"/>
      <c r="W1027" s="795"/>
      <c r="X1027" s="482"/>
      <c r="Y1027" s="482"/>
      <c r="Z1027" s="482"/>
      <c r="AA1027" s="319"/>
      <c r="AB1027" s="220"/>
      <c r="AC1027" s="318"/>
      <c r="AD1027" s="319"/>
      <c r="AE1027" s="220"/>
      <c r="AF1027" s="320"/>
      <c r="AG1027" s="205"/>
      <c r="AH1027" s="205"/>
      <c r="AI1027" s="205"/>
      <c r="AJ1027" s="205"/>
      <c r="AK1027" s="205"/>
      <c r="AL1027" s="205"/>
      <c r="AM1027" s="205"/>
      <c r="AN1027" s="205"/>
      <c r="AO1027" s="205"/>
      <c r="AP1027" s="205"/>
      <c r="AQ1027" s="205"/>
      <c r="AR1027" s="205"/>
      <c r="AS1027" s="205"/>
      <c r="AT1027" s="205"/>
      <c r="AU1027" s="205"/>
      <c r="AV1027" s="205"/>
      <c r="AW1027" s="205"/>
      <c r="AX1027" s="205"/>
      <c r="AY1027" s="205"/>
      <c r="AZ1027" s="205"/>
      <c r="BA1027" s="205"/>
      <c r="BB1027" s="205"/>
      <c r="BC1027" s="205"/>
      <c r="BD1027" s="205"/>
      <c r="BE1027" s="205"/>
      <c r="BF1027" s="205"/>
      <c r="BG1027" s="205"/>
      <c r="BH1027" s="205"/>
      <c r="BI1027" s="319"/>
    </row>
    <row r="1028" spans="3:61" ht="15" customHeight="1">
      <c r="C1028" s="327"/>
      <c r="D1028" s="328"/>
      <c r="E1028" s="213"/>
      <c r="F1028" s="213"/>
      <c r="G1028" s="213"/>
      <c r="H1028" s="213"/>
      <c r="I1028" s="213"/>
      <c r="K1028" s="56"/>
      <c r="L1028" s="312"/>
      <c r="M1028" s="312"/>
      <c r="N1028" s="312"/>
      <c r="O1028" s="312"/>
      <c r="P1028" s="322" t="str">
        <f t="shared" si="47"/>
        <v/>
      </c>
      <c r="Q1028" s="208" t="str">
        <f t="shared" si="45"/>
        <v/>
      </c>
      <c r="R1028" s="175"/>
      <c r="S1028" s="323" t="str">
        <f t="shared" si="46"/>
        <v/>
      </c>
      <c r="U1028" s="322"/>
      <c r="V1028" s="791"/>
      <c r="W1028" s="792"/>
      <c r="X1028" s="480"/>
      <c r="Y1028" s="480"/>
      <c r="Z1028" s="480"/>
      <c r="AA1028" s="323"/>
      <c r="AB1028" s="220"/>
      <c r="AC1028" s="322"/>
      <c r="AD1028" s="323"/>
      <c r="AE1028" s="220"/>
      <c r="AF1028" s="324"/>
      <c r="AG1028" s="208"/>
      <c r="AH1028" s="208"/>
      <c r="AI1028" s="208"/>
      <c r="AJ1028" s="208"/>
      <c r="AK1028" s="208"/>
      <c r="AL1028" s="208"/>
      <c r="AM1028" s="208"/>
      <c r="AN1028" s="208"/>
      <c r="AO1028" s="208"/>
      <c r="AP1028" s="208"/>
      <c r="AQ1028" s="208"/>
      <c r="AR1028" s="208"/>
      <c r="AS1028" s="208"/>
      <c r="AT1028" s="208"/>
      <c r="AU1028" s="208"/>
      <c r="AV1028" s="208"/>
      <c r="AW1028" s="208"/>
      <c r="AX1028" s="208"/>
      <c r="AY1028" s="208"/>
      <c r="AZ1028" s="208"/>
      <c r="BA1028" s="208"/>
      <c r="BB1028" s="208"/>
      <c r="BC1028" s="208"/>
      <c r="BD1028" s="208"/>
      <c r="BE1028" s="208"/>
      <c r="BF1028" s="208"/>
      <c r="BG1028" s="208"/>
      <c r="BH1028" s="208"/>
      <c r="BI1028" s="323"/>
    </row>
    <row r="1029" spans="3:61" ht="15" customHeight="1">
      <c r="C1029" s="327"/>
      <c r="D1029" s="328"/>
      <c r="E1029" s="213"/>
      <c r="F1029" s="213"/>
      <c r="G1029" s="213"/>
      <c r="H1029" s="213"/>
      <c r="I1029" s="213"/>
      <c r="K1029" s="56"/>
      <c r="L1029" s="312"/>
      <c r="M1029" s="312"/>
      <c r="N1029" s="312"/>
      <c r="O1029" s="312"/>
      <c r="P1029" s="318" t="str">
        <f t="shared" si="47"/>
        <v/>
      </c>
      <c r="Q1029" s="205" t="str">
        <f t="shared" si="45"/>
        <v/>
      </c>
      <c r="R1029" s="176"/>
      <c r="S1029" s="319" t="str">
        <f t="shared" si="46"/>
        <v/>
      </c>
      <c r="U1029" s="318"/>
      <c r="V1029" s="794"/>
      <c r="W1029" s="795"/>
      <c r="X1029" s="482"/>
      <c r="Y1029" s="482"/>
      <c r="Z1029" s="482"/>
      <c r="AA1029" s="319"/>
      <c r="AB1029" s="220"/>
      <c r="AC1029" s="318"/>
      <c r="AD1029" s="319"/>
      <c r="AE1029" s="220"/>
      <c r="AF1029" s="320"/>
      <c r="AG1029" s="205"/>
      <c r="AH1029" s="205"/>
      <c r="AI1029" s="205"/>
      <c r="AJ1029" s="205"/>
      <c r="AK1029" s="205"/>
      <c r="AL1029" s="205"/>
      <c r="AM1029" s="205"/>
      <c r="AN1029" s="205"/>
      <c r="AO1029" s="205"/>
      <c r="AP1029" s="205"/>
      <c r="AQ1029" s="205"/>
      <c r="AR1029" s="205"/>
      <c r="AS1029" s="205"/>
      <c r="AT1029" s="205"/>
      <c r="AU1029" s="205"/>
      <c r="AV1029" s="205"/>
      <c r="AW1029" s="205"/>
      <c r="AX1029" s="205"/>
      <c r="AY1029" s="205"/>
      <c r="AZ1029" s="205"/>
      <c r="BA1029" s="205"/>
      <c r="BB1029" s="205"/>
      <c r="BC1029" s="205"/>
      <c r="BD1029" s="205"/>
      <c r="BE1029" s="205"/>
      <c r="BF1029" s="205"/>
      <c r="BG1029" s="205"/>
      <c r="BH1029" s="205"/>
      <c r="BI1029" s="319"/>
    </row>
    <row r="1030" spans="3:61" ht="15" customHeight="1">
      <c r="C1030" s="327"/>
      <c r="D1030" s="328"/>
      <c r="E1030" s="213"/>
      <c r="F1030" s="213"/>
      <c r="G1030" s="213"/>
      <c r="H1030" s="213"/>
      <c r="I1030" s="213"/>
      <c r="K1030" s="56"/>
      <c r="L1030" s="312"/>
      <c r="M1030" s="312"/>
      <c r="N1030" s="312"/>
      <c r="O1030" s="312"/>
      <c r="P1030" s="322" t="str">
        <f t="shared" si="47"/>
        <v/>
      </c>
      <c r="Q1030" s="208" t="str">
        <f t="shared" si="45"/>
        <v/>
      </c>
      <c r="R1030" s="175"/>
      <c r="S1030" s="323" t="str">
        <f t="shared" si="46"/>
        <v/>
      </c>
      <c r="U1030" s="322"/>
      <c r="V1030" s="791"/>
      <c r="W1030" s="792"/>
      <c r="X1030" s="480"/>
      <c r="Y1030" s="480"/>
      <c r="Z1030" s="480"/>
      <c r="AA1030" s="323"/>
      <c r="AB1030" s="220"/>
      <c r="AC1030" s="322"/>
      <c r="AD1030" s="323"/>
      <c r="AE1030" s="220"/>
      <c r="AF1030" s="324"/>
      <c r="AG1030" s="208"/>
      <c r="AH1030" s="208"/>
      <c r="AI1030" s="208"/>
      <c r="AJ1030" s="208"/>
      <c r="AK1030" s="208"/>
      <c r="AL1030" s="208"/>
      <c r="AM1030" s="208"/>
      <c r="AN1030" s="208"/>
      <c r="AO1030" s="208"/>
      <c r="AP1030" s="208"/>
      <c r="AQ1030" s="208"/>
      <c r="AR1030" s="208"/>
      <c r="AS1030" s="208"/>
      <c r="AT1030" s="208"/>
      <c r="AU1030" s="208"/>
      <c r="AV1030" s="208"/>
      <c r="AW1030" s="208"/>
      <c r="AX1030" s="208"/>
      <c r="AY1030" s="208"/>
      <c r="AZ1030" s="208"/>
      <c r="BA1030" s="208"/>
      <c r="BB1030" s="208"/>
      <c r="BC1030" s="208"/>
      <c r="BD1030" s="208"/>
      <c r="BE1030" s="208"/>
      <c r="BF1030" s="208"/>
      <c r="BG1030" s="208"/>
      <c r="BH1030" s="208"/>
      <c r="BI1030" s="323"/>
    </row>
    <row r="1031" spans="3:61" ht="15" customHeight="1">
      <c r="C1031" s="327"/>
      <c r="D1031" s="328"/>
      <c r="E1031" s="213"/>
      <c r="F1031" s="213"/>
      <c r="G1031" s="213"/>
      <c r="H1031" s="213"/>
      <c r="I1031" s="213"/>
      <c r="K1031" s="56"/>
      <c r="L1031" s="312"/>
      <c r="M1031" s="312"/>
      <c r="N1031" s="312"/>
      <c r="O1031" s="312"/>
      <c r="P1031" s="318" t="str">
        <f t="shared" si="47"/>
        <v/>
      </c>
      <c r="Q1031" s="205" t="str">
        <f t="shared" si="45"/>
        <v/>
      </c>
      <c r="R1031" s="176"/>
      <c r="S1031" s="319" t="str">
        <f t="shared" si="46"/>
        <v/>
      </c>
      <c r="U1031" s="318"/>
      <c r="V1031" s="794"/>
      <c r="W1031" s="795"/>
      <c r="X1031" s="482"/>
      <c r="Y1031" s="482"/>
      <c r="Z1031" s="482"/>
      <c r="AA1031" s="319"/>
      <c r="AB1031" s="220"/>
      <c r="AC1031" s="318"/>
      <c r="AD1031" s="319"/>
      <c r="AE1031" s="220"/>
      <c r="AF1031" s="320"/>
      <c r="AG1031" s="205"/>
      <c r="AH1031" s="205"/>
      <c r="AI1031" s="205"/>
      <c r="AJ1031" s="205"/>
      <c r="AK1031" s="205"/>
      <c r="AL1031" s="205"/>
      <c r="AM1031" s="205"/>
      <c r="AN1031" s="205"/>
      <c r="AO1031" s="205"/>
      <c r="AP1031" s="205"/>
      <c r="AQ1031" s="205"/>
      <c r="AR1031" s="205"/>
      <c r="AS1031" s="205"/>
      <c r="AT1031" s="205"/>
      <c r="AU1031" s="205"/>
      <c r="AV1031" s="205"/>
      <c r="AW1031" s="205"/>
      <c r="AX1031" s="205"/>
      <c r="AY1031" s="205"/>
      <c r="AZ1031" s="205"/>
      <c r="BA1031" s="205"/>
      <c r="BB1031" s="205"/>
      <c r="BC1031" s="205"/>
      <c r="BD1031" s="205"/>
      <c r="BE1031" s="205"/>
      <c r="BF1031" s="205"/>
      <c r="BG1031" s="205"/>
      <c r="BH1031" s="205"/>
      <c r="BI1031" s="319"/>
    </row>
    <row r="1032" spans="3:61" ht="15" customHeight="1">
      <c r="C1032" s="327"/>
      <c r="D1032" s="328"/>
      <c r="E1032" s="213"/>
      <c r="F1032" s="213"/>
      <c r="G1032" s="213"/>
      <c r="H1032" s="213"/>
      <c r="I1032" s="213"/>
      <c r="K1032" s="56"/>
      <c r="L1032" s="312"/>
      <c r="M1032" s="312"/>
      <c r="N1032" s="312"/>
      <c r="O1032" s="312"/>
      <c r="P1032" s="322" t="str">
        <f t="shared" si="47"/>
        <v/>
      </c>
      <c r="Q1032" s="208" t="str">
        <f t="shared" si="45"/>
        <v/>
      </c>
      <c r="R1032" s="175"/>
      <c r="S1032" s="323" t="str">
        <f t="shared" si="46"/>
        <v/>
      </c>
      <c r="U1032" s="322"/>
      <c r="V1032" s="791"/>
      <c r="W1032" s="792"/>
      <c r="X1032" s="480"/>
      <c r="Y1032" s="480"/>
      <c r="Z1032" s="480"/>
      <c r="AA1032" s="323"/>
      <c r="AB1032" s="220"/>
      <c r="AC1032" s="322"/>
      <c r="AD1032" s="323"/>
      <c r="AE1032" s="220"/>
      <c r="AF1032" s="324"/>
      <c r="AG1032" s="208"/>
      <c r="AH1032" s="208"/>
      <c r="AI1032" s="208"/>
      <c r="AJ1032" s="208"/>
      <c r="AK1032" s="208"/>
      <c r="AL1032" s="208"/>
      <c r="AM1032" s="208"/>
      <c r="AN1032" s="208"/>
      <c r="AO1032" s="208"/>
      <c r="AP1032" s="208"/>
      <c r="AQ1032" s="208"/>
      <c r="AR1032" s="208"/>
      <c r="AS1032" s="208"/>
      <c r="AT1032" s="208"/>
      <c r="AU1032" s="208"/>
      <c r="AV1032" s="208"/>
      <c r="AW1032" s="208"/>
      <c r="AX1032" s="208"/>
      <c r="AY1032" s="208"/>
      <c r="AZ1032" s="208"/>
      <c r="BA1032" s="208"/>
      <c r="BB1032" s="208"/>
      <c r="BC1032" s="208"/>
      <c r="BD1032" s="208"/>
      <c r="BE1032" s="208"/>
      <c r="BF1032" s="208"/>
      <c r="BG1032" s="208"/>
      <c r="BH1032" s="208"/>
      <c r="BI1032" s="323"/>
    </row>
    <row r="1033" spans="3:61" ht="15" customHeight="1">
      <c r="C1033" s="327"/>
      <c r="D1033" s="328"/>
      <c r="E1033" s="213"/>
      <c r="F1033" s="213"/>
      <c r="G1033" s="213"/>
      <c r="H1033" s="213"/>
      <c r="I1033" s="213"/>
      <c r="K1033" s="56"/>
      <c r="L1033" s="312"/>
      <c r="M1033" s="312"/>
      <c r="N1033" s="312"/>
      <c r="O1033" s="312"/>
      <c r="P1033" s="318" t="str">
        <f t="shared" si="47"/>
        <v/>
      </c>
      <c r="Q1033" s="205" t="str">
        <f t="shared" si="45"/>
        <v/>
      </c>
      <c r="R1033" s="176"/>
      <c r="S1033" s="319" t="str">
        <f t="shared" si="46"/>
        <v/>
      </c>
      <c r="U1033" s="318"/>
      <c r="V1033" s="794"/>
      <c r="W1033" s="795"/>
      <c r="X1033" s="482"/>
      <c r="Y1033" s="482"/>
      <c r="Z1033" s="482"/>
      <c r="AA1033" s="319"/>
      <c r="AB1033" s="220"/>
      <c r="AC1033" s="318"/>
      <c r="AD1033" s="319"/>
      <c r="AE1033" s="220"/>
      <c r="AF1033" s="320"/>
      <c r="AG1033" s="205"/>
      <c r="AH1033" s="205"/>
      <c r="AI1033" s="205"/>
      <c r="AJ1033" s="205"/>
      <c r="AK1033" s="205"/>
      <c r="AL1033" s="205"/>
      <c r="AM1033" s="205"/>
      <c r="AN1033" s="205"/>
      <c r="AO1033" s="205"/>
      <c r="AP1033" s="205"/>
      <c r="AQ1033" s="205"/>
      <c r="AR1033" s="205"/>
      <c r="AS1033" s="205"/>
      <c r="AT1033" s="205"/>
      <c r="AU1033" s="205"/>
      <c r="AV1033" s="205"/>
      <c r="AW1033" s="205"/>
      <c r="AX1033" s="205"/>
      <c r="AY1033" s="205"/>
      <c r="AZ1033" s="205"/>
      <c r="BA1033" s="205"/>
      <c r="BB1033" s="205"/>
      <c r="BC1033" s="205"/>
      <c r="BD1033" s="205"/>
      <c r="BE1033" s="205"/>
      <c r="BF1033" s="205"/>
      <c r="BG1033" s="205"/>
      <c r="BH1033" s="205"/>
      <c r="BI1033" s="319"/>
    </row>
    <row r="1034" spans="3:61" ht="15" customHeight="1">
      <c r="C1034" s="327"/>
      <c r="D1034" s="328"/>
      <c r="E1034" s="213"/>
      <c r="F1034" s="213"/>
      <c r="G1034" s="213"/>
      <c r="H1034" s="213"/>
      <c r="I1034" s="213"/>
      <c r="K1034" s="56"/>
      <c r="L1034" s="312"/>
      <c r="M1034" s="312"/>
      <c r="N1034" s="312"/>
      <c r="O1034" s="312"/>
      <c r="P1034" s="322" t="str">
        <f t="shared" si="47"/>
        <v/>
      </c>
      <c r="Q1034" s="208" t="str">
        <f t="shared" si="45"/>
        <v/>
      </c>
      <c r="R1034" s="175"/>
      <c r="S1034" s="323" t="str">
        <f t="shared" si="46"/>
        <v/>
      </c>
      <c r="U1034" s="322"/>
      <c r="V1034" s="791"/>
      <c r="W1034" s="792"/>
      <c r="X1034" s="480"/>
      <c r="Y1034" s="480"/>
      <c r="Z1034" s="480"/>
      <c r="AA1034" s="323"/>
      <c r="AB1034" s="220"/>
      <c r="AC1034" s="322"/>
      <c r="AD1034" s="323"/>
      <c r="AE1034" s="220"/>
      <c r="AF1034" s="324"/>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323"/>
    </row>
    <row r="1035" spans="3:61" ht="15" customHeight="1">
      <c r="C1035" s="327"/>
      <c r="D1035" s="328"/>
      <c r="E1035" s="213"/>
      <c r="F1035" s="213"/>
      <c r="G1035" s="213"/>
      <c r="H1035" s="213"/>
      <c r="I1035" s="213"/>
      <c r="K1035" s="56"/>
      <c r="L1035" s="312"/>
      <c r="M1035" s="312"/>
      <c r="N1035" s="312"/>
      <c r="O1035" s="312"/>
      <c r="P1035" s="318" t="str">
        <f t="shared" si="47"/>
        <v/>
      </c>
      <c r="Q1035" s="205" t="str">
        <f t="shared" ref="Q1035:Q1098" si="48">IF($AA1035 = "", "", $AA1035/$AA$10*100)</f>
        <v/>
      </c>
      <c r="R1035" s="176"/>
      <c r="S1035" s="319" t="str">
        <f t="shared" ref="S1035:S1098" si="49">IF($AD1035 = "", "", $AD1035/$AD$10*100)</f>
        <v/>
      </c>
      <c r="U1035" s="318"/>
      <c r="V1035" s="794"/>
      <c r="W1035" s="795"/>
      <c r="X1035" s="482"/>
      <c r="Y1035" s="482"/>
      <c r="Z1035" s="482"/>
      <c r="AA1035" s="319"/>
      <c r="AB1035" s="220"/>
      <c r="AC1035" s="318"/>
      <c r="AD1035" s="319"/>
      <c r="AE1035" s="220"/>
      <c r="AF1035" s="320"/>
      <c r="AG1035" s="205"/>
      <c r="AH1035" s="205"/>
      <c r="AI1035" s="205"/>
      <c r="AJ1035" s="205"/>
      <c r="AK1035" s="205"/>
      <c r="AL1035" s="205"/>
      <c r="AM1035" s="205"/>
      <c r="AN1035" s="205"/>
      <c r="AO1035" s="205"/>
      <c r="AP1035" s="205"/>
      <c r="AQ1035" s="205"/>
      <c r="AR1035" s="205"/>
      <c r="AS1035" s="205"/>
      <c r="AT1035" s="205"/>
      <c r="AU1035" s="205"/>
      <c r="AV1035" s="205"/>
      <c r="AW1035" s="205"/>
      <c r="AX1035" s="205"/>
      <c r="AY1035" s="205"/>
      <c r="AZ1035" s="205"/>
      <c r="BA1035" s="205"/>
      <c r="BB1035" s="205"/>
      <c r="BC1035" s="205"/>
      <c r="BD1035" s="205"/>
      <c r="BE1035" s="205"/>
      <c r="BF1035" s="205"/>
      <c r="BG1035" s="205"/>
      <c r="BH1035" s="205"/>
      <c r="BI1035" s="319"/>
    </row>
    <row r="1036" spans="3:61" ht="15" customHeight="1">
      <c r="C1036" s="327"/>
      <c r="D1036" s="328"/>
      <c r="E1036" s="213"/>
      <c r="F1036" s="213"/>
      <c r="G1036" s="213"/>
      <c r="H1036" s="213"/>
      <c r="I1036" s="213"/>
      <c r="K1036" s="56"/>
      <c r="L1036" s="312"/>
      <c r="M1036" s="312"/>
      <c r="N1036" s="312"/>
      <c r="O1036" s="312"/>
      <c r="P1036" s="322" t="str">
        <f t="shared" ref="P1036:P1099" si="50">IF(U1036="", "", U1036)</f>
        <v/>
      </c>
      <c r="Q1036" s="208" t="str">
        <f t="shared" si="48"/>
        <v/>
      </c>
      <c r="R1036" s="175"/>
      <c r="S1036" s="323" t="str">
        <f t="shared" si="49"/>
        <v/>
      </c>
      <c r="U1036" s="322"/>
      <c r="V1036" s="791"/>
      <c r="W1036" s="792"/>
      <c r="X1036" s="480"/>
      <c r="Y1036" s="480"/>
      <c r="Z1036" s="480"/>
      <c r="AA1036" s="323"/>
      <c r="AB1036" s="220"/>
      <c r="AC1036" s="322"/>
      <c r="AD1036" s="323"/>
      <c r="AE1036" s="220"/>
      <c r="AF1036" s="324"/>
      <c r="AG1036" s="208"/>
      <c r="AH1036" s="208"/>
      <c r="AI1036" s="208"/>
      <c r="AJ1036" s="208"/>
      <c r="AK1036" s="208"/>
      <c r="AL1036" s="208"/>
      <c r="AM1036" s="208"/>
      <c r="AN1036" s="208"/>
      <c r="AO1036" s="208"/>
      <c r="AP1036" s="208"/>
      <c r="AQ1036" s="208"/>
      <c r="AR1036" s="208"/>
      <c r="AS1036" s="208"/>
      <c r="AT1036" s="208"/>
      <c r="AU1036" s="208"/>
      <c r="AV1036" s="208"/>
      <c r="AW1036" s="208"/>
      <c r="AX1036" s="208"/>
      <c r="AY1036" s="208"/>
      <c r="AZ1036" s="208"/>
      <c r="BA1036" s="208"/>
      <c r="BB1036" s="208"/>
      <c r="BC1036" s="208"/>
      <c r="BD1036" s="208"/>
      <c r="BE1036" s="208"/>
      <c r="BF1036" s="208"/>
      <c r="BG1036" s="208"/>
      <c r="BH1036" s="208"/>
      <c r="BI1036" s="323"/>
    </row>
    <row r="1037" spans="3:61" ht="15" customHeight="1">
      <c r="C1037" s="327"/>
      <c r="D1037" s="328"/>
      <c r="E1037" s="213"/>
      <c r="F1037" s="213"/>
      <c r="G1037" s="213"/>
      <c r="H1037" s="213"/>
      <c r="I1037" s="213"/>
      <c r="K1037" s="56"/>
      <c r="L1037" s="312"/>
      <c r="M1037" s="312"/>
      <c r="N1037" s="312"/>
      <c r="O1037" s="312"/>
      <c r="P1037" s="318" t="str">
        <f t="shared" si="50"/>
        <v/>
      </c>
      <c r="Q1037" s="205" t="str">
        <f t="shared" si="48"/>
        <v/>
      </c>
      <c r="R1037" s="176"/>
      <c r="S1037" s="319" t="str">
        <f t="shared" si="49"/>
        <v/>
      </c>
      <c r="U1037" s="318"/>
      <c r="V1037" s="794"/>
      <c r="W1037" s="795"/>
      <c r="X1037" s="482"/>
      <c r="Y1037" s="482"/>
      <c r="Z1037" s="482"/>
      <c r="AA1037" s="319"/>
      <c r="AB1037" s="220"/>
      <c r="AC1037" s="318"/>
      <c r="AD1037" s="319"/>
      <c r="AE1037" s="220"/>
      <c r="AF1037" s="320"/>
      <c r="AG1037" s="205"/>
      <c r="AH1037" s="205"/>
      <c r="AI1037" s="205"/>
      <c r="AJ1037" s="205"/>
      <c r="AK1037" s="205"/>
      <c r="AL1037" s="205"/>
      <c r="AM1037" s="205"/>
      <c r="AN1037" s="205"/>
      <c r="AO1037" s="205"/>
      <c r="AP1037" s="205"/>
      <c r="AQ1037" s="205"/>
      <c r="AR1037" s="205"/>
      <c r="AS1037" s="205"/>
      <c r="AT1037" s="205"/>
      <c r="AU1037" s="205"/>
      <c r="AV1037" s="205"/>
      <c r="AW1037" s="205"/>
      <c r="AX1037" s="205"/>
      <c r="AY1037" s="205"/>
      <c r="AZ1037" s="205"/>
      <c r="BA1037" s="205"/>
      <c r="BB1037" s="205"/>
      <c r="BC1037" s="205"/>
      <c r="BD1037" s="205"/>
      <c r="BE1037" s="205"/>
      <c r="BF1037" s="205"/>
      <c r="BG1037" s="205"/>
      <c r="BH1037" s="205"/>
      <c r="BI1037" s="319"/>
    </row>
    <row r="1038" spans="3:61" ht="15" customHeight="1">
      <c r="C1038" s="327"/>
      <c r="D1038" s="328"/>
      <c r="E1038" s="213"/>
      <c r="F1038" s="213"/>
      <c r="G1038" s="213"/>
      <c r="H1038" s="213"/>
      <c r="I1038" s="213"/>
      <c r="K1038" s="56"/>
      <c r="L1038" s="312"/>
      <c r="M1038" s="312"/>
      <c r="N1038" s="312"/>
      <c r="O1038" s="312"/>
      <c r="P1038" s="322" t="str">
        <f t="shared" si="50"/>
        <v/>
      </c>
      <c r="Q1038" s="208" t="str">
        <f t="shared" si="48"/>
        <v/>
      </c>
      <c r="R1038" s="175"/>
      <c r="S1038" s="323" t="str">
        <f t="shared" si="49"/>
        <v/>
      </c>
      <c r="U1038" s="322"/>
      <c r="V1038" s="791"/>
      <c r="W1038" s="792"/>
      <c r="X1038" s="480"/>
      <c r="Y1038" s="480"/>
      <c r="Z1038" s="480"/>
      <c r="AA1038" s="323"/>
      <c r="AB1038" s="220"/>
      <c r="AC1038" s="322"/>
      <c r="AD1038" s="323"/>
      <c r="AE1038" s="220"/>
      <c r="AF1038" s="324"/>
      <c r="AG1038" s="208"/>
      <c r="AH1038" s="208"/>
      <c r="AI1038" s="208"/>
      <c r="AJ1038" s="208"/>
      <c r="AK1038" s="208"/>
      <c r="AL1038" s="208"/>
      <c r="AM1038" s="208"/>
      <c r="AN1038" s="208"/>
      <c r="AO1038" s="208"/>
      <c r="AP1038" s="208"/>
      <c r="AQ1038" s="208"/>
      <c r="AR1038" s="208"/>
      <c r="AS1038" s="208"/>
      <c r="AT1038" s="208"/>
      <c r="AU1038" s="208"/>
      <c r="AV1038" s="208"/>
      <c r="AW1038" s="208"/>
      <c r="AX1038" s="208"/>
      <c r="AY1038" s="208"/>
      <c r="AZ1038" s="208"/>
      <c r="BA1038" s="208"/>
      <c r="BB1038" s="208"/>
      <c r="BC1038" s="208"/>
      <c r="BD1038" s="208"/>
      <c r="BE1038" s="208"/>
      <c r="BF1038" s="208"/>
      <c r="BG1038" s="208"/>
      <c r="BH1038" s="208"/>
      <c r="BI1038" s="323"/>
    </row>
    <row r="1039" spans="3:61" ht="15" customHeight="1">
      <c r="C1039" s="327"/>
      <c r="D1039" s="328"/>
      <c r="E1039" s="213"/>
      <c r="F1039" s="213"/>
      <c r="G1039" s="213"/>
      <c r="H1039" s="213"/>
      <c r="I1039" s="213"/>
      <c r="K1039" s="56"/>
      <c r="L1039" s="312"/>
      <c r="M1039" s="312"/>
      <c r="N1039" s="312"/>
      <c r="O1039" s="312"/>
      <c r="P1039" s="318" t="str">
        <f t="shared" si="50"/>
        <v/>
      </c>
      <c r="Q1039" s="205" t="str">
        <f t="shared" si="48"/>
        <v/>
      </c>
      <c r="R1039" s="176"/>
      <c r="S1039" s="319" t="str">
        <f t="shared" si="49"/>
        <v/>
      </c>
      <c r="U1039" s="318"/>
      <c r="V1039" s="794"/>
      <c r="W1039" s="795"/>
      <c r="X1039" s="482"/>
      <c r="Y1039" s="482"/>
      <c r="Z1039" s="482"/>
      <c r="AA1039" s="319"/>
      <c r="AB1039" s="220"/>
      <c r="AC1039" s="318"/>
      <c r="AD1039" s="319"/>
      <c r="AE1039" s="220"/>
      <c r="AF1039" s="320"/>
      <c r="AG1039" s="205"/>
      <c r="AH1039" s="205"/>
      <c r="AI1039" s="205"/>
      <c r="AJ1039" s="205"/>
      <c r="AK1039" s="205"/>
      <c r="AL1039" s="205"/>
      <c r="AM1039" s="205"/>
      <c r="AN1039" s="205"/>
      <c r="AO1039" s="205"/>
      <c r="AP1039" s="205"/>
      <c r="AQ1039" s="205"/>
      <c r="AR1039" s="205"/>
      <c r="AS1039" s="205"/>
      <c r="AT1039" s="205"/>
      <c r="AU1039" s="205"/>
      <c r="AV1039" s="205"/>
      <c r="AW1039" s="205"/>
      <c r="AX1039" s="205"/>
      <c r="AY1039" s="205"/>
      <c r="AZ1039" s="205"/>
      <c r="BA1039" s="205"/>
      <c r="BB1039" s="205"/>
      <c r="BC1039" s="205"/>
      <c r="BD1039" s="205"/>
      <c r="BE1039" s="205"/>
      <c r="BF1039" s="205"/>
      <c r="BG1039" s="205"/>
      <c r="BH1039" s="205"/>
      <c r="BI1039" s="319"/>
    </row>
    <row r="1040" spans="3:61" ht="15" customHeight="1">
      <c r="C1040" s="327"/>
      <c r="D1040" s="328"/>
      <c r="E1040" s="213"/>
      <c r="F1040" s="213"/>
      <c r="G1040" s="213"/>
      <c r="H1040" s="213"/>
      <c r="I1040" s="213"/>
      <c r="K1040" s="56"/>
      <c r="L1040" s="312"/>
      <c r="M1040" s="312"/>
      <c r="N1040" s="312"/>
      <c r="O1040" s="312"/>
      <c r="P1040" s="322" t="str">
        <f t="shared" si="50"/>
        <v/>
      </c>
      <c r="Q1040" s="208" t="str">
        <f t="shared" si="48"/>
        <v/>
      </c>
      <c r="R1040" s="175"/>
      <c r="S1040" s="323" t="str">
        <f t="shared" si="49"/>
        <v/>
      </c>
      <c r="U1040" s="322"/>
      <c r="V1040" s="791"/>
      <c r="W1040" s="792"/>
      <c r="X1040" s="480"/>
      <c r="Y1040" s="480"/>
      <c r="Z1040" s="480"/>
      <c r="AA1040" s="323"/>
      <c r="AB1040" s="220"/>
      <c r="AC1040" s="322"/>
      <c r="AD1040" s="323"/>
      <c r="AE1040" s="220"/>
      <c r="AF1040" s="324"/>
      <c r="AG1040" s="208"/>
      <c r="AH1040" s="208"/>
      <c r="AI1040" s="208"/>
      <c r="AJ1040" s="208"/>
      <c r="AK1040" s="208"/>
      <c r="AL1040" s="208"/>
      <c r="AM1040" s="208"/>
      <c r="AN1040" s="208"/>
      <c r="AO1040" s="208"/>
      <c r="AP1040" s="208"/>
      <c r="AQ1040" s="208"/>
      <c r="AR1040" s="208"/>
      <c r="AS1040" s="208"/>
      <c r="AT1040" s="208"/>
      <c r="AU1040" s="208"/>
      <c r="AV1040" s="208"/>
      <c r="AW1040" s="208"/>
      <c r="AX1040" s="208"/>
      <c r="AY1040" s="208"/>
      <c r="AZ1040" s="208"/>
      <c r="BA1040" s="208"/>
      <c r="BB1040" s="208"/>
      <c r="BC1040" s="208"/>
      <c r="BD1040" s="208"/>
      <c r="BE1040" s="208"/>
      <c r="BF1040" s="208"/>
      <c r="BG1040" s="208"/>
      <c r="BH1040" s="208"/>
      <c r="BI1040" s="323"/>
    </row>
    <row r="1041" spans="3:61" ht="15" customHeight="1">
      <c r="C1041" s="327"/>
      <c r="D1041" s="328"/>
      <c r="E1041" s="213"/>
      <c r="F1041" s="213"/>
      <c r="G1041" s="213"/>
      <c r="H1041" s="213"/>
      <c r="I1041" s="213"/>
      <c r="K1041" s="56"/>
      <c r="L1041" s="312"/>
      <c r="M1041" s="312"/>
      <c r="N1041" s="312"/>
      <c r="O1041" s="312"/>
      <c r="P1041" s="318" t="str">
        <f t="shared" si="50"/>
        <v/>
      </c>
      <c r="Q1041" s="205" t="str">
        <f t="shared" si="48"/>
        <v/>
      </c>
      <c r="R1041" s="176"/>
      <c r="S1041" s="319" t="str">
        <f t="shared" si="49"/>
        <v/>
      </c>
      <c r="U1041" s="318"/>
      <c r="V1041" s="794"/>
      <c r="W1041" s="795"/>
      <c r="X1041" s="482"/>
      <c r="Y1041" s="482"/>
      <c r="Z1041" s="482"/>
      <c r="AA1041" s="319"/>
      <c r="AB1041" s="220"/>
      <c r="AC1041" s="318"/>
      <c r="AD1041" s="319"/>
      <c r="AE1041" s="220"/>
      <c r="AF1041" s="320"/>
      <c r="AG1041" s="205"/>
      <c r="AH1041" s="205"/>
      <c r="AI1041" s="205"/>
      <c r="AJ1041" s="205"/>
      <c r="AK1041" s="205"/>
      <c r="AL1041" s="205"/>
      <c r="AM1041" s="205"/>
      <c r="AN1041" s="205"/>
      <c r="AO1041" s="205"/>
      <c r="AP1041" s="205"/>
      <c r="AQ1041" s="205"/>
      <c r="AR1041" s="205"/>
      <c r="AS1041" s="205"/>
      <c r="AT1041" s="205"/>
      <c r="AU1041" s="205"/>
      <c r="AV1041" s="205"/>
      <c r="AW1041" s="205"/>
      <c r="AX1041" s="205"/>
      <c r="AY1041" s="205"/>
      <c r="AZ1041" s="205"/>
      <c r="BA1041" s="205"/>
      <c r="BB1041" s="205"/>
      <c r="BC1041" s="205"/>
      <c r="BD1041" s="205"/>
      <c r="BE1041" s="205"/>
      <c r="BF1041" s="205"/>
      <c r="BG1041" s="205"/>
      <c r="BH1041" s="205"/>
      <c r="BI1041" s="319"/>
    </row>
    <row r="1042" spans="3:61" ht="15" customHeight="1">
      <c r="C1042" s="327"/>
      <c r="D1042" s="328"/>
      <c r="E1042" s="213"/>
      <c r="F1042" s="213"/>
      <c r="G1042" s="213"/>
      <c r="H1042" s="213"/>
      <c r="I1042" s="213"/>
      <c r="K1042" s="56"/>
      <c r="L1042" s="312"/>
      <c r="M1042" s="312"/>
      <c r="N1042" s="312"/>
      <c r="O1042" s="312"/>
      <c r="P1042" s="322" t="str">
        <f t="shared" si="50"/>
        <v/>
      </c>
      <c r="Q1042" s="208" t="str">
        <f t="shared" si="48"/>
        <v/>
      </c>
      <c r="R1042" s="175"/>
      <c r="S1042" s="323" t="str">
        <f t="shared" si="49"/>
        <v/>
      </c>
      <c r="U1042" s="322"/>
      <c r="V1042" s="791"/>
      <c r="W1042" s="792"/>
      <c r="X1042" s="480"/>
      <c r="Y1042" s="480"/>
      <c r="Z1042" s="480"/>
      <c r="AA1042" s="323"/>
      <c r="AB1042" s="220"/>
      <c r="AC1042" s="322"/>
      <c r="AD1042" s="323"/>
      <c r="AE1042" s="220"/>
      <c r="AF1042" s="324"/>
      <c r="AG1042" s="208"/>
      <c r="AH1042" s="208"/>
      <c r="AI1042" s="208"/>
      <c r="AJ1042" s="208"/>
      <c r="AK1042" s="208"/>
      <c r="AL1042" s="208"/>
      <c r="AM1042" s="208"/>
      <c r="AN1042" s="208"/>
      <c r="AO1042" s="208"/>
      <c r="AP1042" s="208"/>
      <c r="AQ1042" s="208"/>
      <c r="AR1042" s="208"/>
      <c r="AS1042" s="208"/>
      <c r="AT1042" s="208"/>
      <c r="AU1042" s="208"/>
      <c r="AV1042" s="208"/>
      <c r="AW1042" s="208"/>
      <c r="AX1042" s="208"/>
      <c r="AY1042" s="208"/>
      <c r="AZ1042" s="208"/>
      <c r="BA1042" s="208"/>
      <c r="BB1042" s="208"/>
      <c r="BC1042" s="208"/>
      <c r="BD1042" s="208"/>
      <c r="BE1042" s="208"/>
      <c r="BF1042" s="208"/>
      <c r="BG1042" s="208"/>
      <c r="BH1042" s="208"/>
      <c r="BI1042" s="323"/>
    </row>
    <row r="1043" spans="3:61" ht="15" customHeight="1">
      <c r="C1043" s="327"/>
      <c r="D1043" s="328"/>
      <c r="E1043" s="213"/>
      <c r="F1043" s="213"/>
      <c r="G1043" s="213"/>
      <c r="H1043" s="213"/>
      <c r="I1043" s="213"/>
      <c r="K1043" s="56"/>
      <c r="L1043" s="312"/>
      <c r="M1043" s="312"/>
      <c r="N1043" s="312"/>
      <c r="O1043" s="312"/>
      <c r="P1043" s="318" t="str">
        <f t="shared" si="50"/>
        <v/>
      </c>
      <c r="Q1043" s="205" t="str">
        <f t="shared" si="48"/>
        <v/>
      </c>
      <c r="R1043" s="176"/>
      <c r="S1043" s="319" t="str">
        <f t="shared" si="49"/>
        <v/>
      </c>
      <c r="U1043" s="318"/>
      <c r="V1043" s="794"/>
      <c r="W1043" s="795"/>
      <c r="X1043" s="482"/>
      <c r="Y1043" s="482"/>
      <c r="Z1043" s="482"/>
      <c r="AA1043" s="319"/>
      <c r="AB1043" s="220"/>
      <c r="AC1043" s="318"/>
      <c r="AD1043" s="319"/>
      <c r="AE1043" s="220"/>
      <c r="AF1043" s="320"/>
      <c r="AG1043" s="205"/>
      <c r="AH1043" s="205"/>
      <c r="AI1043" s="205"/>
      <c r="AJ1043" s="205"/>
      <c r="AK1043" s="205"/>
      <c r="AL1043" s="205"/>
      <c r="AM1043" s="205"/>
      <c r="AN1043" s="205"/>
      <c r="AO1043" s="205"/>
      <c r="AP1043" s="205"/>
      <c r="AQ1043" s="205"/>
      <c r="AR1043" s="205"/>
      <c r="AS1043" s="205"/>
      <c r="AT1043" s="205"/>
      <c r="AU1043" s="205"/>
      <c r="AV1043" s="205"/>
      <c r="AW1043" s="205"/>
      <c r="AX1043" s="205"/>
      <c r="AY1043" s="205"/>
      <c r="AZ1043" s="205"/>
      <c r="BA1043" s="205"/>
      <c r="BB1043" s="205"/>
      <c r="BC1043" s="205"/>
      <c r="BD1043" s="205"/>
      <c r="BE1043" s="205"/>
      <c r="BF1043" s="205"/>
      <c r="BG1043" s="205"/>
      <c r="BH1043" s="205"/>
      <c r="BI1043" s="319"/>
    </row>
    <row r="1044" spans="3:61" ht="15" customHeight="1">
      <c r="C1044" s="327"/>
      <c r="D1044" s="328"/>
      <c r="E1044" s="213"/>
      <c r="F1044" s="213"/>
      <c r="G1044" s="213"/>
      <c r="H1044" s="213"/>
      <c r="I1044" s="213"/>
      <c r="K1044" s="56"/>
      <c r="L1044" s="312"/>
      <c r="M1044" s="312"/>
      <c r="N1044" s="312"/>
      <c r="O1044" s="312"/>
      <c r="P1044" s="322" t="str">
        <f t="shared" si="50"/>
        <v/>
      </c>
      <c r="Q1044" s="208" t="str">
        <f t="shared" si="48"/>
        <v/>
      </c>
      <c r="R1044" s="175"/>
      <c r="S1044" s="323" t="str">
        <f t="shared" si="49"/>
        <v/>
      </c>
      <c r="U1044" s="322"/>
      <c r="V1044" s="791"/>
      <c r="W1044" s="792"/>
      <c r="X1044" s="480"/>
      <c r="Y1044" s="480"/>
      <c r="Z1044" s="480"/>
      <c r="AA1044" s="323"/>
      <c r="AB1044" s="220"/>
      <c r="AC1044" s="322"/>
      <c r="AD1044" s="323"/>
      <c r="AE1044" s="220"/>
      <c r="AF1044" s="324"/>
      <c r="AG1044" s="208"/>
      <c r="AH1044" s="208"/>
      <c r="AI1044" s="208"/>
      <c r="AJ1044" s="208"/>
      <c r="AK1044" s="208"/>
      <c r="AL1044" s="208"/>
      <c r="AM1044" s="208"/>
      <c r="AN1044" s="208"/>
      <c r="AO1044" s="208"/>
      <c r="AP1044" s="208"/>
      <c r="AQ1044" s="208"/>
      <c r="AR1044" s="208"/>
      <c r="AS1044" s="208"/>
      <c r="AT1044" s="208"/>
      <c r="AU1044" s="208"/>
      <c r="AV1044" s="208"/>
      <c r="AW1044" s="208"/>
      <c r="AX1044" s="208"/>
      <c r="AY1044" s="208"/>
      <c r="AZ1044" s="208"/>
      <c r="BA1044" s="208"/>
      <c r="BB1044" s="208"/>
      <c r="BC1044" s="208"/>
      <c r="BD1044" s="208"/>
      <c r="BE1044" s="208"/>
      <c r="BF1044" s="208"/>
      <c r="BG1044" s="208"/>
      <c r="BH1044" s="208"/>
      <c r="BI1044" s="323"/>
    </row>
    <row r="1045" spans="3:61" ht="15" customHeight="1">
      <c r="C1045" s="327"/>
      <c r="D1045" s="328"/>
      <c r="E1045" s="213"/>
      <c r="F1045" s="213"/>
      <c r="G1045" s="213"/>
      <c r="H1045" s="213"/>
      <c r="I1045" s="213"/>
      <c r="K1045" s="56"/>
      <c r="L1045" s="312"/>
      <c r="M1045" s="312"/>
      <c r="N1045" s="312"/>
      <c r="O1045" s="312"/>
      <c r="P1045" s="318" t="str">
        <f t="shared" si="50"/>
        <v/>
      </c>
      <c r="Q1045" s="205" t="str">
        <f t="shared" si="48"/>
        <v/>
      </c>
      <c r="R1045" s="176"/>
      <c r="S1045" s="319" t="str">
        <f t="shared" si="49"/>
        <v/>
      </c>
      <c r="U1045" s="318"/>
      <c r="V1045" s="794"/>
      <c r="W1045" s="795"/>
      <c r="X1045" s="482"/>
      <c r="Y1045" s="482"/>
      <c r="Z1045" s="482"/>
      <c r="AA1045" s="319"/>
      <c r="AB1045" s="220"/>
      <c r="AC1045" s="318"/>
      <c r="AD1045" s="319"/>
      <c r="AE1045" s="220"/>
      <c r="AF1045" s="320"/>
      <c r="AG1045" s="205"/>
      <c r="AH1045" s="205"/>
      <c r="AI1045" s="205"/>
      <c r="AJ1045" s="205"/>
      <c r="AK1045" s="205"/>
      <c r="AL1045" s="205"/>
      <c r="AM1045" s="205"/>
      <c r="AN1045" s="205"/>
      <c r="AO1045" s="205"/>
      <c r="AP1045" s="205"/>
      <c r="AQ1045" s="205"/>
      <c r="AR1045" s="205"/>
      <c r="AS1045" s="205"/>
      <c r="AT1045" s="205"/>
      <c r="AU1045" s="205"/>
      <c r="AV1045" s="205"/>
      <c r="AW1045" s="205"/>
      <c r="AX1045" s="205"/>
      <c r="AY1045" s="205"/>
      <c r="AZ1045" s="205"/>
      <c r="BA1045" s="205"/>
      <c r="BB1045" s="205"/>
      <c r="BC1045" s="205"/>
      <c r="BD1045" s="205"/>
      <c r="BE1045" s="205"/>
      <c r="BF1045" s="205"/>
      <c r="BG1045" s="205"/>
      <c r="BH1045" s="205"/>
      <c r="BI1045" s="319"/>
    </row>
    <row r="1046" spans="3:61" ht="15" customHeight="1">
      <c r="C1046" s="327"/>
      <c r="D1046" s="328"/>
      <c r="E1046" s="213"/>
      <c r="F1046" s="213"/>
      <c r="G1046" s="213"/>
      <c r="H1046" s="213"/>
      <c r="I1046" s="213"/>
      <c r="K1046" s="56"/>
      <c r="L1046" s="312"/>
      <c r="M1046" s="312"/>
      <c r="N1046" s="312"/>
      <c r="O1046" s="312"/>
      <c r="P1046" s="322" t="str">
        <f t="shared" si="50"/>
        <v/>
      </c>
      <c r="Q1046" s="208" t="str">
        <f t="shared" si="48"/>
        <v/>
      </c>
      <c r="R1046" s="175"/>
      <c r="S1046" s="323" t="str">
        <f t="shared" si="49"/>
        <v/>
      </c>
      <c r="U1046" s="322"/>
      <c r="V1046" s="791"/>
      <c r="W1046" s="792"/>
      <c r="X1046" s="480"/>
      <c r="Y1046" s="480"/>
      <c r="Z1046" s="480"/>
      <c r="AA1046" s="323"/>
      <c r="AB1046" s="220"/>
      <c r="AC1046" s="322"/>
      <c r="AD1046" s="323"/>
      <c r="AE1046" s="220"/>
      <c r="AF1046" s="324"/>
      <c r="AG1046" s="208"/>
      <c r="AH1046" s="208"/>
      <c r="AI1046" s="208"/>
      <c r="AJ1046" s="208"/>
      <c r="AK1046" s="208"/>
      <c r="AL1046" s="208"/>
      <c r="AM1046" s="208"/>
      <c r="AN1046" s="208"/>
      <c r="AO1046" s="208"/>
      <c r="AP1046" s="208"/>
      <c r="AQ1046" s="208"/>
      <c r="AR1046" s="208"/>
      <c r="AS1046" s="208"/>
      <c r="AT1046" s="208"/>
      <c r="AU1046" s="208"/>
      <c r="AV1046" s="208"/>
      <c r="AW1046" s="208"/>
      <c r="AX1046" s="208"/>
      <c r="AY1046" s="208"/>
      <c r="AZ1046" s="208"/>
      <c r="BA1046" s="208"/>
      <c r="BB1046" s="208"/>
      <c r="BC1046" s="208"/>
      <c r="BD1046" s="208"/>
      <c r="BE1046" s="208"/>
      <c r="BF1046" s="208"/>
      <c r="BG1046" s="208"/>
      <c r="BH1046" s="208"/>
      <c r="BI1046" s="323"/>
    </row>
    <row r="1047" spans="3:61" ht="15" customHeight="1">
      <c r="C1047" s="327"/>
      <c r="D1047" s="328"/>
      <c r="E1047" s="213"/>
      <c r="F1047" s="213"/>
      <c r="G1047" s="213"/>
      <c r="H1047" s="213"/>
      <c r="I1047" s="213"/>
      <c r="K1047" s="56"/>
      <c r="L1047" s="312"/>
      <c r="M1047" s="312"/>
      <c r="N1047" s="312"/>
      <c r="O1047" s="312"/>
      <c r="P1047" s="318" t="str">
        <f t="shared" si="50"/>
        <v/>
      </c>
      <c r="Q1047" s="205" t="str">
        <f t="shared" si="48"/>
        <v/>
      </c>
      <c r="R1047" s="176"/>
      <c r="S1047" s="319" t="str">
        <f t="shared" si="49"/>
        <v/>
      </c>
      <c r="U1047" s="318"/>
      <c r="V1047" s="794"/>
      <c r="W1047" s="795"/>
      <c r="X1047" s="482"/>
      <c r="Y1047" s="482"/>
      <c r="Z1047" s="482"/>
      <c r="AA1047" s="319"/>
      <c r="AB1047" s="220"/>
      <c r="AC1047" s="318"/>
      <c r="AD1047" s="319"/>
      <c r="AE1047" s="220"/>
      <c r="AF1047" s="320"/>
      <c r="AG1047" s="205"/>
      <c r="AH1047" s="205"/>
      <c r="AI1047" s="205"/>
      <c r="AJ1047" s="205"/>
      <c r="AK1047" s="205"/>
      <c r="AL1047" s="205"/>
      <c r="AM1047" s="205"/>
      <c r="AN1047" s="205"/>
      <c r="AO1047" s="205"/>
      <c r="AP1047" s="205"/>
      <c r="AQ1047" s="205"/>
      <c r="AR1047" s="205"/>
      <c r="AS1047" s="205"/>
      <c r="AT1047" s="205"/>
      <c r="AU1047" s="205"/>
      <c r="AV1047" s="205"/>
      <c r="AW1047" s="205"/>
      <c r="AX1047" s="205"/>
      <c r="AY1047" s="205"/>
      <c r="AZ1047" s="205"/>
      <c r="BA1047" s="205"/>
      <c r="BB1047" s="205"/>
      <c r="BC1047" s="205"/>
      <c r="BD1047" s="205"/>
      <c r="BE1047" s="205"/>
      <c r="BF1047" s="205"/>
      <c r="BG1047" s="205"/>
      <c r="BH1047" s="205"/>
      <c r="BI1047" s="319"/>
    </row>
    <row r="1048" spans="3:61" ht="15" customHeight="1">
      <c r="C1048" s="327"/>
      <c r="D1048" s="328"/>
      <c r="E1048" s="213"/>
      <c r="F1048" s="213"/>
      <c r="G1048" s="213"/>
      <c r="H1048" s="213"/>
      <c r="I1048" s="213"/>
      <c r="K1048" s="56"/>
      <c r="L1048" s="312"/>
      <c r="M1048" s="312"/>
      <c r="N1048" s="312"/>
      <c r="O1048" s="312"/>
      <c r="P1048" s="322" t="str">
        <f t="shared" si="50"/>
        <v/>
      </c>
      <c r="Q1048" s="208" t="str">
        <f t="shared" si="48"/>
        <v/>
      </c>
      <c r="R1048" s="175"/>
      <c r="S1048" s="323" t="str">
        <f t="shared" si="49"/>
        <v/>
      </c>
      <c r="U1048" s="322"/>
      <c r="V1048" s="791"/>
      <c r="W1048" s="792"/>
      <c r="X1048" s="480"/>
      <c r="Y1048" s="480"/>
      <c r="Z1048" s="480"/>
      <c r="AA1048" s="323"/>
      <c r="AB1048" s="220"/>
      <c r="AC1048" s="322"/>
      <c r="AD1048" s="323"/>
      <c r="AE1048" s="220"/>
      <c r="AF1048" s="324"/>
      <c r="AG1048" s="208"/>
      <c r="AH1048" s="208"/>
      <c r="AI1048" s="208"/>
      <c r="AJ1048" s="208"/>
      <c r="AK1048" s="208"/>
      <c r="AL1048" s="208"/>
      <c r="AM1048" s="208"/>
      <c r="AN1048" s="208"/>
      <c r="AO1048" s="208"/>
      <c r="AP1048" s="208"/>
      <c r="AQ1048" s="208"/>
      <c r="AR1048" s="208"/>
      <c r="AS1048" s="208"/>
      <c r="AT1048" s="208"/>
      <c r="AU1048" s="208"/>
      <c r="AV1048" s="208"/>
      <c r="AW1048" s="208"/>
      <c r="AX1048" s="208"/>
      <c r="AY1048" s="208"/>
      <c r="AZ1048" s="208"/>
      <c r="BA1048" s="208"/>
      <c r="BB1048" s="208"/>
      <c r="BC1048" s="208"/>
      <c r="BD1048" s="208"/>
      <c r="BE1048" s="208"/>
      <c r="BF1048" s="208"/>
      <c r="BG1048" s="208"/>
      <c r="BH1048" s="208"/>
      <c r="BI1048" s="323"/>
    </row>
    <row r="1049" spans="3:61" ht="15" customHeight="1">
      <c r="C1049" s="327"/>
      <c r="D1049" s="328"/>
      <c r="E1049" s="213"/>
      <c r="F1049" s="213"/>
      <c r="G1049" s="213"/>
      <c r="H1049" s="213"/>
      <c r="I1049" s="213"/>
      <c r="K1049" s="56"/>
      <c r="L1049" s="312"/>
      <c r="M1049" s="312"/>
      <c r="N1049" s="312"/>
      <c r="O1049" s="312"/>
      <c r="P1049" s="318" t="str">
        <f t="shared" si="50"/>
        <v/>
      </c>
      <c r="Q1049" s="205" t="str">
        <f t="shared" si="48"/>
        <v/>
      </c>
      <c r="R1049" s="176"/>
      <c r="S1049" s="319" t="str">
        <f t="shared" si="49"/>
        <v/>
      </c>
      <c r="U1049" s="318"/>
      <c r="V1049" s="794"/>
      <c r="W1049" s="795"/>
      <c r="X1049" s="482"/>
      <c r="Y1049" s="482"/>
      <c r="Z1049" s="482"/>
      <c r="AA1049" s="319"/>
      <c r="AB1049" s="220"/>
      <c r="AC1049" s="318"/>
      <c r="AD1049" s="319"/>
      <c r="AE1049" s="220"/>
      <c r="AF1049" s="320"/>
      <c r="AG1049" s="205"/>
      <c r="AH1049" s="205"/>
      <c r="AI1049" s="205"/>
      <c r="AJ1049" s="205"/>
      <c r="AK1049" s="205"/>
      <c r="AL1049" s="205"/>
      <c r="AM1049" s="205"/>
      <c r="AN1049" s="205"/>
      <c r="AO1049" s="205"/>
      <c r="AP1049" s="205"/>
      <c r="AQ1049" s="205"/>
      <c r="AR1049" s="205"/>
      <c r="AS1049" s="205"/>
      <c r="AT1049" s="205"/>
      <c r="AU1049" s="205"/>
      <c r="AV1049" s="205"/>
      <c r="AW1049" s="205"/>
      <c r="AX1049" s="205"/>
      <c r="AY1049" s="205"/>
      <c r="AZ1049" s="205"/>
      <c r="BA1049" s="205"/>
      <c r="BB1049" s="205"/>
      <c r="BC1049" s="205"/>
      <c r="BD1049" s="205"/>
      <c r="BE1049" s="205"/>
      <c r="BF1049" s="205"/>
      <c r="BG1049" s="205"/>
      <c r="BH1049" s="205"/>
      <c r="BI1049" s="319"/>
    </row>
    <row r="1050" spans="3:61" ht="15" customHeight="1">
      <c r="C1050" s="327"/>
      <c r="D1050" s="328"/>
      <c r="E1050" s="213"/>
      <c r="F1050" s="213"/>
      <c r="G1050" s="213"/>
      <c r="H1050" s="213"/>
      <c r="I1050" s="213"/>
      <c r="K1050" s="56"/>
      <c r="L1050" s="312"/>
      <c r="M1050" s="312"/>
      <c r="N1050" s="312"/>
      <c r="O1050" s="312"/>
      <c r="P1050" s="322" t="str">
        <f t="shared" si="50"/>
        <v/>
      </c>
      <c r="Q1050" s="208" t="str">
        <f t="shared" si="48"/>
        <v/>
      </c>
      <c r="R1050" s="175"/>
      <c r="S1050" s="323" t="str">
        <f t="shared" si="49"/>
        <v/>
      </c>
      <c r="U1050" s="322"/>
      <c r="V1050" s="791"/>
      <c r="W1050" s="792"/>
      <c r="X1050" s="480"/>
      <c r="Y1050" s="480"/>
      <c r="Z1050" s="480"/>
      <c r="AA1050" s="323"/>
      <c r="AB1050" s="220"/>
      <c r="AC1050" s="322"/>
      <c r="AD1050" s="323"/>
      <c r="AE1050" s="220"/>
      <c r="AF1050" s="324"/>
      <c r="AG1050" s="208"/>
      <c r="AH1050" s="208"/>
      <c r="AI1050" s="208"/>
      <c r="AJ1050" s="208"/>
      <c r="AK1050" s="208"/>
      <c r="AL1050" s="208"/>
      <c r="AM1050" s="208"/>
      <c r="AN1050" s="208"/>
      <c r="AO1050" s="208"/>
      <c r="AP1050" s="208"/>
      <c r="AQ1050" s="208"/>
      <c r="AR1050" s="208"/>
      <c r="AS1050" s="208"/>
      <c r="AT1050" s="208"/>
      <c r="AU1050" s="208"/>
      <c r="AV1050" s="208"/>
      <c r="AW1050" s="208"/>
      <c r="AX1050" s="208"/>
      <c r="AY1050" s="208"/>
      <c r="AZ1050" s="208"/>
      <c r="BA1050" s="208"/>
      <c r="BB1050" s="208"/>
      <c r="BC1050" s="208"/>
      <c r="BD1050" s="208"/>
      <c r="BE1050" s="208"/>
      <c r="BF1050" s="208"/>
      <c r="BG1050" s="208"/>
      <c r="BH1050" s="208"/>
      <c r="BI1050" s="323"/>
    </row>
    <row r="1051" spans="3:61" ht="15" customHeight="1">
      <c r="C1051" s="327"/>
      <c r="D1051" s="328"/>
      <c r="E1051" s="213"/>
      <c r="F1051" s="213"/>
      <c r="G1051" s="213"/>
      <c r="H1051" s="213"/>
      <c r="I1051" s="213"/>
      <c r="K1051" s="56"/>
      <c r="L1051" s="312"/>
      <c r="M1051" s="312"/>
      <c r="N1051" s="312"/>
      <c r="O1051" s="312"/>
      <c r="P1051" s="318" t="str">
        <f t="shared" si="50"/>
        <v/>
      </c>
      <c r="Q1051" s="205" t="str">
        <f t="shared" si="48"/>
        <v/>
      </c>
      <c r="R1051" s="176"/>
      <c r="S1051" s="319" t="str">
        <f t="shared" si="49"/>
        <v/>
      </c>
      <c r="U1051" s="318"/>
      <c r="V1051" s="794"/>
      <c r="W1051" s="795"/>
      <c r="X1051" s="482"/>
      <c r="Y1051" s="482"/>
      <c r="Z1051" s="482"/>
      <c r="AA1051" s="319"/>
      <c r="AB1051" s="220"/>
      <c r="AC1051" s="318"/>
      <c r="AD1051" s="319"/>
      <c r="AE1051" s="220"/>
      <c r="AF1051" s="320"/>
      <c r="AG1051" s="205"/>
      <c r="AH1051" s="205"/>
      <c r="AI1051" s="205"/>
      <c r="AJ1051" s="205"/>
      <c r="AK1051" s="205"/>
      <c r="AL1051" s="205"/>
      <c r="AM1051" s="205"/>
      <c r="AN1051" s="205"/>
      <c r="AO1051" s="205"/>
      <c r="AP1051" s="205"/>
      <c r="AQ1051" s="205"/>
      <c r="AR1051" s="205"/>
      <c r="AS1051" s="205"/>
      <c r="AT1051" s="205"/>
      <c r="AU1051" s="205"/>
      <c r="AV1051" s="205"/>
      <c r="AW1051" s="205"/>
      <c r="AX1051" s="205"/>
      <c r="AY1051" s="205"/>
      <c r="AZ1051" s="205"/>
      <c r="BA1051" s="205"/>
      <c r="BB1051" s="205"/>
      <c r="BC1051" s="205"/>
      <c r="BD1051" s="205"/>
      <c r="BE1051" s="205"/>
      <c r="BF1051" s="205"/>
      <c r="BG1051" s="205"/>
      <c r="BH1051" s="205"/>
      <c r="BI1051" s="319"/>
    </row>
    <row r="1052" spans="3:61" ht="15" customHeight="1">
      <c r="C1052" s="327"/>
      <c r="D1052" s="328"/>
      <c r="E1052" s="213"/>
      <c r="F1052" s="213"/>
      <c r="G1052" s="213"/>
      <c r="H1052" s="213"/>
      <c r="I1052" s="213"/>
      <c r="K1052" s="56"/>
      <c r="L1052" s="312"/>
      <c r="M1052" s="312"/>
      <c r="N1052" s="312"/>
      <c r="O1052" s="312"/>
      <c r="P1052" s="322" t="str">
        <f t="shared" si="50"/>
        <v/>
      </c>
      <c r="Q1052" s="208" t="str">
        <f t="shared" si="48"/>
        <v/>
      </c>
      <c r="R1052" s="175"/>
      <c r="S1052" s="323" t="str">
        <f t="shared" si="49"/>
        <v/>
      </c>
      <c r="U1052" s="322"/>
      <c r="V1052" s="791"/>
      <c r="W1052" s="792"/>
      <c r="X1052" s="480"/>
      <c r="Y1052" s="480"/>
      <c r="Z1052" s="480"/>
      <c r="AA1052" s="323"/>
      <c r="AB1052" s="220"/>
      <c r="AC1052" s="322"/>
      <c r="AD1052" s="323"/>
      <c r="AE1052" s="220"/>
      <c r="AF1052" s="324"/>
      <c r="AG1052" s="208"/>
      <c r="AH1052" s="208"/>
      <c r="AI1052" s="208"/>
      <c r="AJ1052" s="208"/>
      <c r="AK1052" s="208"/>
      <c r="AL1052" s="208"/>
      <c r="AM1052" s="208"/>
      <c r="AN1052" s="208"/>
      <c r="AO1052" s="208"/>
      <c r="AP1052" s="208"/>
      <c r="AQ1052" s="208"/>
      <c r="AR1052" s="208"/>
      <c r="AS1052" s="208"/>
      <c r="AT1052" s="208"/>
      <c r="AU1052" s="208"/>
      <c r="AV1052" s="208"/>
      <c r="AW1052" s="208"/>
      <c r="AX1052" s="208"/>
      <c r="AY1052" s="208"/>
      <c r="AZ1052" s="208"/>
      <c r="BA1052" s="208"/>
      <c r="BB1052" s="208"/>
      <c r="BC1052" s="208"/>
      <c r="BD1052" s="208"/>
      <c r="BE1052" s="208"/>
      <c r="BF1052" s="208"/>
      <c r="BG1052" s="208"/>
      <c r="BH1052" s="208"/>
      <c r="BI1052" s="323"/>
    </row>
    <row r="1053" spans="3:61" ht="15" customHeight="1">
      <c r="C1053" s="327"/>
      <c r="D1053" s="328"/>
      <c r="E1053" s="213"/>
      <c r="F1053" s="213"/>
      <c r="G1053" s="213"/>
      <c r="H1053" s="213"/>
      <c r="I1053" s="213"/>
      <c r="K1053" s="56"/>
      <c r="L1053" s="312"/>
      <c r="M1053" s="312"/>
      <c r="N1053" s="312"/>
      <c r="O1053" s="312"/>
      <c r="P1053" s="318" t="str">
        <f t="shared" si="50"/>
        <v/>
      </c>
      <c r="Q1053" s="205" t="str">
        <f t="shared" si="48"/>
        <v/>
      </c>
      <c r="R1053" s="176"/>
      <c r="S1053" s="319" t="str">
        <f t="shared" si="49"/>
        <v/>
      </c>
      <c r="U1053" s="318"/>
      <c r="V1053" s="794"/>
      <c r="W1053" s="795"/>
      <c r="X1053" s="482"/>
      <c r="Y1053" s="482"/>
      <c r="Z1053" s="482"/>
      <c r="AA1053" s="319"/>
      <c r="AB1053" s="220"/>
      <c r="AC1053" s="318"/>
      <c r="AD1053" s="319"/>
      <c r="AE1053" s="220"/>
      <c r="AF1053" s="320"/>
      <c r="AG1053" s="205"/>
      <c r="AH1053" s="205"/>
      <c r="AI1053" s="205"/>
      <c r="AJ1053" s="205"/>
      <c r="AK1053" s="205"/>
      <c r="AL1053" s="205"/>
      <c r="AM1053" s="205"/>
      <c r="AN1053" s="205"/>
      <c r="AO1053" s="205"/>
      <c r="AP1053" s="205"/>
      <c r="AQ1053" s="205"/>
      <c r="AR1053" s="205"/>
      <c r="AS1053" s="205"/>
      <c r="AT1053" s="205"/>
      <c r="AU1053" s="205"/>
      <c r="AV1053" s="205"/>
      <c r="AW1053" s="205"/>
      <c r="AX1053" s="205"/>
      <c r="AY1053" s="205"/>
      <c r="AZ1053" s="205"/>
      <c r="BA1053" s="205"/>
      <c r="BB1053" s="205"/>
      <c r="BC1053" s="205"/>
      <c r="BD1053" s="205"/>
      <c r="BE1053" s="205"/>
      <c r="BF1053" s="205"/>
      <c r="BG1053" s="205"/>
      <c r="BH1053" s="205"/>
      <c r="BI1053" s="319"/>
    </row>
    <row r="1054" spans="3:61" ht="15" customHeight="1">
      <c r="C1054" s="327"/>
      <c r="D1054" s="328"/>
      <c r="E1054" s="213"/>
      <c r="F1054" s="213"/>
      <c r="G1054" s="213"/>
      <c r="H1054" s="213"/>
      <c r="I1054" s="213"/>
      <c r="K1054" s="56"/>
      <c r="L1054" s="312"/>
      <c r="M1054" s="312"/>
      <c r="N1054" s="312"/>
      <c r="O1054" s="312"/>
      <c r="P1054" s="322" t="str">
        <f t="shared" si="50"/>
        <v/>
      </c>
      <c r="Q1054" s="208" t="str">
        <f t="shared" si="48"/>
        <v/>
      </c>
      <c r="R1054" s="175"/>
      <c r="S1054" s="323" t="str">
        <f t="shared" si="49"/>
        <v/>
      </c>
      <c r="U1054" s="322"/>
      <c r="V1054" s="791"/>
      <c r="W1054" s="792"/>
      <c r="X1054" s="480"/>
      <c r="Y1054" s="480"/>
      <c r="Z1054" s="480"/>
      <c r="AA1054" s="323"/>
      <c r="AB1054" s="220"/>
      <c r="AC1054" s="322"/>
      <c r="AD1054" s="323"/>
      <c r="AE1054" s="220"/>
      <c r="AF1054" s="324"/>
      <c r="AG1054" s="208"/>
      <c r="AH1054" s="208"/>
      <c r="AI1054" s="208"/>
      <c r="AJ1054" s="208"/>
      <c r="AK1054" s="208"/>
      <c r="AL1054" s="208"/>
      <c r="AM1054" s="208"/>
      <c r="AN1054" s="208"/>
      <c r="AO1054" s="208"/>
      <c r="AP1054" s="208"/>
      <c r="AQ1054" s="208"/>
      <c r="AR1054" s="208"/>
      <c r="AS1054" s="208"/>
      <c r="AT1054" s="208"/>
      <c r="AU1054" s="208"/>
      <c r="AV1054" s="208"/>
      <c r="AW1054" s="208"/>
      <c r="AX1054" s="208"/>
      <c r="AY1054" s="208"/>
      <c r="AZ1054" s="208"/>
      <c r="BA1054" s="208"/>
      <c r="BB1054" s="208"/>
      <c r="BC1054" s="208"/>
      <c r="BD1054" s="208"/>
      <c r="BE1054" s="208"/>
      <c r="BF1054" s="208"/>
      <c r="BG1054" s="208"/>
      <c r="BH1054" s="208"/>
      <c r="BI1054" s="323"/>
    </row>
    <row r="1055" spans="3:61" ht="15" customHeight="1">
      <c r="C1055" s="327"/>
      <c r="D1055" s="328"/>
      <c r="E1055" s="213"/>
      <c r="F1055" s="213"/>
      <c r="G1055" s="213"/>
      <c r="H1055" s="213"/>
      <c r="I1055" s="213"/>
      <c r="K1055" s="56"/>
      <c r="L1055" s="312"/>
      <c r="M1055" s="312"/>
      <c r="N1055" s="312"/>
      <c r="O1055" s="312"/>
      <c r="P1055" s="318" t="str">
        <f t="shared" si="50"/>
        <v/>
      </c>
      <c r="Q1055" s="205" t="str">
        <f t="shared" si="48"/>
        <v/>
      </c>
      <c r="R1055" s="176"/>
      <c r="S1055" s="319" t="str">
        <f t="shared" si="49"/>
        <v/>
      </c>
      <c r="U1055" s="318"/>
      <c r="V1055" s="794"/>
      <c r="W1055" s="795"/>
      <c r="X1055" s="482"/>
      <c r="Y1055" s="482"/>
      <c r="Z1055" s="482"/>
      <c r="AA1055" s="319"/>
      <c r="AB1055" s="220"/>
      <c r="AC1055" s="318"/>
      <c r="AD1055" s="319"/>
      <c r="AE1055" s="220"/>
      <c r="AF1055" s="320"/>
      <c r="AG1055" s="205"/>
      <c r="AH1055" s="205"/>
      <c r="AI1055" s="205"/>
      <c r="AJ1055" s="205"/>
      <c r="AK1055" s="205"/>
      <c r="AL1055" s="205"/>
      <c r="AM1055" s="205"/>
      <c r="AN1055" s="205"/>
      <c r="AO1055" s="205"/>
      <c r="AP1055" s="205"/>
      <c r="AQ1055" s="205"/>
      <c r="AR1055" s="205"/>
      <c r="AS1055" s="205"/>
      <c r="AT1055" s="205"/>
      <c r="AU1055" s="205"/>
      <c r="AV1055" s="205"/>
      <c r="AW1055" s="205"/>
      <c r="AX1055" s="205"/>
      <c r="AY1055" s="205"/>
      <c r="AZ1055" s="205"/>
      <c r="BA1055" s="205"/>
      <c r="BB1055" s="205"/>
      <c r="BC1055" s="205"/>
      <c r="BD1055" s="205"/>
      <c r="BE1055" s="205"/>
      <c r="BF1055" s="205"/>
      <c r="BG1055" s="205"/>
      <c r="BH1055" s="205"/>
      <c r="BI1055" s="319"/>
    </row>
    <row r="1056" spans="3:61" ht="15" customHeight="1">
      <c r="C1056" s="327"/>
      <c r="D1056" s="328"/>
      <c r="E1056" s="213"/>
      <c r="F1056" s="213"/>
      <c r="G1056" s="213"/>
      <c r="H1056" s="213"/>
      <c r="I1056" s="213"/>
      <c r="K1056" s="56"/>
      <c r="L1056" s="312"/>
      <c r="M1056" s="312"/>
      <c r="N1056" s="312"/>
      <c r="O1056" s="312"/>
      <c r="P1056" s="322" t="str">
        <f t="shared" si="50"/>
        <v/>
      </c>
      <c r="Q1056" s="208" t="str">
        <f t="shared" si="48"/>
        <v/>
      </c>
      <c r="R1056" s="175"/>
      <c r="S1056" s="323" t="str">
        <f t="shared" si="49"/>
        <v/>
      </c>
      <c r="U1056" s="322"/>
      <c r="V1056" s="791"/>
      <c r="W1056" s="792"/>
      <c r="X1056" s="480"/>
      <c r="Y1056" s="480"/>
      <c r="Z1056" s="480"/>
      <c r="AA1056" s="323"/>
      <c r="AB1056" s="220"/>
      <c r="AC1056" s="322"/>
      <c r="AD1056" s="323"/>
      <c r="AE1056" s="220"/>
      <c r="AF1056" s="324"/>
      <c r="AG1056" s="208"/>
      <c r="AH1056" s="208"/>
      <c r="AI1056" s="208"/>
      <c r="AJ1056" s="208"/>
      <c r="AK1056" s="208"/>
      <c r="AL1056" s="208"/>
      <c r="AM1056" s="208"/>
      <c r="AN1056" s="208"/>
      <c r="AO1056" s="208"/>
      <c r="AP1056" s="208"/>
      <c r="AQ1056" s="208"/>
      <c r="AR1056" s="208"/>
      <c r="AS1056" s="208"/>
      <c r="AT1056" s="208"/>
      <c r="AU1056" s="208"/>
      <c r="AV1056" s="208"/>
      <c r="AW1056" s="208"/>
      <c r="AX1056" s="208"/>
      <c r="AY1056" s="208"/>
      <c r="AZ1056" s="208"/>
      <c r="BA1056" s="208"/>
      <c r="BB1056" s="208"/>
      <c r="BC1056" s="208"/>
      <c r="BD1056" s="208"/>
      <c r="BE1056" s="208"/>
      <c r="BF1056" s="208"/>
      <c r="BG1056" s="208"/>
      <c r="BH1056" s="208"/>
      <c r="BI1056" s="323"/>
    </row>
    <row r="1057" spans="3:61" ht="15" customHeight="1">
      <c r="C1057" s="327"/>
      <c r="D1057" s="328"/>
      <c r="E1057" s="213"/>
      <c r="F1057" s="213"/>
      <c r="G1057" s="213"/>
      <c r="H1057" s="213"/>
      <c r="I1057" s="213"/>
      <c r="K1057" s="56"/>
      <c r="L1057" s="312"/>
      <c r="M1057" s="312"/>
      <c r="N1057" s="312"/>
      <c r="O1057" s="312"/>
      <c r="P1057" s="318" t="str">
        <f t="shared" si="50"/>
        <v/>
      </c>
      <c r="Q1057" s="205" t="str">
        <f t="shared" si="48"/>
        <v/>
      </c>
      <c r="R1057" s="176"/>
      <c r="S1057" s="319" t="str">
        <f t="shared" si="49"/>
        <v/>
      </c>
      <c r="U1057" s="318"/>
      <c r="V1057" s="794"/>
      <c r="W1057" s="795"/>
      <c r="X1057" s="482"/>
      <c r="Y1057" s="482"/>
      <c r="Z1057" s="482"/>
      <c r="AA1057" s="319"/>
      <c r="AB1057" s="220"/>
      <c r="AC1057" s="318"/>
      <c r="AD1057" s="319"/>
      <c r="AE1057" s="220"/>
      <c r="AF1057" s="320"/>
      <c r="AG1057" s="205"/>
      <c r="AH1057" s="205"/>
      <c r="AI1057" s="205"/>
      <c r="AJ1057" s="205"/>
      <c r="AK1057" s="205"/>
      <c r="AL1057" s="205"/>
      <c r="AM1057" s="205"/>
      <c r="AN1057" s="205"/>
      <c r="AO1057" s="205"/>
      <c r="AP1057" s="205"/>
      <c r="AQ1057" s="205"/>
      <c r="AR1057" s="205"/>
      <c r="AS1057" s="205"/>
      <c r="AT1057" s="205"/>
      <c r="AU1057" s="205"/>
      <c r="AV1057" s="205"/>
      <c r="AW1057" s="205"/>
      <c r="AX1057" s="205"/>
      <c r="AY1057" s="205"/>
      <c r="AZ1057" s="205"/>
      <c r="BA1057" s="205"/>
      <c r="BB1057" s="205"/>
      <c r="BC1057" s="205"/>
      <c r="BD1057" s="205"/>
      <c r="BE1057" s="205"/>
      <c r="BF1057" s="205"/>
      <c r="BG1057" s="205"/>
      <c r="BH1057" s="205"/>
      <c r="BI1057" s="319"/>
    </row>
    <row r="1058" spans="3:61" ht="15" customHeight="1">
      <c r="C1058" s="327"/>
      <c r="D1058" s="328"/>
      <c r="E1058" s="213"/>
      <c r="F1058" s="213"/>
      <c r="G1058" s="213"/>
      <c r="H1058" s="213"/>
      <c r="I1058" s="213"/>
      <c r="K1058" s="56"/>
      <c r="L1058" s="312"/>
      <c r="M1058" s="312"/>
      <c r="N1058" s="312"/>
      <c r="O1058" s="312"/>
      <c r="P1058" s="322" t="str">
        <f t="shared" si="50"/>
        <v/>
      </c>
      <c r="Q1058" s="208" t="str">
        <f t="shared" si="48"/>
        <v/>
      </c>
      <c r="R1058" s="175"/>
      <c r="S1058" s="323" t="str">
        <f t="shared" si="49"/>
        <v/>
      </c>
      <c r="U1058" s="322"/>
      <c r="V1058" s="791"/>
      <c r="W1058" s="792"/>
      <c r="X1058" s="480"/>
      <c r="Y1058" s="480"/>
      <c r="Z1058" s="480"/>
      <c r="AA1058" s="323"/>
      <c r="AB1058" s="220"/>
      <c r="AC1058" s="322"/>
      <c r="AD1058" s="323"/>
      <c r="AE1058" s="220"/>
      <c r="AF1058" s="324"/>
      <c r="AG1058" s="208"/>
      <c r="AH1058" s="208"/>
      <c r="AI1058" s="208"/>
      <c r="AJ1058" s="208"/>
      <c r="AK1058" s="208"/>
      <c r="AL1058" s="208"/>
      <c r="AM1058" s="208"/>
      <c r="AN1058" s="208"/>
      <c r="AO1058" s="208"/>
      <c r="AP1058" s="208"/>
      <c r="AQ1058" s="208"/>
      <c r="AR1058" s="208"/>
      <c r="AS1058" s="208"/>
      <c r="AT1058" s="208"/>
      <c r="AU1058" s="208"/>
      <c r="AV1058" s="208"/>
      <c r="AW1058" s="208"/>
      <c r="AX1058" s="208"/>
      <c r="AY1058" s="208"/>
      <c r="AZ1058" s="208"/>
      <c r="BA1058" s="208"/>
      <c r="BB1058" s="208"/>
      <c r="BC1058" s="208"/>
      <c r="BD1058" s="208"/>
      <c r="BE1058" s="208"/>
      <c r="BF1058" s="208"/>
      <c r="BG1058" s="208"/>
      <c r="BH1058" s="208"/>
      <c r="BI1058" s="323"/>
    </row>
    <row r="1059" spans="3:61" ht="15" customHeight="1">
      <c r="C1059" s="327"/>
      <c r="D1059" s="328"/>
      <c r="E1059" s="213"/>
      <c r="F1059" s="213"/>
      <c r="G1059" s="213"/>
      <c r="H1059" s="213"/>
      <c r="I1059" s="213"/>
      <c r="K1059" s="56"/>
      <c r="L1059" s="312"/>
      <c r="M1059" s="312"/>
      <c r="N1059" s="312"/>
      <c r="O1059" s="312"/>
      <c r="P1059" s="318" t="str">
        <f t="shared" si="50"/>
        <v/>
      </c>
      <c r="Q1059" s="205" t="str">
        <f t="shared" si="48"/>
        <v/>
      </c>
      <c r="R1059" s="176"/>
      <c r="S1059" s="319" t="str">
        <f t="shared" si="49"/>
        <v/>
      </c>
      <c r="U1059" s="318"/>
      <c r="V1059" s="794"/>
      <c r="W1059" s="795"/>
      <c r="X1059" s="482"/>
      <c r="Y1059" s="482"/>
      <c r="Z1059" s="482"/>
      <c r="AA1059" s="319"/>
      <c r="AB1059" s="220"/>
      <c r="AC1059" s="318"/>
      <c r="AD1059" s="319"/>
      <c r="AE1059" s="220"/>
      <c r="AF1059" s="320"/>
      <c r="AG1059" s="205"/>
      <c r="AH1059" s="205"/>
      <c r="AI1059" s="205"/>
      <c r="AJ1059" s="205"/>
      <c r="AK1059" s="205"/>
      <c r="AL1059" s="205"/>
      <c r="AM1059" s="205"/>
      <c r="AN1059" s="205"/>
      <c r="AO1059" s="205"/>
      <c r="AP1059" s="205"/>
      <c r="AQ1059" s="205"/>
      <c r="AR1059" s="205"/>
      <c r="AS1059" s="205"/>
      <c r="AT1059" s="205"/>
      <c r="AU1059" s="205"/>
      <c r="AV1059" s="205"/>
      <c r="AW1059" s="205"/>
      <c r="AX1059" s="205"/>
      <c r="AY1059" s="205"/>
      <c r="AZ1059" s="205"/>
      <c r="BA1059" s="205"/>
      <c r="BB1059" s="205"/>
      <c r="BC1059" s="205"/>
      <c r="BD1059" s="205"/>
      <c r="BE1059" s="205"/>
      <c r="BF1059" s="205"/>
      <c r="BG1059" s="205"/>
      <c r="BH1059" s="205"/>
      <c r="BI1059" s="319"/>
    </row>
    <row r="1060" spans="3:61" ht="15" customHeight="1">
      <c r="C1060" s="327"/>
      <c r="D1060" s="328"/>
      <c r="E1060" s="213"/>
      <c r="F1060" s="213"/>
      <c r="G1060" s="213"/>
      <c r="H1060" s="213"/>
      <c r="I1060" s="213"/>
      <c r="K1060" s="56"/>
      <c r="L1060" s="312"/>
      <c r="M1060" s="312"/>
      <c r="N1060" s="312"/>
      <c r="O1060" s="312"/>
      <c r="P1060" s="322" t="str">
        <f t="shared" si="50"/>
        <v/>
      </c>
      <c r="Q1060" s="208" t="str">
        <f t="shared" si="48"/>
        <v/>
      </c>
      <c r="R1060" s="175"/>
      <c r="S1060" s="323" t="str">
        <f t="shared" si="49"/>
        <v/>
      </c>
      <c r="U1060" s="322"/>
      <c r="V1060" s="791"/>
      <c r="W1060" s="792"/>
      <c r="X1060" s="480"/>
      <c r="Y1060" s="480"/>
      <c r="Z1060" s="480"/>
      <c r="AA1060" s="323"/>
      <c r="AB1060" s="220"/>
      <c r="AC1060" s="322"/>
      <c r="AD1060" s="323"/>
      <c r="AE1060" s="220"/>
      <c r="AF1060" s="324"/>
      <c r="AG1060" s="208"/>
      <c r="AH1060" s="208"/>
      <c r="AI1060" s="208"/>
      <c r="AJ1060" s="208"/>
      <c r="AK1060" s="208"/>
      <c r="AL1060" s="208"/>
      <c r="AM1060" s="208"/>
      <c r="AN1060" s="208"/>
      <c r="AO1060" s="208"/>
      <c r="AP1060" s="208"/>
      <c r="AQ1060" s="208"/>
      <c r="AR1060" s="208"/>
      <c r="AS1060" s="208"/>
      <c r="AT1060" s="208"/>
      <c r="AU1060" s="208"/>
      <c r="AV1060" s="208"/>
      <c r="AW1060" s="208"/>
      <c r="AX1060" s="208"/>
      <c r="AY1060" s="208"/>
      <c r="AZ1060" s="208"/>
      <c r="BA1060" s="208"/>
      <c r="BB1060" s="208"/>
      <c r="BC1060" s="208"/>
      <c r="BD1060" s="208"/>
      <c r="BE1060" s="208"/>
      <c r="BF1060" s="208"/>
      <c r="BG1060" s="208"/>
      <c r="BH1060" s="208"/>
      <c r="BI1060" s="323"/>
    </row>
    <row r="1061" spans="3:61" ht="15" customHeight="1">
      <c r="C1061" s="327"/>
      <c r="D1061" s="328"/>
      <c r="E1061" s="213"/>
      <c r="F1061" s="213"/>
      <c r="G1061" s="213"/>
      <c r="H1061" s="213"/>
      <c r="I1061" s="213"/>
      <c r="K1061" s="56"/>
      <c r="L1061" s="312"/>
      <c r="M1061" s="312"/>
      <c r="N1061" s="312"/>
      <c r="O1061" s="312"/>
      <c r="P1061" s="318" t="str">
        <f t="shared" si="50"/>
        <v/>
      </c>
      <c r="Q1061" s="205" t="str">
        <f t="shared" si="48"/>
        <v/>
      </c>
      <c r="R1061" s="176"/>
      <c r="S1061" s="319" t="str">
        <f t="shared" si="49"/>
        <v/>
      </c>
      <c r="U1061" s="318"/>
      <c r="V1061" s="794"/>
      <c r="W1061" s="795"/>
      <c r="X1061" s="482"/>
      <c r="Y1061" s="482"/>
      <c r="Z1061" s="482"/>
      <c r="AA1061" s="319"/>
      <c r="AB1061" s="220"/>
      <c r="AC1061" s="318"/>
      <c r="AD1061" s="319"/>
      <c r="AE1061" s="220"/>
      <c r="AF1061" s="320"/>
      <c r="AG1061" s="205"/>
      <c r="AH1061" s="205"/>
      <c r="AI1061" s="205"/>
      <c r="AJ1061" s="205"/>
      <c r="AK1061" s="205"/>
      <c r="AL1061" s="205"/>
      <c r="AM1061" s="205"/>
      <c r="AN1061" s="205"/>
      <c r="AO1061" s="205"/>
      <c r="AP1061" s="205"/>
      <c r="AQ1061" s="205"/>
      <c r="AR1061" s="205"/>
      <c r="AS1061" s="205"/>
      <c r="AT1061" s="205"/>
      <c r="AU1061" s="205"/>
      <c r="AV1061" s="205"/>
      <c r="AW1061" s="205"/>
      <c r="AX1061" s="205"/>
      <c r="AY1061" s="205"/>
      <c r="AZ1061" s="205"/>
      <c r="BA1061" s="205"/>
      <c r="BB1061" s="205"/>
      <c r="BC1061" s="205"/>
      <c r="BD1061" s="205"/>
      <c r="BE1061" s="205"/>
      <c r="BF1061" s="205"/>
      <c r="BG1061" s="205"/>
      <c r="BH1061" s="205"/>
      <c r="BI1061" s="319"/>
    </row>
    <row r="1062" spans="3:61" ht="15" customHeight="1">
      <c r="C1062" s="327"/>
      <c r="D1062" s="328"/>
      <c r="E1062" s="213"/>
      <c r="F1062" s="213"/>
      <c r="G1062" s="213"/>
      <c r="H1062" s="213"/>
      <c r="I1062" s="213"/>
      <c r="K1062" s="56"/>
      <c r="L1062" s="312"/>
      <c r="M1062" s="312"/>
      <c r="N1062" s="312"/>
      <c r="O1062" s="312"/>
      <c r="P1062" s="322" t="str">
        <f t="shared" si="50"/>
        <v/>
      </c>
      <c r="Q1062" s="208" t="str">
        <f t="shared" si="48"/>
        <v/>
      </c>
      <c r="R1062" s="175"/>
      <c r="S1062" s="323" t="str">
        <f t="shared" si="49"/>
        <v/>
      </c>
      <c r="U1062" s="322"/>
      <c r="V1062" s="791"/>
      <c r="W1062" s="792"/>
      <c r="X1062" s="480"/>
      <c r="Y1062" s="480"/>
      <c r="Z1062" s="480"/>
      <c r="AA1062" s="323"/>
      <c r="AB1062" s="220"/>
      <c r="AC1062" s="322"/>
      <c r="AD1062" s="323"/>
      <c r="AE1062" s="220"/>
      <c r="AF1062" s="324"/>
      <c r="AG1062" s="208"/>
      <c r="AH1062" s="208"/>
      <c r="AI1062" s="208"/>
      <c r="AJ1062" s="208"/>
      <c r="AK1062" s="208"/>
      <c r="AL1062" s="208"/>
      <c r="AM1062" s="208"/>
      <c r="AN1062" s="208"/>
      <c r="AO1062" s="208"/>
      <c r="AP1062" s="208"/>
      <c r="AQ1062" s="208"/>
      <c r="AR1062" s="208"/>
      <c r="AS1062" s="208"/>
      <c r="AT1062" s="208"/>
      <c r="AU1062" s="208"/>
      <c r="AV1062" s="208"/>
      <c r="AW1062" s="208"/>
      <c r="AX1062" s="208"/>
      <c r="AY1062" s="208"/>
      <c r="AZ1062" s="208"/>
      <c r="BA1062" s="208"/>
      <c r="BB1062" s="208"/>
      <c r="BC1062" s="208"/>
      <c r="BD1062" s="208"/>
      <c r="BE1062" s="208"/>
      <c r="BF1062" s="208"/>
      <c r="BG1062" s="208"/>
      <c r="BH1062" s="208"/>
      <c r="BI1062" s="323"/>
    </row>
    <row r="1063" spans="3:61" ht="15" customHeight="1">
      <c r="C1063" s="327"/>
      <c r="D1063" s="328"/>
      <c r="E1063" s="213"/>
      <c r="F1063" s="213"/>
      <c r="G1063" s="213"/>
      <c r="H1063" s="213"/>
      <c r="I1063" s="213"/>
      <c r="K1063" s="56"/>
      <c r="L1063" s="312"/>
      <c r="M1063" s="312"/>
      <c r="N1063" s="312"/>
      <c r="O1063" s="312"/>
      <c r="P1063" s="318" t="str">
        <f t="shared" si="50"/>
        <v/>
      </c>
      <c r="Q1063" s="205" t="str">
        <f t="shared" si="48"/>
        <v/>
      </c>
      <c r="R1063" s="176"/>
      <c r="S1063" s="319" t="str">
        <f t="shared" si="49"/>
        <v/>
      </c>
      <c r="U1063" s="318"/>
      <c r="V1063" s="794"/>
      <c r="W1063" s="795"/>
      <c r="X1063" s="482"/>
      <c r="Y1063" s="482"/>
      <c r="Z1063" s="482"/>
      <c r="AA1063" s="319"/>
      <c r="AB1063" s="220"/>
      <c r="AC1063" s="318"/>
      <c r="AD1063" s="319"/>
      <c r="AE1063" s="220"/>
      <c r="AF1063" s="320"/>
      <c r="AG1063" s="205"/>
      <c r="AH1063" s="205"/>
      <c r="AI1063" s="205"/>
      <c r="AJ1063" s="205"/>
      <c r="AK1063" s="205"/>
      <c r="AL1063" s="205"/>
      <c r="AM1063" s="205"/>
      <c r="AN1063" s="205"/>
      <c r="AO1063" s="205"/>
      <c r="AP1063" s="205"/>
      <c r="AQ1063" s="205"/>
      <c r="AR1063" s="205"/>
      <c r="AS1063" s="205"/>
      <c r="AT1063" s="205"/>
      <c r="AU1063" s="205"/>
      <c r="AV1063" s="205"/>
      <c r="AW1063" s="205"/>
      <c r="AX1063" s="205"/>
      <c r="AY1063" s="205"/>
      <c r="AZ1063" s="205"/>
      <c r="BA1063" s="205"/>
      <c r="BB1063" s="205"/>
      <c r="BC1063" s="205"/>
      <c r="BD1063" s="205"/>
      <c r="BE1063" s="205"/>
      <c r="BF1063" s="205"/>
      <c r="BG1063" s="205"/>
      <c r="BH1063" s="205"/>
      <c r="BI1063" s="319"/>
    </row>
    <row r="1064" spans="3:61" ht="15" customHeight="1">
      <c r="C1064" s="327"/>
      <c r="D1064" s="328"/>
      <c r="E1064" s="213"/>
      <c r="F1064" s="213"/>
      <c r="G1064" s="213"/>
      <c r="H1064" s="213"/>
      <c r="I1064" s="213"/>
      <c r="K1064" s="56"/>
      <c r="L1064" s="312"/>
      <c r="M1064" s="312"/>
      <c r="N1064" s="312"/>
      <c r="O1064" s="312"/>
      <c r="P1064" s="322" t="str">
        <f t="shared" si="50"/>
        <v/>
      </c>
      <c r="Q1064" s="208" t="str">
        <f t="shared" si="48"/>
        <v/>
      </c>
      <c r="R1064" s="175"/>
      <c r="S1064" s="323" t="str">
        <f t="shared" si="49"/>
        <v/>
      </c>
      <c r="U1064" s="322"/>
      <c r="V1064" s="791"/>
      <c r="W1064" s="792"/>
      <c r="X1064" s="480"/>
      <c r="Y1064" s="480"/>
      <c r="Z1064" s="480"/>
      <c r="AA1064" s="323"/>
      <c r="AB1064" s="220"/>
      <c r="AC1064" s="322"/>
      <c r="AD1064" s="323"/>
      <c r="AE1064" s="220"/>
      <c r="AF1064" s="324"/>
      <c r="AG1064" s="208"/>
      <c r="AH1064" s="208"/>
      <c r="AI1064" s="208"/>
      <c r="AJ1064" s="208"/>
      <c r="AK1064" s="208"/>
      <c r="AL1064" s="208"/>
      <c r="AM1064" s="208"/>
      <c r="AN1064" s="208"/>
      <c r="AO1064" s="208"/>
      <c r="AP1064" s="208"/>
      <c r="AQ1064" s="208"/>
      <c r="AR1064" s="208"/>
      <c r="AS1064" s="208"/>
      <c r="AT1064" s="208"/>
      <c r="AU1064" s="208"/>
      <c r="AV1064" s="208"/>
      <c r="AW1064" s="208"/>
      <c r="AX1064" s="208"/>
      <c r="AY1064" s="208"/>
      <c r="AZ1064" s="208"/>
      <c r="BA1064" s="208"/>
      <c r="BB1064" s="208"/>
      <c r="BC1064" s="208"/>
      <c r="BD1064" s="208"/>
      <c r="BE1064" s="208"/>
      <c r="BF1064" s="208"/>
      <c r="BG1064" s="208"/>
      <c r="BH1064" s="208"/>
      <c r="BI1064" s="323"/>
    </row>
    <row r="1065" spans="3:61" ht="15" customHeight="1">
      <c r="C1065" s="327"/>
      <c r="D1065" s="328"/>
      <c r="E1065" s="213"/>
      <c r="F1065" s="213"/>
      <c r="G1065" s="213"/>
      <c r="H1065" s="213"/>
      <c r="I1065" s="213"/>
      <c r="K1065" s="56"/>
      <c r="L1065" s="312"/>
      <c r="M1065" s="312"/>
      <c r="N1065" s="312"/>
      <c r="O1065" s="312"/>
      <c r="P1065" s="318" t="str">
        <f t="shared" si="50"/>
        <v/>
      </c>
      <c r="Q1065" s="205" t="str">
        <f t="shared" si="48"/>
        <v/>
      </c>
      <c r="R1065" s="176"/>
      <c r="S1065" s="319" t="str">
        <f t="shared" si="49"/>
        <v/>
      </c>
      <c r="U1065" s="318"/>
      <c r="V1065" s="794"/>
      <c r="W1065" s="795"/>
      <c r="X1065" s="482"/>
      <c r="Y1065" s="482"/>
      <c r="Z1065" s="482"/>
      <c r="AA1065" s="319"/>
      <c r="AB1065" s="220"/>
      <c r="AC1065" s="318"/>
      <c r="AD1065" s="319"/>
      <c r="AE1065" s="220"/>
      <c r="AF1065" s="320"/>
      <c r="AG1065" s="205"/>
      <c r="AH1065" s="205"/>
      <c r="AI1065" s="205"/>
      <c r="AJ1065" s="205"/>
      <c r="AK1065" s="205"/>
      <c r="AL1065" s="205"/>
      <c r="AM1065" s="205"/>
      <c r="AN1065" s="205"/>
      <c r="AO1065" s="205"/>
      <c r="AP1065" s="205"/>
      <c r="AQ1065" s="205"/>
      <c r="AR1065" s="205"/>
      <c r="AS1065" s="205"/>
      <c r="AT1065" s="205"/>
      <c r="AU1065" s="205"/>
      <c r="AV1065" s="205"/>
      <c r="AW1065" s="205"/>
      <c r="AX1065" s="205"/>
      <c r="AY1065" s="205"/>
      <c r="AZ1065" s="205"/>
      <c r="BA1065" s="205"/>
      <c r="BB1065" s="205"/>
      <c r="BC1065" s="205"/>
      <c r="BD1065" s="205"/>
      <c r="BE1065" s="205"/>
      <c r="BF1065" s="205"/>
      <c r="BG1065" s="205"/>
      <c r="BH1065" s="205"/>
      <c r="BI1065" s="319"/>
    </row>
    <row r="1066" spans="3:61" ht="15" customHeight="1">
      <c r="C1066" s="327"/>
      <c r="D1066" s="328"/>
      <c r="E1066" s="213"/>
      <c r="F1066" s="213"/>
      <c r="G1066" s="213"/>
      <c r="H1066" s="213"/>
      <c r="I1066" s="213"/>
      <c r="K1066" s="56"/>
      <c r="L1066" s="312"/>
      <c r="M1066" s="312"/>
      <c r="N1066" s="312"/>
      <c r="O1066" s="312"/>
      <c r="P1066" s="322" t="str">
        <f t="shared" si="50"/>
        <v/>
      </c>
      <c r="Q1066" s="208" t="str">
        <f t="shared" si="48"/>
        <v/>
      </c>
      <c r="R1066" s="175"/>
      <c r="S1066" s="323" t="str">
        <f t="shared" si="49"/>
        <v/>
      </c>
      <c r="U1066" s="322"/>
      <c r="V1066" s="791"/>
      <c r="W1066" s="792"/>
      <c r="X1066" s="480"/>
      <c r="Y1066" s="480"/>
      <c r="Z1066" s="480"/>
      <c r="AA1066" s="323"/>
      <c r="AB1066" s="220"/>
      <c r="AC1066" s="322"/>
      <c r="AD1066" s="323"/>
      <c r="AE1066" s="220"/>
      <c r="AF1066" s="324"/>
      <c r="AG1066" s="208"/>
      <c r="AH1066" s="208"/>
      <c r="AI1066" s="208"/>
      <c r="AJ1066" s="208"/>
      <c r="AK1066" s="208"/>
      <c r="AL1066" s="208"/>
      <c r="AM1066" s="208"/>
      <c r="AN1066" s="208"/>
      <c r="AO1066" s="208"/>
      <c r="AP1066" s="208"/>
      <c r="AQ1066" s="208"/>
      <c r="AR1066" s="208"/>
      <c r="AS1066" s="208"/>
      <c r="AT1066" s="208"/>
      <c r="AU1066" s="208"/>
      <c r="AV1066" s="208"/>
      <c r="AW1066" s="208"/>
      <c r="AX1066" s="208"/>
      <c r="AY1066" s="208"/>
      <c r="AZ1066" s="208"/>
      <c r="BA1066" s="208"/>
      <c r="BB1066" s="208"/>
      <c r="BC1066" s="208"/>
      <c r="BD1066" s="208"/>
      <c r="BE1066" s="208"/>
      <c r="BF1066" s="208"/>
      <c r="BG1066" s="208"/>
      <c r="BH1066" s="208"/>
      <c r="BI1066" s="323"/>
    </row>
    <row r="1067" spans="3:61" ht="15" customHeight="1">
      <c r="C1067" s="327"/>
      <c r="D1067" s="328"/>
      <c r="E1067" s="213"/>
      <c r="F1067" s="213"/>
      <c r="G1067" s="213"/>
      <c r="H1067" s="213"/>
      <c r="I1067" s="213"/>
      <c r="K1067" s="56"/>
      <c r="L1067" s="312"/>
      <c r="M1067" s="312"/>
      <c r="N1067" s="312"/>
      <c r="O1067" s="312"/>
      <c r="P1067" s="318" t="str">
        <f t="shared" si="50"/>
        <v/>
      </c>
      <c r="Q1067" s="205" t="str">
        <f t="shared" si="48"/>
        <v/>
      </c>
      <c r="R1067" s="176"/>
      <c r="S1067" s="319" t="str">
        <f t="shared" si="49"/>
        <v/>
      </c>
      <c r="U1067" s="318"/>
      <c r="V1067" s="794"/>
      <c r="W1067" s="795"/>
      <c r="X1067" s="482"/>
      <c r="Y1067" s="482"/>
      <c r="Z1067" s="482"/>
      <c r="AA1067" s="319"/>
      <c r="AB1067" s="220"/>
      <c r="AC1067" s="318"/>
      <c r="AD1067" s="319"/>
      <c r="AE1067" s="220"/>
      <c r="AF1067" s="320"/>
      <c r="AG1067" s="205"/>
      <c r="AH1067" s="205"/>
      <c r="AI1067" s="205"/>
      <c r="AJ1067" s="205"/>
      <c r="AK1067" s="205"/>
      <c r="AL1067" s="205"/>
      <c r="AM1067" s="205"/>
      <c r="AN1067" s="205"/>
      <c r="AO1067" s="205"/>
      <c r="AP1067" s="205"/>
      <c r="AQ1067" s="205"/>
      <c r="AR1067" s="205"/>
      <c r="AS1067" s="205"/>
      <c r="AT1067" s="205"/>
      <c r="AU1067" s="205"/>
      <c r="AV1067" s="205"/>
      <c r="AW1067" s="205"/>
      <c r="AX1067" s="205"/>
      <c r="AY1067" s="205"/>
      <c r="AZ1067" s="205"/>
      <c r="BA1067" s="205"/>
      <c r="BB1067" s="205"/>
      <c r="BC1067" s="205"/>
      <c r="BD1067" s="205"/>
      <c r="BE1067" s="205"/>
      <c r="BF1067" s="205"/>
      <c r="BG1067" s="205"/>
      <c r="BH1067" s="205"/>
      <c r="BI1067" s="319"/>
    </row>
    <row r="1068" spans="3:61" ht="15" customHeight="1">
      <c r="C1068" s="327"/>
      <c r="D1068" s="328"/>
      <c r="E1068" s="213"/>
      <c r="F1068" s="213"/>
      <c r="G1068" s="213"/>
      <c r="H1068" s="213"/>
      <c r="I1068" s="213"/>
      <c r="K1068" s="56"/>
      <c r="L1068" s="312"/>
      <c r="M1068" s="312"/>
      <c r="N1068" s="312"/>
      <c r="O1068" s="312"/>
      <c r="P1068" s="322" t="str">
        <f t="shared" si="50"/>
        <v/>
      </c>
      <c r="Q1068" s="208" t="str">
        <f t="shared" si="48"/>
        <v/>
      </c>
      <c r="R1068" s="175"/>
      <c r="S1068" s="323" t="str">
        <f t="shared" si="49"/>
        <v/>
      </c>
      <c r="U1068" s="322"/>
      <c r="V1068" s="791"/>
      <c r="W1068" s="792"/>
      <c r="X1068" s="480"/>
      <c r="Y1068" s="480"/>
      <c r="Z1068" s="480"/>
      <c r="AA1068" s="323"/>
      <c r="AB1068" s="220"/>
      <c r="AC1068" s="322"/>
      <c r="AD1068" s="323"/>
      <c r="AE1068" s="220"/>
      <c r="AF1068" s="324"/>
      <c r="AG1068" s="208"/>
      <c r="AH1068" s="208"/>
      <c r="AI1068" s="208"/>
      <c r="AJ1068" s="208"/>
      <c r="AK1068" s="208"/>
      <c r="AL1068" s="208"/>
      <c r="AM1068" s="208"/>
      <c r="AN1068" s="208"/>
      <c r="AO1068" s="208"/>
      <c r="AP1068" s="208"/>
      <c r="AQ1068" s="208"/>
      <c r="AR1068" s="208"/>
      <c r="AS1068" s="208"/>
      <c r="AT1068" s="208"/>
      <c r="AU1068" s="208"/>
      <c r="AV1068" s="208"/>
      <c r="AW1068" s="208"/>
      <c r="AX1068" s="208"/>
      <c r="AY1068" s="208"/>
      <c r="AZ1068" s="208"/>
      <c r="BA1068" s="208"/>
      <c r="BB1068" s="208"/>
      <c r="BC1068" s="208"/>
      <c r="BD1068" s="208"/>
      <c r="BE1068" s="208"/>
      <c r="BF1068" s="208"/>
      <c r="BG1068" s="208"/>
      <c r="BH1068" s="208"/>
      <c r="BI1068" s="323"/>
    </row>
    <row r="1069" spans="3:61" ht="15" customHeight="1">
      <c r="C1069" s="327"/>
      <c r="D1069" s="328"/>
      <c r="E1069" s="213"/>
      <c r="F1069" s="213"/>
      <c r="G1069" s="213"/>
      <c r="H1069" s="213"/>
      <c r="I1069" s="213"/>
      <c r="K1069" s="56"/>
      <c r="L1069" s="312"/>
      <c r="M1069" s="312"/>
      <c r="N1069" s="312"/>
      <c r="O1069" s="312"/>
      <c r="P1069" s="318" t="str">
        <f t="shared" si="50"/>
        <v/>
      </c>
      <c r="Q1069" s="205" t="str">
        <f t="shared" si="48"/>
        <v/>
      </c>
      <c r="R1069" s="176"/>
      <c r="S1069" s="319" t="str">
        <f t="shared" si="49"/>
        <v/>
      </c>
      <c r="U1069" s="318"/>
      <c r="V1069" s="794"/>
      <c r="W1069" s="795"/>
      <c r="X1069" s="482"/>
      <c r="Y1069" s="482"/>
      <c r="Z1069" s="482"/>
      <c r="AA1069" s="319"/>
      <c r="AB1069" s="220"/>
      <c r="AC1069" s="318"/>
      <c r="AD1069" s="319"/>
      <c r="AE1069" s="220"/>
      <c r="AF1069" s="320"/>
      <c r="AG1069" s="205"/>
      <c r="AH1069" s="205"/>
      <c r="AI1069" s="205"/>
      <c r="AJ1069" s="205"/>
      <c r="AK1069" s="205"/>
      <c r="AL1069" s="205"/>
      <c r="AM1069" s="205"/>
      <c r="AN1069" s="205"/>
      <c r="AO1069" s="205"/>
      <c r="AP1069" s="205"/>
      <c r="AQ1069" s="205"/>
      <c r="AR1069" s="205"/>
      <c r="AS1069" s="205"/>
      <c r="AT1069" s="205"/>
      <c r="AU1069" s="205"/>
      <c r="AV1069" s="205"/>
      <c r="AW1069" s="205"/>
      <c r="AX1069" s="205"/>
      <c r="AY1069" s="205"/>
      <c r="AZ1069" s="205"/>
      <c r="BA1069" s="205"/>
      <c r="BB1069" s="205"/>
      <c r="BC1069" s="205"/>
      <c r="BD1069" s="205"/>
      <c r="BE1069" s="205"/>
      <c r="BF1069" s="205"/>
      <c r="BG1069" s="205"/>
      <c r="BH1069" s="205"/>
      <c r="BI1069" s="319"/>
    </row>
    <row r="1070" spans="3:61" ht="15" customHeight="1">
      <c r="C1070" s="327"/>
      <c r="D1070" s="328"/>
      <c r="E1070" s="213"/>
      <c r="F1070" s="213"/>
      <c r="G1070" s="213"/>
      <c r="H1070" s="213"/>
      <c r="I1070" s="213"/>
      <c r="K1070" s="56"/>
      <c r="L1070" s="312"/>
      <c r="M1070" s="312"/>
      <c r="N1070" s="312"/>
      <c r="O1070" s="312"/>
      <c r="P1070" s="322" t="str">
        <f t="shared" si="50"/>
        <v/>
      </c>
      <c r="Q1070" s="208" t="str">
        <f t="shared" si="48"/>
        <v/>
      </c>
      <c r="R1070" s="175"/>
      <c r="S1070" s="323" t="str">
        <f t="shared" si="49"/>
        <v/>
      </c>
      <c r="U1070" s="322"/>
      <c r="V1070" s="791"/>
      <c r="W1070" s="792"/>
      <c r="X1070" s="480"/>
      <c r="Y1070" s="480"/>
      <c r="Z1070" s="480"/>
      <c r="AA1070" s="323"/>
      <c r="AB1070" s="220"/>
      <c r="AC1070" s="322"/>
      <c r="AD1070" s="323"/>
      <c r="AE1070" s="220"/>
      <c r="AF1070" s="324"/>
      <c r="AG1070" s="208"/>
      <c r="AH1070" s="208"/>
      <c r="AI1070" s="208"/>
      <c r="AJ1070" s="208"/>
      <c r="AK1070" s="208"/>
      <c r="AL1070" s="208"/>
      <c r="AM1070" s="208"/>
      <c r="AN1070" s="208"/>
      <c r="AO1070" s="208"/>
      <c r="AP1070" s="208"/>
      <c r="AQ1070" s="208"/>
      <c r="AR1070" s="208"/>
      <c r="AS1070" s="208"/>
      <c r="AT1070" s="208"/>
      <c r="AU1070" s="208"/>
      <c r="AV1070" s="208"/>
      <c r="AW1070" s="208"/>
      <c r="AX1070" s="208"/>
      <c r="AY1070" s="208"/>
      <c r="AZ1070" s="208"/>
      <c r="BA1070" s="208"/>
      <c r="BB1070" s="208"/>
      <c r="BC1070" s="208"/>
      <c r="BD1070" s="208"/>
      <c r="BE1070" s="208"/>
      <c r="BF1070" s="208"/>
      <c r="BG1070" s="208"/>
      <c r="BH1070" s="208"/>
      <c r="BI1070" s="323"/>
    </row>
    <row r="1071" spans="3:61" ht="15" customHeight="1">
      <c r="C1071" s="327"/>
      <c r="D1071" s="328"/>
      <c r="E1071" s="213"/>
      <c r="F1071" s="213"/>
      <c r="G1071" s="213"/>
      <c r="H1071" s="213"/>
      <c r="I1071" s="213"/>
      <c r="K1071" s="56"/>
      <c r="L1071" s="312"/>
      <c r="M1071" s="312"/>
      <c r="N1071" s="312"/>
      <c r="O1071" s="312"/>
      <c r="P1071" s="318" t="str">
        <f t="shared" si="50"/>
        <v/>
      </c>
      <c r="Q1071" s="205" t="str">
        <f t="shared" si="48"/>
        <v/>
      </c>
      <c r="R1071" s="176"/>
      <c r="S1071" s="319" t="str">
        <f t="shared" si="49"/>
        <v/>
      </c>
      <c r="U1071" s="318"/>
      <c r="V1071" s="794"/>
      <c r="W1071" s="795"/>
      <c r="X1071" s="482"/>
      <c r="Y1071" s="482"/>
      <c r="Z1071" s="482"/>
      <c r="AA1071" s="319"/>
      <c r="AB1071" s="220"/>
      <c r="AC1071" s="318"/>
      <c r="AD1071" s="319"/>
      <c r="AE1071" s="220"/>
      <c r="AF1071" s="320"/>
      <c r="AG1071" s="205"/>
      <c r="AH1071" s="205"/>
      <c r="AI1071" s="205"/>
      <c r="AJ1071" s="205"/>
      <c r="AK1071" s="205"/>
      <c r="AL1071" s="205"/>
      <c r="AM1071" s="205"/>
      <c r="AN1071" s="205"/>
      <c r="AO1071" s="205"/>
      <c r="AP1071" s="205"/>
      <c r="AQ1071" s="205"/>
      <c r="AR1071" s="205"/>
      <c r="AS1071" s="205"/>
      <c r="AT1071" s="205"/>
      <c r="AU1071" s="205"/>
      <c r="AV1071" s="205"/>
      <c r="AW1071" s="205"/>
      <c r="AX1071" s="205"/>
      <c r="AY1071" s="205"/>
      <c r="AZ1071" s="205"/>
      <c r="BA1071" s="205"/>
      <c r="BB1071" s="205"/>
      <c r="BC1071" s="205"/>
      <c r="BD1071" s="205"/>
      <c r="BE1071" s="205"/>
      <c r="BF1071" s="205"/>
      <c r="BG1071" s="205"/>
      <c r="BH1071" s="205"/>
      <c r="BI1071" s="319"/>
    </row>
    <row r="1072" spans="3:61" ht="15" customHeight="1">
      <c r="C1072" s="327"/>
      <c r="D1072" s="328"/>
      <c r="E1072" s="213"/>
      <c r="F1072" s="213"/>
      <c r="G1072" s="213"/>
      <c r="H1072" s="213"/>
      <c r="I1072" s="213"/>
      <c r="K1072" s="56"/>
      <c r="L1072" s="312"/>
      <c r="M1072" s="312"/>
      <c r="N1072" s="312"/>
      <c r="O1072" s="312"/>
      <c r="P1072" s="322" t="str">
        <f t="shared" si="50"/>
        <v/>
      </c>
      <c r="Q1072" s="208" t="str">
        <f t="shared" si="48"/>
        <v/>
      </c>
      <c r="R1072" s="175"/>
      <c r="S1072" s="323" t="str">
        <f t="shared" si="49"/>
        <v/>
      </c>
      <c r="U1072" s="322"/>
      <c r="V1072" s="791"/>
      <c r="W1072" s="792"/>
      <c r="X1072" s="480"/>
      <c r="Y1072" s="480"/>
      <c r="Z1072" s="480"/>
      <c r="AA1072" s="323"/>
      <c r="AB1072" s="220"/>
      <c r="AC1072" s="322"/>
      <c r="AD1072" s="323"/>
      <c r="AE1072" s="220"/>
      <c r="AF1072" s="324"/>
      <c r="AG1072" s="208"/>
      <c r="AH1072" s="208"/>
      <c r="AI1072" s="208"/>
      <c r="AJ1072" s="208"/>
      <c r="AK1072" s="208"/>
      <c r="AL1072" s="208"/>
      <c r="AM1072" s="208"/>
      <c r="AN1072" s="208"/>
      <c r="AO1072" s="208"/>
      <c r="AP1072" s="208"/>
      <c r="AQ1072" s="208"/>
      <c r="AR1072" s="208"/>
      <c r="AS1072" s="208"/>
      <c r="AT1072" s="208"/>
      <c r="AU1072" s="208"/>
      <c r="AV1072" s="208"/>
      <c r="AW1072" s="208"/>
      <c r="AX1072" s="208"/>
      <c r="AY1072" s="208"/>
      <c r="AZ1072" s="208"/>
      <c r="BA1072" s="208"/>
      <c r="BB1072" s="208"/>
      <c r="BC1072" s="208"/>
      <c r="BD1072" s="208"/>
      <c r="BE1072" s="208"/>
      <c r="BF1072" s="208"/>
      <c r="BG1072" s="208"/>
      <c r="BH1072" s="208"/>
      <c r="BI1072" s="323"/>
    </row>
    <row r="1073" spans="3:61" ht="15" customHeight="1">
      <c r="C1073" s="327"/>
      <c r="D1073" s="328"/>
      <c r="E1073" s="213"/>
      <c r="F1073" s="213"/>
      <c r="G1073" s="213"/>
      <c r="H1073" s="213"/>
      <c r="I1073" s="213"/>
      <c r="K1073" s="56"/>
      <c r="L1073" s="312"/>
      <c r="M1073" s="312"/>
      <c r="N1073" s="312"/>
      <c r="O1073" s="312"/>
      <c r="P1073" s="318" t="str">
        <f t="shared" si="50"/>
        <v/>
      </c>
      <c r="Q1073" s="205" t="str">
        <f t="shared" si="48"/>
        <v/>
      </c>
      <c r="R1073" s="176"/>
      <c r="S1073" s="319" t="str">
        <f t="shared" si="49"/>
        <v/>
      </c>
      <c r="U1073" s="318"/>
      <c r="V1073" s="794"/>
      <c r="W1073" s="795"/>
      <c r="X1073" s="482"/>
      <c r="Y1073" s="482"/>
      <c r="Z1073" s="482"/>
      <c r="AA1073" s="319"/>
      <c r="AB1073" s="220"/>
      <c r="AC1073" s="318"/>
      <c r="AD1073" s="319"/>
      <c r="AE1073" s="220"/>
      <c r="AF1073" s="320"/>
      <c r="AG1073" s="205"/>
      <c r="AH1073" s="205"/>
      <c r="AI1073" s="205"/>
      <c r="AJ1073" s="205"/>
      <c r="AK1073" s="205"/>
      <c r="AL1073" s="205"/>
      <c r="AM1073" s="205"/>
      <c r="AN1073" s="205"/>
      <c r="AO1073" s="205"/>
      <c r="AP1073" s="205"/>
      <c r="AQ1073" s="205"/>
      <c r="AR1073" s="205"/>
      <c r="AS1073" s="205"/>
      <c r="AT1073" s="205"/>
      <c r="AU1073" s="205"/>
      <c r="AV1073" s="205"/>
      <c r="AW1073" s="205"/>
      <c r="AX1073" s="205"/>
      <c r="AY1073" s="205"/>
      <c r="AZ1073" s="205"/>
      <c r="BA1073" s="205"/>
      <c r="BB1073" s="205"/>
      <c r="BC1073" s="205"/>
      <c r="BD1073" s="205"/>
      <c r="BE1073" s="205"/>
      <c r="BF1073" s="205"/>
      <c r="BG1073" s="205"/>
      <c r="BH1073" s="205"/>
      <c r="BI1073" s="319"/>
    </row>
    <row r="1074" spans="3:61" ht="15" customHeight="1">
      <c r="C1074" s="327"/>
      <c r="D1074" s="328"/>
      <c r="E1074" s="213"/>
      <c r="F1074" s="213"/>
      <c r="G1074" s="213"/>
      <c r="H1074" s="213"/>
      <c r="I1074" s="213"/>
      <c r="K1074" s="56"/>
      <c r="L1074" s="312"/>
      <c r="M1074" s="312"/>
      <c r="N1074" s="312"/>
      <c r="O1074" s="312"/>
      <c r="P1074" s="322" t="str">
        <f t="shared" si="50"/>
        <v/>
      </c>
      <c r="Q1074" s="208" t="str">
        <f t="shared" si="48"/>
        <v/>
      </c>
      <c r="R1074" s="175"/>
      <c r="S1074" s="323" t="str">
        <f t="shared" si="49"/>
        <v/>
      </c>
      <c r="U1074" s="322"/>
      <c r="V1074" s="791"/>
      <c r="W1074" s="792"/>
      <c r="X1074" s="480"/>
      <c r="Y1074" s="480"/>
      <c r="Z1074" s="480"/>
      <c r="AA1074" s="323"/>
      <c r="AB1074" s="220"/>
      <c r="AC1074" s="322"/>
      <c r="AD1074" s="323"/>
      <c r="AE1074" s="220"/>
      <c r="AF1074" s="324"/>
      <c r="AG1074" s="208"/>
      <c r="AH1074" s="208"/>
      <c r="AI1074" s="208"/>
      <c r="AJ1074" s="208"/>
      <c r="AK1074" s="208"/>
      <c r="AL1074" s="208"/>
      <c r="AM1074" s="208"/>
      <c r="AN1074" s="208"/>
      <c r="AO1074" s="208"/>
      <c r="AP1074" s="208"/>
      <c r="AQ1074" s="208"/>
      <c r="AR1074" s="208"/>
      <c r="AS1074" s="208"/>
      <c r="AT1074" s="208"/>
      <c r="AU1074" s="208"/>
      <c r="AV1074" s="208"/>
      <c r="AW1074" s="208"/>
      <c r="AX1074" s="208"/>
      <c r="AY1074" s="208"/>
      <c r="AZ1074" s="208"/>
      <c r="BA1074" s="208"/>
      <c r="BB1074" s="208"/>
      <c r="BC1074" s="208"/>
      <c r="BD1074" s="208"/>
      <c r="BE1074" s="208"/>
      <c r="BF1074" s="208"/>
      <c r="BG1074" s="208"/>
      <c r="BH1074" s="208"/>
      <c r="BI1074" s="323"/>
    </row>
    <row r="1075" spans="3:61" ht="15" customHeight="1">
      <c r="C1075" s="327"/>
      <c r="D1075" s="328"/>
      <c r="E1075" s="213"/>
      <c r="F1075" s="213"/>
      <c r="G1075" s="213"/>
      <c r="H1075" s="213"/>
      <c r="I1075" s="213"/>
      <c r="K1075" s="56"/>
      <c r="L1075" s="312"/>
      <c r="M1075" s="312"/>
      <c r="N1075" s="312"/>
      <c r="O1075" s="312"/>
      <c r="P1075" s="318" t="str">
        <f t="shared" si="50"/>
        <v/>
      </c>
      <c r="Q1075" s="205" t="str">
        <f t="shared" si="48"/>
        <v/>
      </c>
      <c r="R1075" s="176"/>
      <c r="S1075" s="319" t="str">
        <f t="shared" si="49"/>
        <v/>
      </c>
      <c r="U1075" s="318"/>
      <c r="V1075" s="794"/>
      <c r="W1075" s="795"/>
      <c r="X1075" s="482"/>
      <c r="Y1075" s="482"/>
      <c r="Z1075" s="482"/>
      <c r="AA1075" s="319"/>
      <c r="AB1075" s="220"/>
      <c r="AC1075" s="318"/>
      <c r="AD1075" s="319"/>
      <c r="AE1075" s="220"/>
      <c r="AF1075" s="320"/>
      <c r="AG1075" s="205"/>
      <c r="AH1075" s="205"/>
      <c r="AI1075" s="205"/>
      <c r="AJ1075" s="205"/>
      <c r="AK1075" s="205"/>
      <c r="AL1075" s="205"/>
      <c r="AM1075" s="205"/>
      <c r="AN1075" s="205"/>
      <c r="AO1075" s="205"/>
      <c r="AP1075" s="205"/>
      <c r="AQ1075" s="205"/>
      <c r="AR1075" s="205"/>
      <c r="AS1075" s="205"/>
      <c r="AT1075" s="205"/>
      <c r="AU1075" s="205"/>
      <c r="AV1075" s="205"/>
      <c r="AW1075" s="205"/>
      <c r="AX1075" s="205"/>
      <c r="AY1075" s="205"/>
      <c r="AZ1075" s="205"/>
      <c r="BA1075" s="205"/>
      <c r="BB1075" s="205"/>
      <c r="BC1075" s="205"/>
      <c r="BD1075" s="205"/>
      <c r="BE1075" s="205"/>
      <c r="BF1075" s="205"/>
      <c r="BG1075" s="205"/>
      <c r="BH1075" s="205"/>
      <c r="BI1075" s="319"/>
    </row>
    <row r="1076" spans="3:61" ht="15" customHeight="1">
      <c r="C1076" s="327"/>
      <c r="D1076" s="328"/>
      <c r="E1076" s="213"/>
      <c r="F1076" s="213"/>
      <c r="G1076" s="213"/>
      <c r="H1076" s="213"/>
      <c r="I1076" s="213"/>
      <c r="K1076" s="56"/>
      <c r="L1076" s="312"/>
      <c r="M1076" s="312"/>
      <c r="N1076" s="312"/>
      <c r="O1076" s="312"/>
      <c r="P1076" s="322" t="str">
        <f t="shared" si="50"/>
        <v/>
      </c>
      <c r="Q1076" s="208" t="str">
        <f t="shared" si="48"/>
        <v/>
      </c>
      <c r="R1076" s="175"/>
      <c r="S1076" s="323" t="str">
        <f t="shared" si="49"/>
        <v/>
      </c>
      <c r="U1076" s="322"/>
      <c r="V1076" s="791"/>
      <c r="W1076" s="792"/>
      <c r="X1076" s="480"/>
      <c r="Y1076" s="480"/>
      <c r="Z1076" s="480"/>
      <c r="AA1076" s="323"/>
      <c r="AB1076" s="220"/>
      <c r="AC1076" s="322"/>
      <c r="AD1076" s="323"/>
      <c r="AE1076" s="220"/>
      <c r="AF1076" s="324"/>
      <c r="AG1076" s="208"/>
      <c r="AH1076" s="208"/>
      <c r="AI1076" s="208"/>
      <c r="AJ1076" s="208"/>
      <c r="AK1076" s="208"/>
      <c r="AL1076" s="208"/>
      <c r="AM1076" s="208"/>
      <c r="AN1076" s="208"/>
      <c r="AO1076" s="208"/>
      <c r="AP1076" s="208"/>
      <c r="AQ1076" s="208"/>
      <c r="AR1076" s="208"/>
      <c r="AS1076" s="208"/>
      <c r="AT1076" s="208"/>
      <c r="AU1076" s="208"/>
      <c r="AV1076" s="208"/>
      <c r="AW1076" s="208"/>
      <c r="AX1076" s="208"/>
      <c r="AY1076" s="208"/>
      <c r="AZ1076" s="208"/>
      <c r="BA1076" s="208"/>
      <c r="BB1076" s="208"/>
      <c r="BC1076" s="208"/>
      <c r="BD1076" s="208"/>
      <c r="BE1076" s="208"/>
      <c r="BF1076" s="208"/>
      <c r="BG1076" s="208"/>
      <c r="BH1076" s="208"/>
      <c r="BI1076" s="323"/>
    </row>
    <row r="1077" spans="3:61" ht="15" customHeight="1">
      <c r="C1077" s="327"/>
      <c r="D1077" s="328"/>
      <c r="E1077" s="213"/>
      <c r="F1077" s="213"/>
      <c r="G1077" s="213"/>
      <c r="H1077" s="213"/>
      <c r="I1077" s="213"/>
      <c r="K1077" s="56"/>
      <c r="L1077" s="312"/>
      <c r="M1077" s="312"/>
      <c r="N1077" s="312"/>
      <c r="O1077" s="312"/>
      <c r="P1077" s="318" t="str">
        <f t="shared" si="50"/>
        <v/>
      </c>
      <c r="Q1077" s="205" t="str">
        <f t="shared" si="48"/>
        <v/>
      </c>
      <c r="R1077" s="176"/>
      <c r="S1077" s="319" t="str">
        <f t="shared" si="49"/>
        <v/>
      </c>
      <c r="U1077" s="318"/>
      <c r="V1077" s="794"/>
      <c r="W1077" s="795"/>
      <c r="X1077" s="482"/>
      <c r="Y1077" s="482"/>
      <c r="Z1077" s="482"/>
      <c r="AA1077" s="319"/>
      <c r="AB1077" s="220"/>
      <c r="AC1077" s="318"/>
      <c r="AD1077" s="319"/>
      <c r="AE1077" s="220"/>
      <c r="AF1077" s="320"/>
      <c r="AG1077" s="205"/>
      <c r="AH1077" s="205"/>
      <c r="AI1077" s="205"/>
      <c r="AJ1077" s="205"/>
      <c r="AK1077" s="205"/>
      <c r="AL1077" s="205"/>
      <c r="AM1077" s="205"/>
      <c r="AN1077" s="205"/>
      <c r="AO1077" s="205"/>
      <c r="AP1077" s="205"/>
      <c r="AQ1077" s="205"/>
      <c r="AR1077" s="205"/>
      <c r="AS1077" s="205"/>
      <c r="AT1077" s="205"/>
      <c r="AU1077" s="205"/>
      <c r="AV1077" s="205"/>
      <c r="AW1077" s="205"/>
      <c r="AX1077" s="205"/>
      <c r="AY1077" s="205"/>
      <c r="AZ1077" s="205"/>
      <c r="BA1077" s="205"/>
      <c r="BB1077" s="205"/>
      <c r="BC1077" s="205"/>
      <c r="BD1077" s="205"/>
      <c r="BE1077" s="205"/>
      <c r="BF1077" s="205"/>
      <c r="BG1077" s="205"/>
      <c r="BH1077" s="205"/>
      <c r="BI1077" s="319"/>
    </row>
    <row r="1078" spans="3:61" ht="15" customHeight="1">
      <c r="C1078" s="327"/>
      <c r="D1078" s="328"/>
      <c r="E1078" s="213"/>
      <c r="F1078" s="213"/>
      <c r="G1078" s="213"/>
      <c r="H1078" s="213"/>
      <c r="I1078" s="213"/>
      <c r="K1078" s="56"/>
      <c r="L1078" s="312"/>
      <c r="M1078" s="312"/>
      <c r="N1078" s="312"/>
      <c r="O1078" s="312"/>
      <c r="P1078" s="322" t="str">
        <f t="shared" si="50"/>
        <v/>
      </c>
      <c r="Q1078" s="208" t="str">
        <f t="shared" si="48"/>
        <v/>
      </c>
      <c r="R1078" s="175"/>
      <c r="S1078" s="323" t="str">
        <f t="shared" si="49"/>
        <v/>
      </c>
      <c r="U1078" s="322"/>
      <c r="V1078" s="791"/>
      <c r="W1078" s="792"/>
      <c r="X1078" s="480"/>
      <c r="Y1078" s="480"/>
      <c r="Z1078" s="480"/>
      <c r="AA1078" s="323"/>
      <c r="AB1078" s="220"/>
      <c r="AC1078" s="322"/>
      <c r="AD1078" s="323"/>
      <c r="AE1078" s="220"/>
      <c r="AF1078" s="324"/>
      <c r="AG1078" s="208"/>
      <c r="AH1078" s="208"/>
      <c r="AI1078" s="208"/>
      <c r="AJ1078" s="208"/>
      <c r="AK1078" s="208"/>
      <c r="AL1078" s="208"/>
      <c r="AM1078" s="208"/>
      <c r="AN1078" s="208"/>
      <c r="AO1078" s="208"/>
      <c r="AP1078" s="208"/>
      <c r="AQ1078" s="208"/>
      <c r="AR1078" s="208"/>
      <c r="AS1078" s="208"/>
      <c r="AT1078" s="208"/>
      <c r="AU1078" s="208"/>
      <c r="AV1078" s="208"/>
      <c r="AW1078" s="208"/>
      <c r="AX1078" s="208"/>
      <c r="AY1078" s="208"/>
      <c r="AZ1078" s="208"/>
      <c r="BA1078" s="208"/>
      <c r="BB1078" s="208"/>
      <c r="BC1078" s="208"/>
      <c r="BD1078" s="208"/>
      <c r="BE1078" s="208"/>
      <c r="BF1078" s="208"/>
      <c r="BG1078" s="208"/>
      <c r="BH1078" s="208"/>
      <c r="BI1078" s="323"/>
    </row>
    <row r="1079" spans="3:61" ht="15" customHeight="1">
      <c r="C1079" s="327"/>
      <c r="D1079" s="328"/>
      <c r="E1079" s="213"/>
      <c r="F1079" s="213"/>
      <c r="G1079" s="213"/>
      <c r="H1079" s="213"/>
      <c r="I1079" s="213"/>
      <c r="K1079" s="56"/>
      <c r="L1079" s="312"/>
      <c r="M1079" s="312"/>
      <c r="N1079" s="312"/>
      <c r="O1079" s="312"/>
      <c r="P1079" s="318" t="str">
        <f t="shared" si="50"/>
        <v/>
      </c>
      <c r="Q1079" s="205" t="str">
        <f t="shared" si="48"/>
        <v/>
      </c>
      <c r="R1079" s="176"/>
      <c r="S1079" s="319" t="str">
        <f t="shared" si="49"/>
        <v/>
      </c>
      <c r="U1079" s="318"/>
      <c r="V1079" s="794"/>
      <c r="W1079" s="795"/>
      <c r="X1079" s="482"/>
      <c r="Y1079" s="482"/>
      <c r="Z1079" s="482"/>
      <c r="AA1079" s="319"/>
      <c r="AB1079" s="220"/>
      <c r="AC1079" s="318"/>
      <c r="AD1079" s="319"/>
      <c r="AE1079" s="220"/>
      <c r="AF1079" s="320"/>
      <c r="AG1079" s="205"/>
      <c r="AH1079" s="205"/>
      <c r="AI1079" s="205"/>
      <c r="AJ1079" s="205"/>
      <c r="AK1079" s="205"/>
      <c r="AL1079" s="205"/>
      <c r="AM1079" s="205"/>
      <c r="AN1079" s="205"/>
      <c r="AO1079" s="205"/>
      <c r="AP1079" s="205"/>
      <c r="AQ1079" s="205"/>
      <c r="AR1079" s="205"/>
      <c r="AS1079" s="205"/>
      <c r="AT1079" s="205"/>
      <c r="AU1079" s="205"/>
      <c r="AV1079" s="205"/>
      <c r="AW1079" s="205"/>
      <c r="AX1079" s="205"/>
      <c r="AY1079" s="205"/>
      <c r="AZ1079" s="205"/>
      <c r="BA1079" s="205"/>
      <c r="BB1079" s="205"/>
      <c r="BC1079" s="205"/>
      <c r="BD1079" s="205"/>
      <c r="BE1079" s="205"/>
      <c r="BF1079" s="205"/>
      <c r="BG1079" s="205"/>
      <c r="BH1079" s="205"/>
      <c r="BI1079" s="319"/>
    </row>
    <row r="1080" spans="3:61" ht="15" customHeight="1">
      <c r="C1080" s="327"/>
      <c r="D1080" s="328"/>
      <c r="E1080" s="213"/>
      <c r="F1080" s="213"/>
      <c r="G1080" s="213"/>
      <c r="H1080" s="213"/>
      <c r="I1080" s="213"/>
      <c r="K1080" s="56"/>
      <c r="L1080" s="312"/>
      <c r="M1080" s="312"/>
      <c r="N1080" s="312"/>
      <c r="O1080" s="312"/>
      <c r="P1080" s="322" t="str">
        <f t="shared" si="50"/>
        <v/>
      </c>
      <c r="Q1080" s="208" t="str">
        <f t="shared" si="48"/>
        <v/>
      </c>
      <c r="R1080" s="175"/>
      <c r="S1080" s="323" t="str">
        <f t="shared" si="49"/>
        <v/>
      </c>
      <c r="U1080" s="322"/>
      <c r="V1080" s="791"/>
      <c r="W1080" s="792"/>
      <c r="X1080" s="480"/>
      <c r="Y1080" s="480"/>
      <c r="Z1080" s="480"/>
      <c r="AA1080" s="323"/>
      <c r="AB1080" s="220"/>
      <c r="AC1080" s="322"/>
      <c r="AD1080" s="323"/>
      <c r="AE1080" s="220"/>
      <c r="AF1080" s="324"/>
      <c r="AG1080" s="208"/>
      <c r="AH1080" s="208"/>
      <c r="AI1080" s="208"/>
      <c r="AJ1080" s="208"/>
      <c r="AK1080" s="208"/>
      <c r="AL1080" s="208"/>
      <c r="AM1080" s="208"/>
      <c r="AN1080" s="208"/>
      <c r="AO1080" s="208"/>
      <c r="AP1080" s="208"/>
      <c r="AQ1080" s="208"/>
      <c r="AR1080" s="208"/>
      <c r="AS1080" s="208"/>
      <c r="AT1080" s="208"/>
      <c r="AU1080" s="208"/>
      <c r="AV1080" s="208"/>
      <c r="AW1080" s="208"/>
      <c r="AX1080" s="208"/>
      <c r="AY1080" s="208"/>
      <c r="AZ1080" s="208"/>
      <c r="BA1080" s="208"/>
      <c r="BB1080" s="208"/>
      <c r="BC1080" s="208"/>
      <c r="BD1080" s="208"/>
      <c r="BE1080" s="208"/>
      <c r="BF1080" s="208"/>
      <c r="BG1080" s="208"/>
      <c r="BH1080" s="208"/>
      <c r="BI1080" s="323"/>
    </row>
    <row r="1081" spans="3:61" ht="15" customHeight="1">
      <c r="C1081" s="327"/>
      <c r="D1081" s="328"/>
      <c r="E1081" s="213"/>
      <c r="F1081" s="213"/>
      <c r="G1081" s="213"/>
      <c r="H1081" s="213"/>
      <c r="I1081" s="213"/>
      <c r="K1081" s="56"/>
      <c r="L1081" s="312"/>
      <c r="M1081" s="312"/>
      <c r="N1081" s="312"/>
      <c r="O1081" s="312"/>
      <c r="P1081" s="318" t="str">
        <f t="shared" si="50"/>
        <v/>
      </c>
      <c r="Q1081" s="205" t="str">
        <f t="shared" si="48"/>
        <v/>
      </c>
      <c r="R1081" s="176"/>
      <c r="S1081" s="319" t="str">
        <f t="shared" si="49"/>
        <v/>
      </c>
      <c r="U1081" s="318"/>
      <c r="V1081" s="794"/>
      <c r="W1081" s="795"/>
      <c r="X1081" s="482"/>
      <c r="Y1081" s="482"/>
      <c r="Z1081" s="482"/>
      <c r="AA1081" s="319"/>
      <c r="AB1081" s="220"/>
      <c r="AC1081" s="318"/>
      <c r="AD1081" s="319"/>
      <c r="AE1081" s="220"/>
      <c r="AF1081" s="320"/>
      <c r="AG1081" s="205"/>
      <c r="AH1081" s="205"/>
      <c r="AI1081" s="205"/>
      <c r="AJ1081" s="205"/>
      <c r="AK1081" s="205"/>
      <c r="AL1081" s="205"/>
      <c r="AM1081" s="205"/>
      <c r="AN1081" s="205"/>
      <c r="AO1081" s="205"/>
      <c r="AP1081" s="205"/>
      <c r="AQ1081" s="205"/>
      <c r="AR1081" s="205"/>
      <c r="AS1081" s="205"/>
      <c r="AT1081" s="205"/>
      <c r="AU1081" s="205"/>
      <c r="AV1081" s="205"/>
      <c r="AW1081" s="205"/>
      <c r="AX1081" s="205"/>
      <c r="AY1081" s="205"/>
      <c r="AZ1081" s="205"/>
      <c r="BA1081" s="205"/>
      <c r="BB1081" s="205"/>
      <c r="BC1081" s="205"/>
      <c r="BD1081" s="205"/>
      <c r="BE1081" s="205"/>
      <c r="BF1081" s="205"/>
      <c r="BG1081" s="205"/>
      <c r="BH1081" s="205"/>
      <c r="BI1081" s="319"/>
    </row>
    <row r="1082" spans="3:61" ht="15" customHeight="1">
      <c r="C1082" s="327"/>
      <c r="D1082" s="328"/>
      <c r="E1082" s="213"/>
      <c r="F1082" s="213"/>
      <c r="G1082" s="213"/>
      <c r="H1082" s="213"/>
      <c r="I1082" s="213"/>
      <c r="K1082" s="56"/>
      <c r="L1082" s="312"/>
      <c r="M1082" s="312"/>
      <c r="N1082" s="312"/>
      <c r="O1082" s="312"/>
      <c r="P1082" s="322" t="str">
        <f t="shared" si="50"/>
        <v/>
      </c>
      <c r="Q1082" s="208" t="str">
        <f t="shared" si="48"/>
        <v/>
      </c>
      <c r="R1082" s="175"/>
      <c r="S1082" s="323" t="str">
        <f t="shared" si="49"/>
        <v/>
      </c>
      <c r="U1082" s="322"/>
      <c r="V1082" s="791"/>
      <c r="W1082" s="792"/>
      <c r="X1082" s="480"/>
      <c r="Y1082" s="480"/>
      <c r="Z1082" s="480"/>
      <c r="AA1082" s="323"/>
      <c r="AB1082" s="220"/>
      <c r="AC1082" s="322"/>
      <c r="AD1082" s="323"/>
      <c r="AE1082" s="220"/>
      <c r="AF1082" s="324"/>
      <c r="AG1082" s="208"/>
      <c r="AH1082" s="208"/>
      <c r="AI1082" s="208"/>
      <c r="AJ1082" s="208"/>
      <c r="AK1082" s="208"/>
      <c r="AL1082" s="208"/>
      <c r="AM1082" s="208"/>
      <c r="AN1082" s="208"/>
      <c r="AO1082" s="208"/>
      <c r="AP1082" s="208"/>
      <c r="AQ1082" s="208"/>
      <c r="AR1082" s="208"/>
      <c r="AS1082" s="208"/>
      <c r="AT1082" s="208"/>
      <c r="AU1082" s="208"/>
      <c r="AV1082" s="208"/>
      <c r="AW1082" s="208"/>
      <c r="AX1082" s="208"/>
      <c r="AY1082" s="208"/>
      <c r="AZ1082" s="208"/>
      <c r="BA1082" s="208"/>
      <c r="BB1082" s="208"/>
      <c r="BC1082" s="208"/>
      <c r="BD1082" s="208"/>
      <c r="BE1082" s="208"/>
      <c r="BF1082" s="208"/>
      <c r="BG1082" s="208"/>
      <c r="BH1082" s="208"/>
      <c r="BI1082" s="323"/>
    </row>
    <row r="1083" spans="3:61" ht="15" customHeight="1">
      <c r="C1083" s="327"/>
      <c r="D1083" s="328"/>
      <c r="E1083" s="213"/>
      <c r="F1083" s="213"/>
      <c r="G1083" s="213"/>
      <c r="H1083" s="213"/>
      <c r="I1083" s="213"/>
      <c r="K1083" s="56"/>
      <c r="L1083" s="312"/>
      <c r="M1083" s="312"/>
      <c r="N1083" s="312"/>
      <c r="O1083" s="312"/>
      <c r="P1083" s="318" t="str">
        <f t="shared" si="50"/>
        <v/>
      </c>
      <c r="Q1083" s="205" t="str">
        <f t="shared" si="48"/>
        <v/>
      </c>
      <c r="R1083" s="176"/>
      <c r="S1083" s="319" t="str">
        <f t="shared" si="49"/>
        <v/>
      </c>
      <c r="U1083" s="318"/>
      <c r="V1083" s="794"/>
      <c r="W1083" s="795"/>
      <c r="X1083" s="482"/>
      <c r="Y1083" s="482"/>
      <c r="Z1083" s="482"/>
      <c r="AA1083" s="319"/>
      <c r="AB1083" s="220"/>
      <c r="AC1083" s="318"/>
      <c r="AD1083" s="319"/>
      <c r="AE1083" s="220"/>
      <c r="AF1083" s="320"/>
      <c r="AG1083" s="205"/>
      <c r="AH1083" s="205"/>
      <c r="AI1083" s="205"/>
      <c r="AJ1083" s="205"/>
      <c r="AK1083" s="205"/>
      <c r="AL1083" s="205"/>
      <c r="AM1083" s="205"/>
      <c r="AN1083" s="205"/>
      <c r="AO1083" s="205"/>
      <c r="AP1083" s="205"/>
      <c r="AQ1083" s="205"/>
      <c r="AR1083" s="205"/>
      <c r="AS1083" s="205"/>
      <c r="AT1083" s="205"/>
      <c r="AU1083" s="205"/>
      <c r="AV1083" s="205"/>
      <c r="AW1083" s="205"/>
      <c r="AX1083" s="205"/>
      <c r="AY1083" s="205"/>
      <c r="AZ1083" s="205"/>
      <c r="BA1083" s="205"/>
      <c r="BB1083" s="205"/>
      <c r="BC1083" s="205"/>
      <c r="BD1083" s="205"/>
      <c r="BE1083" s="205"/>
      <c r="BF1083" s="205"/>
      <c r="BG1083" s="205"/>
      <c r="BH1083" s="205"/>
      <c r="BI1083" s="319"/>
    </row>
    <row r="1084" spans="3:61" ht="15" customHeight="1">
      <c r="C1084" s="327"/>
      <c r="D1084" s="328"/>
      <c r="E1084" s="213"/>
      <c r="F1084" s="213"/>
      <c r="G1084" s="213"/>
      <c r="H1084" s="213"/>
      <c r="I1084" s="213"/>
      <c r="K1084" s="56"/>
      <c r="L1084" s="312"/>
      <c r="M1084" s="312"/>
      <c r="N1084" s="312"/>
      <c r="O1084" s="312"/>
      <c r="P1084" s="322" t="str">
        <f t="shared" si="50"/>
        <v/>
      </c>
      <c r="Q1084" s="208" t="str">
        <f t="shared" si="48"/>
        <v/>
      </c>
      <c r="R1084" s="175"/>
      <c r="S1084" s="323" t="str">
        <f t="shared" si="49"/>
        <v/>
      </c>
      <c r="U1084" s="322"/>
      <c r="V1084" s="791"/>
      <c r="W1084" s="792"/>
      <c r="X1084" s="480"/>
      <c r="Y1084" s="480"/>
      <c r="Z1084" s="480"/>
      <c r="AA1084" s="323"/>
      <c r="AB1084" s="220"/>
      <c r="AC1084" s="322"/>
      <c r="AD1084" s="323"/>
      <c r="AE1084" s="220"/>
      <c r="AF1084" s="324"/>
      <c r="AG1084" s="208"/>
      <c r="AH1084" s="208"/>
      <c r="AI1084" s="208"/>
      <c r="AJ1084" s="208"/>
      <c r="AK1084" s="208"/>
      <c r="AL1084" s="208"/>
      <c r="AM1084" s="208"/>
      <c r="AN1084" s="208"/>
      <c r="AO1084" s="208"/>
      <c r="AP1084" s="208"/>
      <c r="AQ1084" s="208"/>
      <c r="AR1084" s="208"/>
      <c r="AS1084" s="208"/>
      <c r="AT1084" s="208"/>
      <c r="AU1084" s="208"/>
      <c r="AV1084" s="208"/>
      <c r="AW1084" s="208"/>
      <c r="AX1084" s="208"/>
      <c r="AY1084" s="208"/>
      <c r="AZ1084" s="208"/>
      <c r="BA1084" s="208"/>
      <c r="BB1084" s="208"/>
      <c r="BC1084" s="208"/>
      <c r="BD1084" s="208"/>
      <c r="BE1084" s="208"/>
      <c r="BF1084" s="208"/>
      <c r="BG1084" s="208"/>
      <c r="BH1084" s="208"/>
      <c r="BI1084" s="323"/>
    </row>
    <row r="1085" spans="3:61" ht="15" customHeight="1">
      <c r="C1085" s="327"/>
      <c r="D1085" s="328"/>
      <c r="E1085" s="213"/>
      <c r="F1085" s="213"/>
      <c r="G1085" s="213"/>
      <c r="H1085" s="213"/>
      <c r="I1085" s="213"/>
      <c r="K1085" s="56"/>
      <c r="L1085" s="312"/>
      <c r="M1085" s="312"/>
      <c r="N1085" s="312"/>
      <c r="O1085" s="312"/>
      <c r="P1085" s="318" t="str">
        <f t="shared" si="50"/>
        <v/>
      </c>
      <c r="Q1085" s="205" t="str">
        <f t="shared" si="48"/>
        <v/>
      </c>
      <c r="R1085" s="176"/>
      <c r="S1085" s="319" t="str">
        <f t="shared" si="49"/>
        <v/>
      </c>
      <c r="U1085" s="318"/>
      <c r="V1085" s="794"/>
      <c r="W1085" s="795"/>
      <c r="X1085" s="482"/>
      <c r="Y1085" s="482"/>
      <c r="Z1085" s="482"/>
      <c r="AA1085" s="319"/>
      <c r="AB1085" s="220"/>
      <c r="AC1085" s="318"/>
      <c r="AD1085" s="319"/>
      <c r="AE1085" s="220"/>
      <c r="AF1085" s="320"/>
      <c r="AG1085" s="205"/>
      <c r="AH1085" s="205"/>
      <c r="AI1085" s="205"/>
      <c r="AJ1085" s="205"/>
      <c r="AK1085" s="205"/>
      <c r="AL1085" s="205"/>
      <c r="AM1085" s="205"/>
      <c r="AN1085" s="205"/>
      <c r="AO1085" s="205"/>
      <c r="AP1085" s="205"/>
      <c r="AQ1085" s="205"/>
      <c r="AR1085" s="205"/>
      <c r="AS1085" s="205"/>
      <c r="AT1085" s="205"/>
      <c r="AU1085" s="205"/>
      <c r="AV1085" s="205"/>
      <c r="AW1085" s="205"/>
      <c r="AX1085" s="205"/>
      <c r="AY1085" s="205"/>
      <c r="AZ1085" s="205"/>
      <c r="BA1085" s="205"/>
      <c r="BB1085" s="205"/>
      <c r="BC1085" s="205"/>
      <c r="BD1085" s="205"/>
      <c r="BE1085" s="205"/>
      <c r="BF1085" s="205"/>
      <c r="BG1085" s="205"/>
      <c r="BH1085" s="205"/>
      <c r="BI1085" s="319"/>
    </row>
    <row r="1086" spans="3:61" ht="15" customHeight="1">
      <c r="C1086" s="327"/>
      <c r="D1086" s="328"/>
      <c r="E1086" s="213"/>
      <c r="F1086" s="213"/>
      <c r="G1086" s="213"/>
      <c r="H1086" s="213"/>
      <c r="I1086" s="213"/>
      <c r="K1086" s="56"/>
      <c r="L1086" s="312"/>
      <c r="M1086" s="312"/>
      <c r="N1086" s="312"/>
      <c r="O1086" s="312"/>
      <c r="P1086" s="322" t="str">
        <f t="shared" si="50"/>
        <v/>
      </c>
      <c r="Q1086" s="208" t="str">
        <f t="shared" si="48"/>
        <v/>
      </c>
      <c r="R1086" s="175"/>
      <c r="S1086" s="323" t="str">
        <f t="shared" si="49"/>
        <v/>
      </c>
      <c r="U1086" s="322"/>
      <c r="V1086" s="791"/>
      <c r="W1086" s="792"/>
      <c r="X1086" s="480"/>
      <c r="Y1086" s="480"/>
      <c r="Z1086" s="480"/>
      <c r="AA1086" s="323"/>
      <c r="AB1086" s="220"/>
      <c r="AC1086" s="322"/>
      <c r="AD1086" s="323"/>
      <c r="AE1086" s="220"/>
      <c r="AF1086" s="324"/>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323"/>
    </row>
    <row r="1087" spans="3:61" ht="15" customHeight="1">
      <c r="C1087" s="327"/>
      <c r="D1087" s="328"/>
      <c r="E1087" s="213"/>
      <c r="F1087" s="213"/>
      <c r="G1087" s="213"/>
      <c r="H1087" s="213"/>
      <c r="I1087" s="213"/>
      <c r="K1087" s="56"/>
      <c r="L1087" s="312"/>
      <c r="M1087" s="312"/>
      <c r="N1087" s="312"/>
      <c r="O1087" s="312"/>
      <c r="P1087" s="318" t="str">
        <f t="shared" si="50"/>
        <v/>
      </c>
      <c r="Q1087" s="205" t="str">
        <f t="shared" si="48"/>
        <v/>
      </c>
      <c r="R1087" s="176"/>
      <c r="S1087" s="319" t="str">
        <f t="shared" si="49"/>
        <v/>
      </c>
      <c r="U1087" s="318"/>
      <c r="V1087" s="794"/>
      <c r="W1087" s="795"/>
      <c r="X1087" s="482"/>
      <c r="Y1087" s="482"/>
      <c r="Z1087" s="482"/>
      <c r="AA1087" s="319"/>
      <c r="AB1087" s="220"/>
      <c r="AC1087" s="318"/>
      <c r="AD1087" s="319"/>
      <c r="AE1087" s="220"/>
      <c r="AF1087" s="320"/>
      <c r="AG1087" s="205"/>
      <c r="AH1087" s="205"/>
      <c r="AI1087" s="205"/>
      <c r="AJ1087" s="205"/>
      <c r="AK1087" s="205"/>
      <c r="AL1087" s="205"/>
      <c r="AM1087" s="205"/>
      <c r="AN1087" s="205"/>
      <c r="AO1087" s="205"/>
      <c r="AP1087" s="205"/>
      <c r="AQ1087" s="205"/>
      <c r="AR1087" s="205"/>
      <c r="AS1087" s="205"/>
      <c r="AT1087" s="205"/>
      <c r="AU1087" s="205"/>
      <c r="AV1087" s="205"/>
      <c r="AW1087" s="205"/>
      <c r="AX1087" s="205"/>
      <c r="AY1087" s="205"/>
      <c r="AZ1087" s="205"/>
      <c r="BA1087" s="205"/>
      <c r="BB1087" s="205"/>
      <c r="BC1087" s="205"/>
      <c r="BD1087" s="205"/>
      <c r="BE1087" s="205"/>
      <c r="BF1087" s="205"/>
      <c r="BG1087" s="205"/>
      <c r="BH1087" s="205"/>
      <c r="BI1087" s="319"/>
    </row>
    <row r="1088" spans="3:61" ht="15" customHeight="1">
      <c r="C1088" s="327"/>
      <c r="D1088" s="328"/>
      <c r="E1088" s="213"/>
      <c r="F1088" s="213"/>
      <c r="G1088" s="213"/>
      <c r="H1088" s="213"/>
      <c r="I1088" s="213"/>
      <c r="K1088" s="56"/>
      <c r="L1088" s="312"/>
      <c r="M1088" s="312"/>
      <c r="N1088" s="312"/>
      <c r="O1088" s="312"/>
      <c r="P1088" s="322" t="str">
        <f t="shared" si="50"/>
        <v/>
      </c>
      <c r="Q1088" s="208" t="str">
        <f t="shared" si="48"/>
        <v/>
      </c>
      <c r="R1088" s="175"/>
      <c r="S1088" s="323" t="str">
        <f t="shared" si="49"/>
        <v/>
      </c>
      <c r="U1088" s="322"/>
      <c r="V1088" s="791"/>
      <c r="W1088" s="792"/>
      <c r="X1088" s="480"/>
      <c r="Y1088" s="480"/>
      <c r="Z1088" s="480"/>
      <c r="AA1088" s="323"/>
      <c r="AB1088" s="220"/>
      <c r="AC1088" s="322"/>
      <c r="AD1088" s="323"/>
      <c r="AE1088" s="220"/>
      <c r="AF1088" s="324"/>
      <c r="AG1088" s="208"/>
      <c r="AH1088" s="208"/>
      <c r="AI1088" s="208"/>
      <c r="AJ1088" s="208"/>
      <c r="AK1088" s="208"/>
      <c r="AL1088" s="208"/>
      <c r="AM1088" s="208"/>
      <c r="AN1088" s="208"/>
      <c r="AO1088" s="208"/>
      <c r="AP1088" s="208"/>
      <c r="AQ1088" s="208"/>
      <c r="AR1088" s="208"/>
      <c r="AS1088" s="208"/>
      <c r="AT1088" s="208"/>
      <c r="AU1088" s="208"/>
      <c r="AV1088" s="208"/>
      <c r="AW1088" s="208"/>
      <c r="AX1088" s="208"/>
      <c r="AY1088" s="208"/>
      <c r="AZ1088" s="208"/>
      <c r="BA1088" s="208"/>
      <c r="BB1088" s="208"/>
      <c r="BC1088" s="208"/>
      <c r="BD1088" s="208"/>
      <c r="BE1088" s="208"/>
      <c r="BF1088" s="208"/>
      <c r="BG1088" s="208"/>
      <c r="BH1088" s="208"/>
      <c r="BI1088" s="323"/>
    </row>
    <row r="1089" spans="3:61" ht="15" customHeight="1">
      <c r="C1089" s="327"/>
      <c r="D1089" s="328"/>
      <c r="E1089" s="213"/>
      <c r="F1089" s="213"/>
      <c r="G1089" s="213"/>
      <c r="H1089" s="213"/>
      <c r="I1089" s="213"/>
      <c r="K1089" s="56"/>
      <c r="L1089" s="312"/>
      <c r="M1089" s="312"/>
      <c r="N1089" s="312"/>
      <c r="O1089" s="312"/>
      <c r="P1089" s="318" t="str">
        <f t="shared" si="50"/>
        <v/>
      </c>
      <c r="Q1089" s="205" t="str">
        <f t="shared" si="48"/>
        <v/>
      </c>
      <c r="R1089" s="176"/>
      <c r="S1089" s="319" t="str">
        <f t="shared" si="49"/>
        <v/>
      </c>
      <c r="U1089" s="318"/>
      <c r="V1089" s="794"/>
      <c r="W1089" s="795"/>
      <c r="X1089" s="482"/>
      <c r="Y1089" s="482"/>
      <c r="Z1089" s="482"/>
      <c r="AA1089" s="319"/>
      <c r="AB1089" s="220"/>
      <c r="AC1089" s="318"/>
      <c r="AD1089" s="319"/>
      <c r="AE1089" s="220"/>
      <c r="AF1089" s="320"/>
      <c r="AG1089" s="205"/>
      <c r="AH1089" s="205"/>
      <c r="AI1089" s="205"/>
      <c r="AJ1089" s="205"/>
      <c r="AK1089" s="205"/>
      <c r="AL1089" s="205"/>
      <c r="AM1089" s="205"/>
      <c r="AN1089" s="205"/>
      <c r="AO1089" s="205"/>
      <c r="AP1089" s="205"/>
      <c r="AQ1089" s="205"/>
      <c r="AR1089" s="205"/>
      <c r="AS1089" s="205"/>
      <c r="AT1089" s="205"/>
      <c r="AU1089" s="205"/>
      <c r="AV1089" s="205"/>
      <c r="AW1089" s="205"/>
      <c r="AX1089" s="205"/>
      <c r="AY1089" s="205"/>
      <c r="AZ1089" s="205"/>
      <c r="BA1089" s="205"/>
      <c r="BB1089" s="205"/>
      <c r="BC1089" s="205"/>
      <c r="BD1089" s="205"/>
      <c r="BE1089" s="205"/>
      <c r="BF1089" s="205"/>
      <c r="BG1089" s="205"/>
      <c r="BH1089" s="205"/>
      <c r="BI1089" s="319"/>
    </row>
    <row r="1090" spans="3:61" ht="15" customHeight="1">
      <c r="C1090" s="327"/>
      <c r="D1090" s="328"/>
      <c r="E1090" s="213"/>
      <c r="F1090" s="213"/>
      <c r="G1090" s="213"/>
      <c r="H1090" s="213"/>
      <c r="I1090" s="213"/>
      <c r="K1090" s="56"/>
      <c r="L1090" s="312"/>
      <c r="M1090" s="312"/>
      <c r="N1090" s="312"/>
      <c r="O1090" s="312"/>
      <c r="P1090" s="322" t="str">
        <f t="shared" si="50"/>
        <v/>
      </c>
      <c r="Q1090" s="208" t="str">
        <f t="shared" si="48"/>
        <v/>
      </c>
      <c r="R1090" s="175"/>
      <c r="S1090" s="323" t="str">
        <f t="shared" si="49"/>
        <v/>
      </c>
      <c r="U1090" s="322"/>
      <c r="V1090" s="791"/>
      <c r="W1090" s="792"/>
      <c r="X1090" s="480"/>
      <c r="Y1090" s="480"/>
      <c r="Z1090" s="480"/>
      <c r="AA1090" s="323"/>
      <c r="AB1090" s="220"/>
      <c r="AC1090" s="322"/>
      <c r="AD1090" s="323"/>
      <c r="AE1090" s="220"/>
      <c r="AF1090" s="324"/>
      <c r="AG1090" s="208"/>
      <c r="AH1090" s="208"/>
      <c r="AI1090" s="208"/>
      <c r="AJ1090" s="208"/>
      <c r="AK1090" s="208"/>
      <c r="AL1090" s="208"/>
      <c r="AM1090" s="208"/>
      <c r="AN1090" s="208"/>
      <c r="AO1090" s="208"/>
      <c r="AP1090" s="208"/>
      <c r="AQ1090" s="208"/>
      <c r="AR1090" s="208"/>
      <c r="AS1090" s="208"/>
      <c r="AT1090" s="208"/>
      <c r="AU1090" s="208"/>
      <c r="AV1090" s="208"/>
      <c r="AW1090" s="208"/>
      <c r="AX1090" s="208"/>
      <c r="AY1090" s="208"/>
      <c r="AZ1090" s="208"/>
      <c r="BA1090" s="208"/>
      <c r="BB1090" s="208"/>
      <c r="BC1090" s="208"/>
      <c r="BD1090" s="208"/>
      <c r="BE1090" s="208"/>
      <c r="BF1090" s="208"/>
      <c r="BG1090" s="208"/>
      <c r="BH1090" s="208"/>
      <c r="BI1090" s="323"/>
    </row>
    <row r="1091" spans="3:61" ht="15" customHeight="1">
      <c r="C1091" s="327"/>
      <c r="D1091" s="328"/>
      <c r="E1091" s="213"/>
      <c r="F1091" s="213"/>
      <c r="G1091" s="213"/>
      <c r="H1091" s="213"/>
      <c r="I1091" s="213"/>
      <c r="K1091" s="56"/>
      <c r="L1091" s="312"/>
      <c r="M1091" s="312"/>
      <c r="N1091" s="312"/>
      <c r="O1091" s="312"/>
      <c r="P1091" s="318" t="str">
        <f t="shared" si="50"/>
        <v/>
      </c>
      <c r="Q1091" s="205" t="str">
        <f t="shared" si="48"/>
        <v/>
      </c>
      <c r="R1091" s="176"/>
      <c r="S1091" s="319" t="str">
        <f t="shared" si="49"/>
        <v/>
      </c>
      <c r="U1091" s="318"/>
      <c r="V1091" s="794"/>
      <c r="W1091" s="795"/>
      <c r="X1091" s="482"/>
      <c r="Y1091" s="482"/>
      <c r="Z1091" s="482"/>
      <c r="AA1091" s="319"/>
      <c r="AB1091" s="220"/>
      <c r="AC1091" s="318"/>
      <c r="AD1091" s="319"/>
      <c r="AE1091" s="220"/>
      <c r="AF1091" s="320"/>
      <c r="AG1091" s="205"/>
      <c r="AH1091" s="205"/>
      <c r="AI1091" s="205"/>
      <c r="AJ1091" s="205"/>
      <c r="AK1091" s="205"/>
      <c r="AL1091" s="205"/>
      <c r="AM1091" s="205"/>
      <c r="AN1091" s="205"/>
      <c r="AO1091" s="205"/>
      <c r="AP1091" s="205"/>
      <c r="AQ1091" s="205"/>
      <c r="AR1091" s="205"/>
      <c r="AS1091" s="205"/>
      <c r="AT1091" s="205"/>
      <c r="AU1091" s="205"/>
      <c r="AV1091" s="205"/>
      <c r="AW1091" s="205"/>
      <c r="AX1091" s="205"/>
      <c r="AY1091" s="205"/>
      <c r="AZ1091" s="205"/>
      <c r="BA1091" s="205"/>
      <c r="BB1091" s="205"/>
      <c r="BC1091" s="205"/>
      <c r="BD1091" s="205"/>
      <c r="BE1091" s="205"/>
      <c r="BF1091" s="205"/>
      <c r="BG1091" s="205"/>
      <c r="BH1091" s="205"/>
      <c r="BI1091" s="319"/>
    </row>
    <row r="1092" spans="3:61" ht="15" customHeight="1">
      <c r="C1092" s="327"/>
      <c r="D1092" s="328"/>
      <c r="E1092" s="213"/>
      <c r="F1092" s="213"/>
      <c r="G1092" s="213"/>
      <c r="H1092" s="213"/>
      <c r="I1092" s="213"/>
      <c r="K1092" s="56"/>
      <c r="L1092" s="312"/>
      <c r="M1092" s="312"/>
      <c r="N1092" s="312"/>
      <c r="O1092" s="312"/>
      <c r="P1092" s="322" t="str">
        <f t="shared" si="50"/>
        <v/>
      </c>
      <c r="Q1092" s="208" t="str">
        <f t="shared" si="48"/>
        <v/>
      </c>
      <c r="R1092" s="175"/>
      <c r="S1092" s="323" t="str">
        <f t="shared" si="49"/>
        <v/>
      </c>
      <c r="U1092" s="322"/>
      <c r="V1092" s="791"/>
      <c r="W1092" s="792"/>
      <c r="X1092" s="480"/>
      <c r="Y1092" s="480"/>
      <c r="Z1092" s="480"/>
      <c r="AA1092" s="323"/>
      <c r="AB1092" s="220"/>
      <c r="AC1092" s="322"/>
      <c r="AD1092" s="323"/>
      <c r="AE1092" s="220"/>
      <c r="AF1092" s="324"/>
      <c r="AG1092" s="208"/>
      <c r="AH1092" s="208"/>
      <c r="AI1092" s="208"/>
      <c r="AJ1092" s="208"/>
      <c r="AK1092" s="208"/>
      <c r="AL1092" s="208"/>
      <c r="AM1092" s="208"/>
      <c r="AN1092" s="208"/>
      <c r="AO1092" s="208"/>
      <c r="AP1092" s="208"/>
      <c r="AQ1092" s="208"/>
      <c r="AR1092" s="208"/>
      <c r="AS1092" s="208"/>
      <c r="AT1092" s="208"/>
      <c r="AU1092" s="208"/>
      <c r="AV1092" s="208"/>
      <c r="AW1092" s="208"/>
      <c r="AX1092" s="208"/>
      <c r="AY1092" s="208"/>
      <c r="AZ1092" s="208"/>
      <c r="BA1092" s="208"/>
      <c r="BB1092" s="208"/>
      <c r="BC1092" s="208"/>
      <c r="BD1092" s="208"/>
      <c r="BE1092" s="208"/>
      <c r="BF1092" s="208"/>
      <c r="BG1092" s="208"/>
      <c r="BH1092" s="208"/>
      <c r="BI1092" s="323"/>
    </row>
    <row r="1093" spans="3:61" ht="15" customHeight="1">
      <c r="C1093" s="327"/>
      <c r="D1093" s="328"/>
      <c r="E1093" s="213"/>
      <c r="F1093" s="213"/>
      <c r="G1093" s="213"/>
      <c r="H1093" s="213"/>
      <c r="I1093" s="213"/>
      <c r="K1093" s="56"/>
      <c r="L1093" s="312"/>
      <c r="M1093" s="312"/>
      <c r="N1093" s="312"/>
      <c r="O1093" s="312"/>
      <c r="P1093" s="318" t="str">
        <f t="shared" si="50"/>
        <v/>
      </c>
      <c r="Q1093" s="205" t="str">
        <f t="shared" si="48"/>
        <v/>
      </c>
      <c r="R1093" s="176"/>
      <c r="S1093" s="319" t="str">
        <f t="shared" si="49"/>
        <v/>
      </c>
      <c r="U1093" s="318"/>
      <c r="V1093" s="794"/>
      <c r="W1093" s="795"/>
      <c r="X1093" s="482"/>
      <c r="Y1093" s="482"/>
      <c r="Z1093" s="482"/>
      <c r="AA1093" s="319"/>
      <c r="AB1093" s="220"/>
      <c r="AC1093" s="318"/>
      <c r="AD1093" s="319"/>
      <c r="AE1093" s="220"/>
      <c r="AF1093" s="320"/>
      <c r="AG1093" s="205"/>
      <c r="AH1093" s="205"/>
      <c r="AI1093" s="205"/>
      <c r="AJ1093" s="205"/>
      <c r="AK1093" s="205"/>
      <c r="AL1093" s="205"/>
      <c r="AM1093" s="205"/>
      <c r="AN1093" s="205"/>
      <c r="AO1093" s="205"/>
      <c r="AP1093" s="205"/>
      <c r="AQ1093" s="205"/>
      <c r="AR1093" s="205"/>
      <c r="AS1093" s="205"/>
      <c r="AT1093" s="205"/>
      <c r="AU1093" s="205"/>
      <c r="AV1093" s="205"/>
      <c r="AW1093" s="205"/>
      <c r="AX1093" s="205"/>
      <c r="AY1093" s="205"/>
      <c r="AZ1093" s="205"/>
      <c r="BA1093" s="205"/>
      <c r="BB1093" s="205"/>
      <c r="BC1093" s="205"/>
      <c r="BD1093" s="205"/>
      <c r="BE1093" s="205"/>
      <c r="BF1093" s="205"/>
      <c r="BG1093" s="205"/>
      <c r="BH1093" s="205"/>
      <c r="BI1093" s="319"/>
    </row>
    <row r="1094" spans="3:61" ht="15" customHeight="1">
      <c r="C1094" s="327"/>
      <c r="D1094" s="328"/>
      <c r="E1094" s="213"/>
      <c r="F1094" s="213"/>
      <c r="G1094" s="213"/>
      <c r="H1094" s="213"/>
      <c r="I1094" s="213"/>
      <c r="K1094" s="56"/>
      <c r="L1094" s="312"/>
      <c r="M1094" s="312"/>
      <c r="N1094" s="312"/>
      <c r="O1094" s="312"/>
      <c r="P1094" s="322" t="str">
        <f t="shared" si="50"/>
        <v/>
      </c>
      <c r="Q1094" s="208" t="str">
        <f t="shared" si="48"/>
        <v/>
      </c>
      <c r="R1094" s="175"/>
      <c r="S1094" s="323" t="str">
        <f t="shared" si="49"/>
        <v/>
      </c>
      <c r="U1094" s="322"/>
      <c r="V1094" s="791"/>
      <c r="W1094" s="792"/>
      <c r="X1094" s="480"/>
      <c r="Y1094" s="480"/>
      <c r="Z1094" s="480"/>
      <c r="AA1094" s="323"/>
      <c r="AB1094" s="220"/>
      <c r="AC1094" s="322"/>
      <c r="AD1094" s="323"/>
      <c r="AE1094" s="220"/>
      <c r="AF1094" s="324"/>
      <c r="AG1094" s="208"/>
      <c r="AH1094" s="208"/>
      <c r="AI1094" s="208"/>
      <c r="AJ1094" s="208"/>
      <c r="AK1094" s="208"/>
      <c r="AL1094" s="208"/>
      <c r="AM1094" s="208"/>
      <c r="AN1094" s="208"/>
      <c r="AO1094" s="208"/>
      <c r="AP1094" s="208"/>
      <c r="AQ1094" s="208"/>
      <c r="AR1094" s="208"/>
      <c r="AS1094" s="208"/>
      <c r="AT1094" s="208"/>
      <c r="AU1094" s="208"/>
      <c r="AV1094" s="208"/>
      <c r="AW1094" s="208"/>
      <c r="AX1094" s="208"/>
      <c r="AY1094" s="208"/>
      <c r="AZ1094" s="208"/>
      <c r="BA1094" s="208"/>
      <c r="BB1094" s="208"/>
      <c r="BC1094" s="208"/>
      <c r="BD1094" s="208"/>
      <c r="BE1094" s="208"/>
      <c r="BF1094" s="208"/>
      <c r="BG1094" s="208"/>
      <c r="BH1094" s="208"/>
      <c r="BI1094" s="323"/>
    </row>
    <row r="1095" spans="3:61" ht="15" customHeight="1">
      <c r="C1095" s="327"/>
      <c r="D1095" s="328"/>
      <c r="E1095" s="213"/>
      <c r="F1095" s="213"/>
      <c r="G1095" s="213"/>
      <c r="H1095" s="213"/>
      <c r="I1095" s="213"/>
      <c r="K1095" s="56"/>
      <c r="L1095" s="312"/>
      <c r="M1095" s="312"/>
      <c r="N1095" s="312"/>
      <c r="O1095" s="312"/>
      <c r="P1095" s="318" t="str">
        <f t="shared" si="50"/>
        <v/>
      </c>
      <c r="Q1095" s="205" t="str">
        <f t="shared" si="48"/>
        <v/>
      </c>
      <c r="R1095" s="176"/>
      <c r="S1095" s="319" t="str">
        <f t="shared" si="49"/>
        <v/>
      </c>
      <c r="U1095" s="318"/>
      <c r="V1095" s="794"/>
      <c r="W1095" s="795"/>
      <c r="X1095" s="482"/>
      <c r="Y1095" s="482"/>
      <c r="Z1095" s="482"/>
      <c r="AA1095" s="319"/>
      <c r="AB1095" s="220"/>
      <c r="AC1095" s="318"/>
      <c r="AD1095" s="319"/>
      <c r="AE1095" s="220"/>
      <c r="AF1095" s="320"/>
      <c r="AG1095" s="205"/>
      <c r="AH1095" s="205"/>
      <c r="AI1095" s="205"/>
      <c r="AJ1095" s="205"/>
      <c r="AK1095" s="205"/>
      <c r="AL1095" s="205"/>
      <c r="AM1095" s="205"/>
      <c r="AN1095" s="205"/>
      <c r="AO1095" s="205"/>
      <c r="AP1095" s="205"/>
      <c r="AQ1095" s="205"/>
      <c r="AR1095" s="205"/>
      <c r="AS1095" s="205"/>
      <c r="AT1095" s="205"/>
      <c r="AU1095" s="205"/>
      <c r="AV1095" s="205"/>
      <c r="AW1095" s="205"/>
      <c r="AX1095" s="205"/>
      <c r="AY1095" s="205"/>
      <c r="AZ1095" s="205"/>
      <c r="BA1095" s="205"/>
      <c r="BB1095" s="205"/>
      <c r="BC1095" s="205"/>
      <c r="BD1095" s="205"/>
      <c r="BE1095" s="205"/>
      <c r="BF1095" s="205"/>
      <c r="BG1095" s="205"/>
      <c r="BH1095" s="205"/>
      <c r="BI1095" s="319"/>
    </row>
    <row r="1096" spans="3:61" ht="15" customHeight="1">
      <c r="C1096" s="327"/>
      <c r="D1096" s="328"/>
      <c r="E1096" s="213"/>
      <c r="F1096" s="213"/>
      <c r="G1096" s="213"/>
      <c r="H1096" s="213"/>
      <c r="I1096" s="213"/>
      <c r="K1096" s="56"/>
      <c r="L1096" s="312"/>
      <c r="M1096" s="312"/>
      <c r="N1096" s="312"/>
      <c r="O1096" s="312"/>
      <c r="P1096" s="322" t="str">
        <f t="shared" si="50"/>
        <v/>
      </c>
      <c r="Q1096" s="208" t="str">
        <f t="shared" si="48"/>
        <v/>
      </c>
      <c r="R1096" s="175"/>
      <c r="S1096" s="323" t="str">
        <f t="shared" si="49"/>
        <v/>
      </c>
      <c r="U1096" s="322"/>
      <c r="V1096" s="791"/>
      <c r="W1096" s="792"/>
      <c r="X1096" s="480"/>
      <c r="Y1096" s="480"/>
      <c r="Z1096" s="480"/>
      <c r="AA1096" s="323"/>
      <c r="AB1096" s="220"/>
      <c r="AC1096" s="322"/>
      <c r="AD1096" s="323"/>
      <c r="AE1096" s="220"/>
      <c r="AF1096" s="324"/>
      <c r="AG1096" s="208"/>
      <c r="AH1096" s="208"/>
      <c r="AI1096" s="208"/>
      <c r="AJ1096" s="208"/>
      <c r="AK1096" s="208"/>
      <c r="AL1096" s="208"/>
      <c r="AM1096" s="208"/>
      <c r="AN1096" s="208"/>
      <c r="AO1096" s="208"/>
      <c r="AP1096" s="208"/>
      <c r="AQ1096" s="208"/>
      <c r="AR1096" s="208"/>
      <c r="AS1096" s="208"/>
      <c r="AT1096" s="208"/>
      <c r="AU1096" s="208"/>
      <c r="AV1096" s="208"/>
      <c r="AW1096" s="208"/>
      <c r="AX1096" s="208"/>
      <c r="AY1096" s="208"/>
      <c r="AZ1096" s="208"/>
      <c r="BA1096" s="208"/>
      <c r="BB1096" s="208"/>
      <c r="BC1096" s="208"/>
      <c r="BD1096" s="208"/>
      <c r="BE1096" s="208"/>
      <c r="BF1096" s="208"/>
      <c r="BG1096" s="208"/>
      <c r="BH1096" s="208"/>
      <c r="BI1096" s="323"/>
    </row>
    <row r="1097" spans="3:61" ht="15" customHeight="1">
      <c r="C1097" s="327"/>
      <c r="D1097" s="328"/>
      <c r="E1097" s="213"/>
      <c r="F1097" s="213"/>
      <c r="G1097" s="213"/>
      <c r="H1097" s="213"/>
      <c r="I1097" s="213"/>
      <c r="K1097" s="56"/>
      <c r="L1097" s="312"/>
      <c r="M1097" s="312"/>
      <c r="N1097" s="312"/>
      <c r="O1097" s="312"/>
      <c r="P1097" s="318" t="str">
        <f t="shared" si="50"/>
        <v/>
      </c>
      <c r="Q1097" s="205" t="str">
        <f t="shared" si="48"/>
        <v/>
      </c>
      <c r="R1097" s="176"/>
      <c r="S1097" s="319" t="str">
        <f t="shared" si="49"/>
        <v/>
      </c>
      <c r="U1097" s="318"/>
      <c r="V1097" s="794"/>
      <c r="W1097" s="795"/>
      <c r="X1097" s="482"/>
      <c r="Y1097" s="482"/>
      <c r="Z1097" s="482"/>
      <c r="AA1097" s="319"/>
      <c r="AB1097" s="220"/>
      <c r="AC1097" s="318"/>
      <c r="AD1097" s="319"/>
      <c r="AE1097" s="220"/>
      <c r="AF1097" s="320"/>
      <c r="AG1097" s="205"/>
      <c r="AH1097" s="205"/>
      <c r="AI1097" s="205"/>
      <c r="AJ1097" s="205"/>
      <c r="AK1097" s="205"/>
      <c r="AL1097" s="205"/>
      <c r="AM1097" s="205"/>
      <c r="AN1097" s="205"/>
      <c r="AO1097" s="205"/>
      <c r="AP1097" s="205"/>
      <c r="AQ1097" s="205"/>
      <c r="AR1097" s="205"/>
      <c r="AS1097" s="205"/>
      <c r="AT1097" s="205"/>
      <c r="AU1097" s="205"/>
      <c r="AV1097" s="205"/>
      <c r="AW1097" s="205"/>
      <c r="AX1097" s="205"/>
      <c r="AY1097" s="205"/>
      <c r="AZ1097" s="205"/>
      <c r="BA1097" s="205"/>
      <c r="BB1097" s="205"/>
      <c r="BC1097" s="205"/>
      <c r="BD1097" s="205"/>
      <c r="BE1097" s="205"/>
      <c r="BF1097" s="205"/>
      <c r="BG1097" s="205"/>
      <c r="BH1097" s="205"/>
      <c r="BI1097" s="319"/>
    </row>
    <row r="1098" spans="3:61" ht="15" customHeight="1">
      <c r="C1098" s="327"/>
      <c r="D1098" s="328"/>
      <c r="E1098" s="213"/>
      <c r="F1098" s="213"/>
      <c r="G1098" s="213"/>
      <c r="H1098" s="213"/>
      <c r="I1098" s="213"/>
      <c r="K1098" s="56"/>
      <c r="L1098" s="312"/>
      <c r="M1098" s="312"/>
      <c r="N1098" s="312"/>
      <c r="O1098" s="312"/>
      <c r="P1098" s="322" t="str">
        <f t="shared" si="50"/>
        <v/>
      </c>
      <c r="Q1098" s="208" t="str">
        <f t="shared" si="48"/>
        <v/>
      </c>
      <c r="R1098" s="175"/>
      <c r="S1098" s="323" t="str">
        <f t="shared" si="49"/>
        <v/>
      </c>
      <c r="U1098" s="322"/>
      <c r="V1098" s="791"/>
      <c r="W1098" s="792"/>
      <c r="X1098" s="480"/>
      <c r="Y1098" s="480"/>
      <c r="Z1098" s="480"/>
      <c r="AA1098" s="323"/>
      <c r="AB1098" s="220"/>
      <c r="AC1098" s="322"/>
      <c r="AD1098" s="323"/>
      <c r="AE1098" s="220"/>
      <c r="AF1098" s="324"/>
      <c r="AG1098" s="208"/>
      <c r="AH1098" s="208"/>
      <c r="AI1098" s="208"/>
      <c r="AJ1098" s="208"/>
      <c r="AK1098" s="208"/>
      <c r="AL1098" s="208"/>
      <c r="AM1098" s="208"/>
      <c r="AN1098" s="208"/>
      <c r="AO1098" s="208"/>
      <c r="AP1098" s="208"/>
      <c r="AQ1098" s="208"/>
      <c r="AR1098" s="208"/>
      <c r="AS1098" s="208"/>
      <c r="AT1098" s="208"/>
      <c r="AU1098" s="208"/>
      <c r="AV1098" s="208"/>
      <c r="AW1098" s="208"/>
      <c r="AX1098" s="208"/>
      <c r="AY1098" s="208"/>
      <c r="AZ1098" s="208"/>
      <c r="BA1098" s="208"/>
      <c r="BB1098" s="208"/>
      <c r="BC1098" s="208"/>
      <c r="BD1098" s="208"/>
      <c r="BE1098" s="208"/>
      <c r="BF1098" s="208"/>
      <c r="BG1098" s="208"/>
      <c r="BH1098" s="208"/>
      <c r="BI1098" s="323"/>
    </row>
    <row r="1099" spans="3:61" ht="15" customHeight="1">
      <c r="C1099" s="327"/>
      <c r="D1099" s="328"/>
      <c r="E1099" s="213"/>
      <c r="F1099" s="213"/>
      <c r="G1099" s="213"/>
      <c r="H1099" s="213"/>
      <c r="I1099" s="213"/>
      <c r="K1099" s="56"/>
      <c r="L1099" s="312"/>
      <c r="M1099" s="312"/>
      <c r="N1099" s="312"/>
      <c r="O1099" s="312"/>
      <c r="P1099" s="318" t="str">
        <f t="shared" si="50"/>
        <v/>
      </c>
      <c r="Q1099" s="205" t="str">
        <f t="shared" ref="Q1099:Q1162" si="51">IF($AA1099 = "", "", $AA1099/$AA$10*100)</f>
        <v/>
      </c>
      <c r="R1099" s="176"/>
      <c r="S1099" s="319" t="str">
        <f t="shared" ref="S1099:S1162" si="52">IF($AD1099 = "", "", $AD1099/$AD$10*100)</f>
        <v/>
      </c>
      <c r="U1099" s="318"/>
      <c r="V1099" s="794"/>
      <c r="W1099" s="795"/>
      <c r="X1099" s="482"/>
      <c r="Y1099" s="482"/>
      <c r="Z1099" s="482"/>
      <c r="AA1099" s="319"/>
      <c r="AB1099" s="220"/>
      <c r="AC1099" s="318"/>
      <c r="AD1099" s="319"/>
      <c r="AE1099" s="220"/>
      <c r="AF1099" s="320"/>
      <c r="AG1099" s="205"/>
      <c r="AH1099" s="205"/>
      <c r="AI1099" s="205"/>
      <c r="AJ1099" s="205"/>
      <c r="AK1099" s="205"/>
      <c r="AL1099" s="205"/>
      <c r="AM1099" s="205"/>
      <c r="AN1099" s="205"/>
      <c r="AO1099" s="205"/>
      <c r="AP1099" s="205"/>
      <c r="AQ1099" s="205"/>
      <c r="AR1099" s="205"/>
      <c r="AS1099" s="205"/>
      <c r="AT1099" s="205"/>
      <c r="AU1099" s="205"/>
      <c r="AV1099" s="205"/>
      <c r="AW1099" s="205"/>
      <c r="AX1099" s="205"/>
      <c r="AY1099" s="205"/>
      <c r="AZ1099" s="205"/>
      <c r="BA1099" s="205"/>
      <c r="BB1099" s="205"/>
      <c r="BC1099" s="205"/>
      <c r="BD1099" s="205"/>
      <c r="BE1099" s="205"/>
      <c r="BF1099" s="205"/>
      <c r="BG1099" s="205"/>
      <c r="BH1099" s="205"/>
      <c r="BI1099" s="319"/>
    </row>
    <row r="1100" spans="3:61" ht="15" customHeight="1">
      <c r="C1100" s="327"/>
      <c r="D1100" s="328"/>
      <c r="E1100" s="213"/>
      <c r="F1100" s="213"/>
      <c r="G1100" s="213"/>
      <c r="H1100" s="213"/>
      <c r="I1100" s="213"/>
      <c r="K1100" s="56"/>
      <c r="L1100" s="312"/>
      <c r="M1100" s="312"/>
      <c r="N1100" s="312"/>
      <c r="O1100" s="312"/>
      <c r="P1100" s="322" t="str">
        <f t="shared" ref="P1100:P1163" si="53">IF(U1100="", "", U1100)</f>
        <v/>
      </c>
      <c r="Q1100" s="208" t="str">
        <f t="shared" si="51"/>
        <v/>
      </c>
      <c r="R1100" s="175"/>
      <c r="S1100" s="323" t="str">
        <f t="shared" si="52"/>
        <v/>
      </c>
      <c r="U1100" s="322"/>
      <c r="V1100" s="791"/>
      <c r="W1100" s="792"/>
      <c r="X1100" s="480"/>
      <c r="Y1100" s="480"/>
      <c r="Z1100" s="480"/>
      <c r="AA1100" s="323"/>
      <c r="AB1100" s="220"/>
      <c r="AC1100" s="322"/>
      <c r="AD1100" s="323"/>
      <c r="AE1100" s="220"/>
      <c r="AF1100" s="324"/>
      <c r="AG1100" s="208"/>
      <c r="AH1100" s="208"/>
      <c r="AI1100" s="208"/>
      <c r="AJ1100" s="208"/>
      <c r="AK1100" s="208"/>
      <c r="AL1100" s="208"/>
      <c r="AM1100" s="208"/>
      <c r="AN1100" s="208"/>
      <c r="AO1100" s="208"/>
      <c r="AP1100" s="208"/>
      <c r="AQ1100" s="208"/>
      <c r="AR1100" s="208"/>
      <c r="AS1100" s="208"/>
      <c r="AT1100" s="208"/>
      <c r="AU1100" s="208"/>
      <c r="AV1100" s="208"/>
      <c r="AW1100" s="208"/>
      <c r="AX1100" s="208"/>
      <c r="AY1100" s="208"/>
      <c r="AZ1100" s="208"/>
      <c r="BA1100" s="208"/>
      <c r="BB1100" s="208"/>
      <c r="BC1100" s="208"/>
      <c r="BD1100" s="208"/>
      <c r="BE1100" s="208"/>
      <c r="BF1100" s="208"/>
      <c r="BG1100" s="208"/>
      <c r="BH1100" s="208"/>
      <c r="BI1100" s="323"/>
    </row>
    <row r="1101" spans="3:61" ht="15" customHeight="1">
      <c r="C1101" s="327"/>
      <c r="D1101" s="328"/>
      <c r="E1101" s="213"/>
      <c r="F1101" s="213"/>
      <c r="G1101" s="213"/>
      <c r="H1101" s="213"/>
      <c r="I1101" s="213"/>
      <c r="K1101" s="56"/>
      <c r="L1101" s="312"/>
      <c r="M1101" s="312"/>
      <c r="N1101" s="312"/>
      <c r="O1101" s="312"/>
      <c r="P1101" s="318" t="str">
        <f t="shared" si="53"/>
        <v/>
      </c>
      <c r="Q1101" s="205" t="str">
        <f t="shared" si="51"/>
        <v/>
      </c>
      <c r="R1101" s="176"/>
      <c r="S1101" s="319" t="str">
        <f t="shared" si="52"/>
        <v/>
      </c>
      <c r="U1101" s="318"/>
      <c r="V1101" s="794"/>
      <c r="W1101" s="795"/>
      <c r="X1101" s="482"/>
      <c r="Y1101" s="482"/>
      <c r="Z1101" s="482"/>
      <c r="AA1101" s="319"/>
      <c r="AB1101" s="220"/>
      <c r="AC1101" s="318"/>
      <c r="AD1101" s="319"/>
      <c r="AE1101" s="220"/>
      <c r="AF1101" s="320"/>
      <c r="AG1101" s="205"/>
      <c r="AH1101" s="205"/>
      <c r="AI1101" s="205"/>
      <c r="AJ1101" s="205"/>
      <c r="AK1101" s="205"/>
      <c r="AL1101" s="205"/>
      <c r="AM1101" s="205"/>
      <c r="AN1101" s="205"/>
      <c r="AO1101" s="205"/>
      <c r="AP1101" s="205"/>
      <c r="AQ1101" s="205"/>
      <c r="AR1101" s="205"/>
      <c r="AS1101" s="205"/>
      <c r="AT1101" s="205"/>
      <c r="AU1101" s="205"/>
      <c r="AV1101" s="205"/>
      <c r="AW1101" s="205"/>
      <c r="AX1101" s="205"/>
      <c r="AY1101" s="205"/>
      <c r="AZ1101" s="205"/>
      <c r="BA1101" s="205"/>
      <c r="BB1101" s="205"/>
      <c r="BC1101" s="205"/>
      <c r="BD1101" s="205"/>
      <c r="BE1101" s="205"/>
      <c r="BF1101" s="205"/>
      <c r="BG1101" s="205"/>
      <c r="BH1101" s="205"/>
      <c r="BI1101" s="319"/>
    </row>
    <row r="1102" spans="3:61" ht="15" customHeight="1">
      <c r="C1102" s="327"/>
      <c r="D1102" s="328"/>
      <c r="E1102" s="213"/>
      <c r="F1102" s="213"/>
      <c r="G1102" s="213"/>
      <c r="H1102" s="213"/>
      <c r="I1102" s="213"/>
      <c r="K1102" s="56"/>
      <c r="L1102" s="312"/>
      <c r="M1102" s="312"/>
      <c r="N1102" s="312"/>
      <c r="O1102" s="312"/>
      <c r="P1102" s="322" t="str">
        <f t="shared" si="53"/>
        <v/>
      </c>
      <c r="Q1102" s="208" t="str">
        <f t="shared" si="51"/>
        <v/>
      </c>
      <c r="R1102" s="175"/>
      <c r="S1102" s="323" t="str">
        <f t="shared" si="52"/>
        <v/>
      </c>
      <c r="U1102" s="322"/>
      <c r="V1102" s="791"/>
      <c r="W1102" s="792"/>
      <c r="X1102" s="480"/>
      <c r="Y1102" s="480"/>
      <c r="Z1102" s="480"/>
      <c r="AA1102" s="323"/>
      <c r="AB1102" s="220"/>
      <c r="AC1102" s="322"/>
      <c r="AD1102" s="323"/>
      <c r="AE1102" s="220"/>
      <c r="AF1102" s="324"/>
      <c r="AG1102" s="208"/>
      <c r="AH1102" s="208"/>
      <c r="AI1102" s="208"/>
      <c r="AJ1102" s="208"/>
      <c r="AK1102" s="208"/>
      <c r="AL1102" s="208"/>
      <c r="AM1102" s="208"/>
      <c r="AN1102" s="208"/>
      <c r="AO1102" s="208"/>
      <c r="AP1102" s="208"/>
      <c r="AQ1102" s="208"/>
      <c r="AR1102" s="208"/>
      <c r="AS1102" s="208"/>
      <c r="AT1102" s="208"/>
      <c r="AU1102" s="208"/>
      <c r="AV1102" s="208"/>
      <c r="AW1102" s="208"/>
      <c r="AX1102" s="208"/>
      <c r="AY1102" s="208"/>
      <c r="AZ1102" s="208"/>
      <c r="BA1102" s="208"/>
      <c r="BB1102" s="208"/>
      <c r="BC1102" s="208"/>
      <c r="BD1102" s="208"/>
      <c r="BE1102" s="208"/>
      <c r="BF1102" s="208"/>
      <c r="BG1102" s="208"/>
      <c r="BH1102" s="208"/>
      <c r="BI1102" s="323"/>
    </row>
    <row r="1103" spans="3:61" ht="15" customHeight="1">
      <c r="C1103" s="327"/>
      <c r="D1103" s="328"/>
      <c r="E1103" s="213"/>
      <c r="F1103" s="213"/>
      <c r="G1103" s="213"/>
      <c r="H1103" s="213"/>
      <c r="I1103" s="213"/>
      <c r="K1103" s="56"/>
      <c r="L1103" s="312"/>
      <c r="M1103" s="312"/>
      <c r="N1103" s="312"/>
      <c r="O1103" s="312"/>
      <c r="P1103" s="318" t="str">
        <f t="shared" si="53"/>
        <v/>
      </c>
      <c r="Q1103" s="205" t="str">
        <f t="shared" si="51"/>
        <v/>
      </c>
      <c r="R1103" s="176"/>
      <c r="S1103" s="319" t="str">
        <f t="shared" si="52"/>
        <v/>
      </c>
      <c r="U1103" s="318"/>
      <c r="V1103" s="794"/>
      <c r="W1103" s="795"/>
      <c r="X1103" s="482"/>
      <c r="Y1103" s="482"/>
      <c r="Z1103" s="482"/>
      <c r="AA1103" s="319"/>
      <c r="AB1103" s="220"/>
      <c r="AC1103" s="318"/>
      <c r="AD1103" s="319"/>
      <c r="AE1103" s="220"/>
      <c r="AF1103" s="320"/>
      <c r="AG1103" s="205"/>
      <c r="AH1103" s="205"/>
      <c r="AI1103" s="205"/>
      <c r="AJ1103" s="205"/>
      <c r="AK1103" s="205"/>
      <c r="AL1103" s="205"/>
      <c r="AM1103" s="205"/>
      <c r="AN1103" s="205"/>
      <c r="AO1103" s="205"/>
      <c r="AP1103" s="205"/>
      <c r="AQ1103" s="205"/>
      <c r="AR1103" s="205"/>
      <c r="AS1103" s="205"/>
      <c r="AT1103" s="205"/>
      <c r="AU1103" s="205"/>
      <c r="AV1103" s="205"/>
      <c r="AW1103" s="205"/>
      <c r="AX1103" s="205"/>
      <c r="AY1103" s="205"/>
      <c r="AZ1103" s="205"/>
      <c r="BA1103" s="205"/>
      <c r="BB1103" s="205"/>
      <c r="BC1103" s="205"/>
      <c r="BD1103" s="205"/>
      <c r="BE1103" s="205"/>
      <c r="BF1103" s="205"/>
      <c r="BG1103" s="205"/>
      <c r="BH1103" s="205"/>
      <c r="BI1103" s="319"/>
    </row>
    <row r="1104" spans="3:61" ht="15" customHeight="1">
      <c r="C1104" s="327"/>
      <c r="D1104" s="328"/>
      <c r="E1104" s="213"/>
      <c r="F1104" s="213"/>
      <c r="G1104" s="213"/>
      <c r="H1104" s="213"/>
      <c r="I1104" s="213"/>
      <c r="K1104" s="56"/>
      <c r="L1104" s="312"/>
      <c r="M1104" s="312"/>
      <c r="N1104" s="312"/>
      <c r="O1104" s="312"/>
      <c r="P1104" s="322" t="str">
        <f t="shared" si="53"/>
        <v/>
      </c>
      <c r="Q1104" s="208" t="str">
        <f t="shared" si="51"/>
        <v/>
      </c>
      <c r="R1104" s="175"/>
      <c r="S1104" s="323" t="str">
        <f t="shared" si="52"/>
        <v/>
      </c>
      <c r="U1104" s="322"/>
      <c r="V1104" s="791"/>
      <c r="W1104" s="792"/>
      <c r="X1104" s="480"/>
      <c r="Y1104" s="480"/>
      <c r="Z1104" s="480"/>
      <c r="AA1104" s="323"/>
      <c r="AB1104" s="220"/>
      <c r="AC1104" s="322"/>
      <c r="AD1104" s="323"/>
      <c r="AE1104" s="220"/>
      <c r="AF1104" s="324"/>
      <c r="AG1104" s="208"/>
      <c r="AH1104" s="208"/>
      <c r="AI1104" s="208"/>
      <c r="AJ1104" s="208"/>
      <c r="AK1104" s="208"/>
      <c r="AL1104" s="208"/>
      <c r="AM1104" s="208"/>
      <c r="AN1104" s="208"/>
      <c r="AO1104" s="208"/>
      <c r="AP1104" s="208"/>
      <c r="AQ1104" s="208"/>
      <c r="AR1104" s="208"/>
      <c r="AS1104" s="208"/>
      <c r="AT1104" s="208"/>
      <c r="AU1104" s="208"/>
      <c r="AV1104" s="208"/>
      <c r="AW1104" s="208"/>
      <c r="AX1104" s="208"/>
      <c r="AY1104" s="208"/>
      <c r="AZ1104" s="208"/>
      <c r="BA1104" s="208"/>
      <c r="BB1104" s="208"/>
      <c r="BC1104" s="208"/>
      <c r="BD1104" s="208"/>
      <c r="BE1104" s="208"/>
      <c r="BF1104" s="208"/>
      <c r="BG1104" s="208"/>
      <c r="BH1104" s="208"/>
      <c r="BI1104" s="323"/>
    </row>
    <row r="1105" spans="3:61" ht="15" customHeight="1">
      <c r="C1105" s="327"/>
      <c r="D1105" s="328"/>
      <c r="E1105" s="213"/>
      <c r="F1105" s="213"/>
      <c r="G1105" s="213"/>
      <c r="H1105" s="213"/>
      <c r="I1105" s="213"/>
      <c r="K1105" s="56"/>
      <c r="L1105" s="312"/>
      <c r="M1105" s="312"/>
      <c r="N1105" s="312"/>
      <c r="O1105" s="312"/>
      <c r="P1105" s="318" t="str">
        <f t="shared" si="53"/>
        <v/>
      </c>
      <c r="Q1105" s="205" t="str">
        <f t="shared" si="51"/>
        <v/>
      </c>
      <c r="R1105" s="176"/>
      <c r="S1105" s="319" t="str">
        <f t="shared" si="52"/>
        <v/>
      </c>
      <c r="U1105" s="318"/>
      <c r="V1105" s="794"/>
      <c r="W1105" s="795"/>
      <c r="X1105" s="482"/>
      <c r="Y1105" s="482"/>
      <c r="Z1105" s="482"/>
      <c r="AA1105" s="319"/>
      <c r="AB1105" s="220"/>
      <c r="AC1105" s="318"/>
      <c r="AD1105" s="319"/>
      <c r="AE1105" s="220"/>
      <c r="AF1105" s="320"/>
      <c r="AG1105" s="205"/>
      <c r="AH1105" s="205"/>
      <c r="AI1105" s="205"/>
      <c r="AJ1105" s="205"/>
      <c r="AK1105" s="205"/>
      <c r="AL1105" s="205"/>
      <c r="AM1105" s="205"/>
      <c r="AN1105" s="205"/>
      <c r="AO1105" s="205"/>
      <c r="AP1105" s="205"/>
      <c r="AQ1105" s="205"/>
      <c r="AR1105" s="205"/>
      <c r="AS1105" s="205"/>
      <c r="AT1105" s="205"/>
      <c r="AU1105" s="205"/>
      <c r="AV1105" s="205"/>
      <c r="AW1105" s="205"/>
      <c r="AX1105" s="205"/>
      <c r="AY1105" s="205"/>
      <c r="AZ1105" s="205"/>
      <c r="BA1105" s="205"/>
      <c r="BB1105" s="205"/>
      <c r="BC1105" s="205"/>
      <c r="BD1105" s="205"/>
      <c r="BE1105" s="205"/>
      <c r="BF1105" s="205"/>
      <c r="BG1105" s="205"/>
      <c r="BH1105" s="205"/>
      <c r="BI1105" s="319"/>
    </row>
    <row r="1106" spans="3:61" ht="15" customHeight="1">
      <c r="C1106" s="327"/>
      <c r="D1106" s="328"/>
      <c r="E1106" s="213"/>
      <c r="F1106" s="213"/>
      <c r="G1106" s="213"/>
      <c r="H1106" s="213"/>
      <c r="I1106" s="213"/>
      <c r="K1106" s="56"/>
      <c r="L1106" s="312"/>
      <c r="M1106" s="312"/>
      <c r="N1106" s="312"/>
      <c r="O1106" s="312"/>
      <c r="P1106" s="322" t="str">
        <f t="shared" si="53"/>
        <v/>
      </c>
      <c r="Q1106" s="208" t="str">
        <f t="shared" si="51"/>
        <v/>
      </c>
      <c r="R1106" s="175"/>
      <c r="S1106" s="323" t="str">
        <f t="shared" si="52"/>
        <v/>
      </c>
      <c r="U1106" s="322"/>
      <c r="V1106" s="791"/>
      <c r="W1106" s="792"/>
      <c r="X1106" s="480"/>
      <c r="Y1106" s="480"/>
      <c r="Z1106" s="480"/>
      <c r="AA1106" s="323"/>
      <c r="AB1106" s="220"/>
      <c r="AC1106" s="322"/>
      <c r="AD1106" s="323"/>
      <c r="AE1106" s="220"/>
      <c r="AF1106" s="324"/>
      <c r="AG1106" s="208"/>
      <c r="AH1106" s="208"/>
      <c r="AI1106" s="208"/>
      <c r="AJ1106" s="208"/>
      <c r="AK1106" s="208"/>
      <c r="AL1106" s="208"/>
      <c r="AM1106" s="208"/>
      <c r="AN1106" s="208"/>
      <c r="AO1106" s="208"/>
      <c r="AP1106" s="208"/>
      <c r="AQ1106" s="208"/>
      <c r="AR1106" s="208"/>
      <c r="AS1106" s="208"/>
      <c r="AT1106" s="208"/>
      <c r="AU1106" s="208"/>
      <c r="AV1106" s="208"/>
      <c r="AW1106" s="208"/>
      <c r="AX1106" s="208"/>
      <c r="AY1106" s="208"/>
      <c r="AZ1106" s="208"/>
      <c r="BA1106" s="208"/>
      <c r="BB1106" s="208"/>
      <c r="BC1106" s="208"/>
      <c r="BD1106" s="208"/>
      <c r="BE1106" s="208"/>
      <c r="BF1106" s="208"/>
      <c r="BG1106" s="208"/>
      <c r="BH1106" s="208"/>
      <c r="BI1106" s="323"/>
    </row>
    <row r="1107" spans="3:61" ht="15" customHeight="1">
      <c r="C1107" s="327"/>
      <c r="D1107" s="328"/>
      <c r="E1107" s="213"/>
      <c r="F1107" s="213"/>
      <c r="G1107" s="213"/>
      <c r="H1107" s="213"/>
      <c r="I1107" s="213"/>
      <c r="K1107" s="56"/>
      <c r="L1107" s="312"/>
      <c r="M1107" s="312"/>
      <c r="N1107" s="312"/>
      <c r="O1107" s="312"/>
      <c r="P1107" s="318" t="str">
        <f t="shared" si="53"/>
        <v/>
      </c>
      <c r="Q1107" s="205" t="str">
        <f t="shared" si="51"/>
        <v/>
      </c>
      <c r="R1107" s="176"/>
      <c r="S1107" s="319" t="str">
        <f t="shared" si="52"/>
        <v/>
      </c>
      <c r="U1107" s="318"/>
      <c r="V1107" s="794"/>
      <c r="W1107" s="795"/>
      <c r="X1107" s="482"/>
      <c r="Y1107" s="482"/>
      <c r="Z1107" s="482"/>
      <c r="AA1107" s="319"/>
      <c r="AB1107" s="220"/>
      <c r="AC1107" s="318"/>
      <c r="AD1107" s="319"/>
      <c r="AE1107" s="220"/>
      <c r="AF1107" s="320"/>
      <c r="AG1107" s="205"/>
      <c r="AH1107" s="205"/>
      <c r="AI1107" s="205"/>
      <c r="AJ1107" s="205"/>
      <c r="AK1107" s="205"/>
      <c r="AL1107" s="205"/>
      <c r="AM1107" s="205"/>
      <c r="AN1107" s="205"/>
      <c r="AO1107" s="205"/>
      <c r="AP1107" s="205"/>
      <c r="AQ1107" s="205"/>
      <c r="AR1107" s="205"/>
      <c r="AS1107" s="205"/>
      <c r="AT1107" s="205"/>
      <c r="AU1107" s="205"/>
      <c r="AV1107" s="205"/>
      <c r="AW1107" s="205"/>
      <c r="AX1107" s="205"/>
      <c r="AY1107" s="205"/>
      <c r="AZ1107" s="205"/>
      <c r="BA1107" s="205"/>
      <c r="BB1107" s="205"/>
      <c r="BC1107" s="205"/>
      <c r="BD1107" s="205"/>
      <c r="BE1107" s="205"/>
      <c r="BF1107" s="205"/>
      <c r="BG1107" s="205"/>
      <c r="BH1107" s="205"/>
      <c r="BI1107" s="319"/>
    </row>
    <row r="1108" spans="3:61" ht="15" customHeight="1">
      <c r="C1108" s="327"/>
      <c r="D1108" s="328"/>
      <c r="E1108" s="213"/>
      <c r="F1108" s="213"/>
      <c r="G1108" s="213"/>
      <c r="H1108" s="213"/>
      <c r="I1108" s="213"/>
      <c r="K1108" s="56"/>
      <c r="L1108" s="312"/>
      <c r="M1108" s="312"/>
      <c r="N1108" s="312"/>
      <c r="O1108" s="312"/>
      <c r="P1108" s="322" t="str">
        <f t="shared" si="53"/>
        <v/>
      </c>
      <c r="Q1108" s="208" t="str">
        <f t="shared" si="51"/>
        <v/>
      </c>
      <c r="R1108" s="175"/>
      <c r="S1108" s="323" t="str">
        <f t="shared" si="52"/>
        <v/>
      </c>
      <c r="U1108" s="322"/>
      <c r="V1108" s="791"/>
      <c r="W1108" s="792"/>
      <c r="X1108" s="480"/>
      <c r="Y1108" s="480"/>
      <c r="Z1108" s="480"/>
      <c r="AA1108" s="323"/>
      <c r="AB1108" s="220"/>
      <c r="AC1108" s="322"/>
      <c r="AD1108" s="323"/>
      <c r="AE1108" s="220"/>
      <c r="AF1108" s="324"/>
      <c r="AG1108" s="208"/>
      <c r="AH1108" s="208"/>
      <c r="AI1108" s="208"/>
      <c r="AJ1108" s="208"/>
      <c r="AK1108" s="208"/>
      <c r="AL1108" s="208"/>
      <c r="AM1108" s="208"/>
      <c r="AN1108" s="208"/>
      <c r="AO1108" s="208"/>
      <c r="AP1108" s="208"/>
      <c r="AQ1108" s="208"/>
      <c r="AR1108" s="208"/>
      <c r="AS1108" s="208"/>
      <c r="AT1108" s="208"/>
      <c r="AU1108" s="208"/>
      <c r="AV1108" s="208"/>
      <c r="AW1108" s="208"/>
      <c r="AX1108" s="208"/>
      <c r="AY1108" s="208"/>
      <c r="AZ1108" s="208"/>
      <c r="BA1108" s="208"/>
      <c r="BB1108" s="208"/>
      <c r="BC1108" s="208"/>
      <c r="BD1108" s="208"/>
      <c r="BE1108" s="208"/>
      <c r="BF1108" s="208"/>
      <c r="BG1108" s="208"/>
      <c r="BH1108" s="208"/>
      <c r="BI1108" s="323"/>
    </row>
    <row r="1109" spans="3:61" ht="15" customHeight="1">
      <c r="C1109" s="327"/>
      <c r="D1109" s="328"/>
      <c r="E1109" s="213"/>
      <c r="F1109" s="213"/>
      <c r="G1109" s="213"/>
      <c r="H1109" s="213"/>
      <c r="I1109" s="213"/>
      <c r="K1109" s="56"/>
      <c r="L1109" s="312"/>
      <c r="M1109" s="312"/>
      <c r="N1109" s="312"/>
      <c r="O1109" s="312"/>
      <c r="P1109" s="318" t="str">
        <f t="shared" si="53"/>
        <v/>
      </c>
      <c r="Q1109" s="205" t="str">
        <f t="shared" si="51"/>
        <v/>
      </c>
      <c r="R1109" s="176"/>
      <c r="S1109" s="319" t="str">
        <f t="shared" si="52"/>
        <v/>
      </c>
      <c r="U1109" s="318"/>
      <c r="V1109" s="794"/>
      <c r="W1109" s="795"/>
      <c r="X1109" s="482"/>
      <c r="Y1109" s="482"/>
      <c r="Z1109" s="482"/>
      <c r="AA1109" s="319"/>
      <c r="AB1109" s="220"/>
      <c r="AC1109" s="318"/>
      <c r="AD1109" s="319"/>
      <c r="AE1109" s="220"/>
      <c r="AF1109" s="320"/>
      <c r="AG1109" s="205"/>
      <c r="AH1109" s="205"/>
      <c r="AI1109" s="205"/>
      <c r="AJ1109" s="205"/>
      <c r="AK1109" s="205"/>
      <c r="AL1109" s="205"/>
      <c r="AM1109" s="205"/>
      <c r="AN1109" s="205"/>
      <c r="AO1109" s="205"/>
      <c r="AP1109" s="205"/>
      <c r="AQ1109" s="205"/>
      <c r="AR1109" s="205"/>
      <c r="AS1109" s="205"/>
      <c r="AT1109" s="205"/>
      <c r="AU1109" s="205"/>
      <c r="AV1109" s="205"/>
      <c r="AW1109" s="205"/>
      <c r="AX1109" s="205"/>
      <c r="AY1109" s="205"/>
      <c r="AZ1109" s="205"/>
      <c r="BA1109" s="205"/>
      <c r="BB1109" s="205"/>
      <c r="BC1109" s="205"/>
      <c r="BD1109" s="205"/>
      <c r="BE1109" s="205"/>
      <c r="BF1109" s="205"/>
      <c r="BG1109" s="205"/>
      <c r="BH1109" s="205"/>
      <c r="BI1109" s="319"/>
    </row>
    <row r="1110" spans="3:61" ht="15" customHeight="1">
      <c r="C1110" s="327"/>
      <c r="D1110" s="328"/>
      <c r="E1110" s="213"/>
      <c r="F1110" s="213"/>
      <c r="G1110" s="213"/>
      <c r="H1110" s="213"/>
      <c r="I1110" s="213"/>
      <c r="K1110" s="56"/>
      <c r="L1110" s="312"/>
      <c r="M1110" s="312"/>
      <c r="N1110" s="312"/>
      <c r="O1110" s="312"/>
      <c r="P1110" s="322" t="str">
        <f t="shared" si="53"/>
        <v/>
      </c>
      <c r="Q1110" s="208" t="str">
        <f t="shared" si="51"/>
        <v/>
      </c>
      <c r="R1110" s="175"/>
      <c r="S1110" s="323" t="str">
        <f t="shared" si="52"/>
        <v/>
      </c>
      <c r="U1110" s="322"/>
      <c r="V1110" s="791"/>
      <c r="W1110" s="792"/>
      <c r="X1110" s="480"/>
      <c r="Y1110" s="480"/>
      <c r="Z1110" s="480"/>
      <c r="AA1110" s="323"/>
      <c r="AB1110" s="220"/>
      <c r="AC1110" s="322"/>
      <c r="AD1110" s="323"/>
      <c r="AE1110" s="220"/>
      <c r="AF1110" s="324"/>
      <c r="AG1110" s="208"/>
      <c r="AH1110" s="208"/>
      <c r="AI1110" s="208"/>
      <c r="AJ1110" s="208"/>
      <c r="AK1110" s="208"/>
      <c r="AL1110" s="208"/>
      <c r="AM1110" s="208"/>
      <c r="AN1110" s="208"/>
      <c r="AO1110" s="208"/>
      <c r="AP1110" s="208"/>
      <c r="AQ1110" s="208"/>
      <c r="AR1110" s="208"/>
      <c r="AS1110" s="208"/>
      <c r="AT1110" s="208"/>
      <c r="AU1110" s="208"/>
      <c r="AV1110" s="208"/>
      <c r="AW1110" s="208"/>
      <c r="AX1110" s="208"/>
      <c r="AY1110" s="208"/>
      <c r="AZ1110" s="208"/>
      <c r="BA1110" s="208"/>
      <c r="BB1110" s="208"/>
      <c r="BC1110" s="208"/>
      <c r="BD1110" s="208"/>
      <c r="BE1110" s="208"/>
      <c r="BF1110" s="208"/>
      <c r="BG1110" s="208"/>
      <c r="BH1110" s="208"/>
      <c r="BI1110" s="323"/>
    </row>
    <row r="1111" spans="3:61" ht="15" customHeight="1">
      <c r="C1111" s="327"/>
      <c r="D1111" s="328"/>
      <c r="E1111" s="213"/>
      <c r="F1111" s="213"/>
      <c r="G1111" s="213"/>
      <c r="H1111" s="213"/>
      <c r="I1111" s="213"/>
      <c r="K1111" s="56"/>
      <c r="L1111" s="312"/>
      <c r="M1111" s="312"/>
      <c r="N1111" s="312"/>
      <c r="O1111" s="312"/>
      <c r="P1111" s="318" t="str">
        <f t="shared" si="53"/>
        <v/>
      </c>
      <c r="Q1111" s="205" t="str">
        <f t="shared" si="51"/>
        <v/>
      </c>
      <c r="R1111" s="176"/>
      <c r="S1111" s="319" t="str">
        <f t="shared" si="52"/>
        <v/>
      </c>
      <c r="U1111" s="318"/>
      <c r="V1111" s="794"/>
      <c r="W1111" s="795"/>
      <c r="X1111" s="482"/>
      <c r="Y1111" s="482"/>
      <c r="Z1111" s="482"/>
      <c r="AA1111" s="319"/>
      <c r="AB1111" s="220"/>
      <c r="AC1111" s="318"/>
      <c r="AD1111" s="319"/>
      <c r="AE1111" s="220"/>
      <c r="AF1111" s="320"/>
      <c r="AG1111" s="205"/>
      <c r="AH1111" s="205"/>
      <c r="AI1111" s="205"/>
      <c r="AJ1111" s="205"/>
      <c r="AK1111" s="205"/>
      <c r="AL1111" s="205"/>
      <c r="AM1111" s="205"/>
      <c r="AN1111" s="205"/>
      <c r="AO1111" s="205"/>
      <c r="AP1111" s="205"/>
      <c r="AQ1111" s="205"/>
      <c r="AR1111" s="205"/>
      <c r="AS1111" s="205"/>
      <c r="AT1111" s="205"/>
      <c r="AU1111" s="205"/>
      <c r="AV1111" s="205"/>
      <c r="AW1111" s="205"/>
      <c r="AX1111" s="205"/>
      <c r="AY1111" s="205"/>
      <c r="AZ1111" s="205"/>
      <c r="BA1111" s="205"/>
      <c r="BB1111" s="205"/>
      <c r="BC1111" s="205"/>
      <c r="BD1111" s="205"/>
      <c r="BE1111" s="205"/>
      <c r="BF1111" s="205"/>
      <c r="BG1111" s="205"/>
      <c r="BH1111" s="205"/>
      <c r="BI1111" s="319"/>
    </row>
    <row r="1112" spans="3:61" ht="15" customHeight="1">
      <c r="C1112" s="327"/>
      <c r="D1112" s="328"/>
      <c r="E1112" s="213"/>
      <c r="F1112" s="213"/>
      <c r="G1112" s="213"/>
      <c r="H1112" s="213"/>
      <c r="I1112" s="213"/>
      <c r="K1112" s="56"/>
      <c r="L1112" s="312"/>
      <c r="M1112" s="312"/>
      <c r="N1112" s="312"/>
      <c r="O1112" s="312"/>
      <c r="P1112" s="322" t="str">
        <f t="shared" si="53"/>
        <v/>
      </c>
      <c r="Q1112" s="208" t="str">
        <f t="shared" si="51"/>
        <v/>
      </c>
      <c r="R1112" s="175"/>
      <c r="S1112" s="323" t="str">
        <f t="shared" si="52"/>
        <v/>
      </c>
      <c r="U1112" s="322"/>
      <c r="V1112" s="791"/>
      <c r="W1112" s="792"/>
      <c r="X1112" s="480"/>
      <c r="Y1112" s="480"/>
      <c r="Z1112" s="480"/>
      <c r="AA1112" s="323"/>
      <c r="AB1112" s="220"/>
      <c r="AC1112" s="322"/>
      <c r="AD1112" s="323"/>
      <c r="AE1112" s="220"/>
      <c r="AF1112" s="324"/>
      <c r="AG1112" s="208"/>
      <c r="AH1112" s="208"/>
      <c r="AI1112" s="208"/>
      <c r="AJ1112" s="208"/>
      <c r="AK1112" s="208"/>
      <c r="AL1112" s="208"/>
      <c r="AM1112" s="208"/>
      <c r="AN1112" s="208"/>
      <c r="AO1112" s="208"/>
      <c r="AP1112" s="208"/>
      <c r="AQ1112" s="208"/>
      <c r="AR1112" s="208"/>
      <c r="AS1112" s="208"/>
      <c r="AT1112" s="208"/>
      <c r="AU1112" s="208"/>
      <c r="AV1112" s="208"/>
      <c r="AW1112" s="208"/>
      <c r="AX1112" s="208"/>
      <c r="AY1112" s="208"/>
      <c r="AZ1112" s="208"/>
      <c r="BA1112" s="208"/>
      <c r="BB1112" s="208"/>
      <c r="BC1112" s="208"/>
      <c r="BD1112" s="208"/>
      <c r="BE1112" s="208"/>
      <c r="BF1112" s="208"/>
      <c r="BG1112" s="208"/>
      <c r="BH1112" s="208"/>
      <c r="BI1112" s="323"/>
    </row>
    <row r="1113" spans="3:61" ht="15" customHeight="1">
      <c r="C1113" s="327"/>
      <c r="D1113" s="328"/>
      <c r="E1113" s="213"/>
      <c r="F1113" s="213"/>
      <c r="G1113" s="213"/>
      <c r="H1113" s="213"/>
      <c r="I1113" s="213"/>
      <c r="K1113" s="56"/>
      <c r="L1113" s="312"/>
      <c r="M1113" s="312"/>
      <c r="N1113" s="312"/>
      <c r="O1113" s="312"/>
      <c r="P1113" s="318" t="str">
        <f t="shared" si="53"/>
        <v/>
      </c>
      <c r="Q1113" s="205" t="str">
        <f t="shared" si="51"/>
        <v/>
      </c>
      <c r="R1113" s="176"/>
      <c r="S1113" s="319" t="str">
        <f t="shared" si="52"/>
        <v/>
      </c>
      <c r="U1113" s="318"/>
      <c r="V1113" s="794"/>
      <c r="W1113" s="795"/>
      <c r="X1113" s="482"/>
      <c r="Y1113" s="482"/>
      <c r="Z1113" s="482"/>
      <c r="AA1113" s="319"/>
      <c r="AB1113" s="220"/>
      <c r="AC1113" s="318"/>
      <c r="AD1113" s="319"/>
      <c r="AE1113" s="220"/>
      <c r="AF1113" s="320"/>
      <c r="AG1113" s="205"/>
      <c r="AH1113" s="205"/>
      <c r="AI1113" s="205"/>
      <c r="AJ1113" s="205"/>
      <c r="AK1113" s="205"/>
      <c r="AL1113" s="205"/>
      <c r="AM1113" s="205"/>
      <c r="AN1113" s="205"/>
      <c r="AO1113" s="205"/>
      <c r="AP1113" s="205"/>
      <c r="AQ1113" s="205"/>
      <c r="AR1113" s="205"/>
      <c r="AS1113" s="205"/>
      <c r="AT1113" s="205"/>
      <c r="AU1113" s="205"/>
      <c r="AV1113" s="205"/>
      <c r="AW1113" s="205"/>
      <c r="AX1113" s="205"/>
      <c r="AY1113" s="205"/>
      <c r="AZ1113" s="205"/>
      <c r="BA1113" s="205"/>
      <c r="BB1113" s="205"/>
      <c r="BC1113" s="205"/>
      <c r="BD1113" s="205"/>
      <c r="BE1113" s="205"/>
      <c r="BF1113" s="205"/>
      <c r="BG1113" s="205"/>
      <c r="BH1113" s="205"/>
      <c r="BI1113" s="319"/>
    </row>
    <row r="1114" spans="3:61" ht="15" customHeight="1">
      <c r="C1114" s="327"/>
      <c r="D1114" s="328"/>
      <c r="E1114" s="213"/>
      <c r="F1114" s="213"/>
      <c r="G1114" s="213"/>
      <c r="H1114" s="213"/>
      <c r="I1114" s="213"/>
      <c r="K1114" s="56"/>
      <c r="L1114" s="312"/>
      <c r="M1114" s="312"/>
      <c r="N1114" s="312"/>
      <c r="O1114" s="312"/>
      <c r="P1114" s="322" t="str">
        <f t="shared" si="53"/>
        <v/>
      </c>
      <c r="Q1114" s="208" t="str">
        <f t="shared" si="51"/>
        <v/>
      </c>
      <c r="R1114" s="175"/>
      <c r="S1114" s="323" t="str">
        <f t="shared" si="52"/>
        <v/>
      </c>
      <c r="U1114" s="322"/>
      <c r="V1114" s="791"/>
      <c r="W1114" s="792"/>
      <c r="X1114" s="480"/>
      <c r="Y1114" s="480"/>
      <c r="Z1114" s="480"/>
      <c r="AA1114" s="323"/>
      <c r="AB1114" s="220"/>
      <c r="AC1114" s="322"/>
      <c r="AD1114" s="323"/>
      <c r="AE1114" s="220"/>
      <c r="AF1114" s="324"/>
      <c r="AG1114" s="208"/>
      <c r="AH1114" s="208"/>
      <c r="AI1114" s="208"/>
      <c r="AJ1114" s="208"/>
      <c r="AK1114" s="208"/>
      <c r="AL1114" s="208"/>
      <c r="AM1114" s="208"/>
      <c r="AN1114" s="208"/>
      <c r="AO1114" s="208"/>
      <c r="AP1114" s="208"/>
      <c r="AQ1114" s="208"/>
      <c r="AR1114" s="208"/>
      <c r="AS1114" s="208"/>
      <c r="AT1114" s="208"/>
      <c r="AU1114" s="208"/>
      <c r="AV1114" s="208"/>
      <c r="AW1114" s="208"/>
      <c r="AX1114" s="208"/>
      <c r="AY1114" s="208"/>
      <c r="AZ1114" s="208"/>
      <c r="BA1114" s="208"/>
      <c r="BB1114" s="208"/>
      <c r="BC1114" s="208"/>
      <c r="BD1114" s="208"/>
      <c r="BE1114" s="208"/>
      <c r="BF1114" s="208"/>
      <c r="BG1114" s="208"/>
      <c r="BH1114" s="208"/>
      <c r="BI1114" s="323"/>
    </row>
    <row r="1115" spans="3:61" ht="15" customHeight="1">
      <c r="C1115" s="327"/>
      <c r="D1115" s="328"/>
      <c r="E1115" s="213"/>
      <c r="F1115" s="213"/>
      <c r="G1115" s="213"/>
      <c r="H1115" s="213"/>
      <c r="I1115" s="213"/>
      <c r="K1115" s="56"/>
      <c r="L1115" s="312"/>
      <c r="M1115" s="312"/>
      <c r="N1115" s="312"/>
      <c r="O1115" s="312"/>
      <c r="P1115" s="318" t="str">
        <f t="shared" si="53"/>
        <v/>
      </c>
      <c r="Q1115" s="205" t="str">
        <f t="shared" si="51"/>
        <v/>
      </c>
      <c r="R1115" s="176"/>
      <c r="S1115" s="319" t="str">
        <f t="shared" si="52"/>
        <v/>
      </c>
      <c r="U1115" s="318"/>
      <c r="V1115" s="794"/>
      <c r="W1115" s="795"/>
      <c r="X1115" s="482"/>
      <c r="Y1115" s="482"/>
      <c r="Z1115" s="482"/>
      <c r="AA1115" s="319"/>
      <c r="AB1115" s="220"/>
      <c r="AC1115" s="318"/>
      <c r="AD1115" s="319"/>
      <c r="AE1115" s="220"/>
      <c r="AF1115" s="320"/>
      <c r="AG1115" s="205"/>
      <c r="AH1115" s="205"/>
      <c r="AI1115" s="205"/>
      <c r="AJ1115" s="205"/>
      <c r="AK1115" s="205"/>
      <c r="AL1115" s="205"/>
      <c r="AM1115" s="205"/>
      <c r="AN1115" s="205"/>
      <c r="AO1115" s="205"/>
      <c r="AP1115" s="205"/>
      <c r="AQ1115" s="205"/>
      <c r="AR1115" s="205"/>
      <c r="AS1115" s="205"/>
      <c r="AT1115" s="205"/>
      <c r="AU1115" s="205"/>
      <c r="AV1115" s="205"/>
      <c r="AW1115" s="205"/>
      <c r="AX1115" s="205"/>
      <c r="AY1115" s="205"/>
      <c r="AZ1115" s="205"/>
      <c r="BA1115" s="205"/>
      <c r="BB1115" s="205"/>
      <c r="BC1115" s="205"/>
      <c r="BD1115" s="205"/>
      <c r="BE1115" s="205"/>
      <c r="BF1115" s="205"/>
      <c r="BG1115" s="205"/>
      <c r="BH1115" s="205"/>
      <c r="BI1115" s="319"/>
    </row>
    <row r="1116" spans="3:61" ht="15" customHeight="1">
      <c r="C1116" s="327"/>
      <c r="D1116" s="328"/>
      <c r="E1116" s="213"/>
      <c r="F1116" s="213"/>
      <c r="G1116" s="213"/>
      <c r="H1116" s="213"/>
      <c r="I1116" s="213"/>
      <c r="K1116" s="56"/>
      <c r="L1116" s="312"/>
      <c r="M1116" s="312"/>
      <c r="N1116" s="312"/>
      <c r="O1116" s="312"/>
      <c r="P1116" s="322" t="str">
        <f t="shared" si="53"/>
        <v/>
      </c>
      <c r="Q1116" s="208" t="str">
        <f t="shared" si="51"/>
        <v/>
      </c>
      <c r="R1116" s="175"/>
      <c r="S1116" s="323" t="str">
        <f t="shared" si="52"/>
        <v/>
      </c>
      <c r="U1116" s="322"/>
      <c r="V1116" s="791"/>
      <c r="W1116" s="792"/>
      <c r="X1116" s="480"/>
      <c r="Y1116" s="480"/>
      <c r="Z1116" s="480"/>
      <c r="AA1116" s="323"/>
      <c r="AB1116" s="220"/>
      <c r="AC1116" s="322"/>
      <c r="AD1116" s="323"/>
      <c r="AE1116" s="220"/>
      <c r="AF1116" s="324"/>
      <c r="AG1116" s="208"/>
      <c r="AH1116" s="208"/>
      <c r="AI1116" s="208"/>
      <c r="AJ1116" s="208"/>
      <c r="AK1116" s="208"/>
      <c r="AL1116" s="208"/>
      <c r="AM1116" s="208"/>
      <c r="AN1116" s="208"/>
      <c r="AO1116" s="208"/>
      <c r="AP1116" s="208"/>
      <c r="AQ1116" s="208"/>
      <c r="AR1116" s="208"/>
      <c r="AS1116" s="208"/>
      <c r="AT1116" s="208"/>
      <c r="AU1116" s="208"/>
      <c r="AV1116" s="208"/>
      <c r="AW1116" s="208"/>
      <c r="AX1116" s="208"/>
      <c r="AY1116" s="208"/>
      <c r="AZ1116" s="208"/>
      <c r="BA1116" s="208"/>
      <c r="BB1116" s="208"/>
      <c r="BC1116" s="208"/>
      <c r="BD1116" s="208"/>
      <c r="BE1116" s="208"/>
      <c r="BF1116" s="208"/>
      <c r="BG1116" s="208"/>
      <c r="BH1116" s="208"/>
      <c r="BI1116" s="323"/>
    </row>
    <row r="1117" spans="3:61" ht="15" customHeight="1">
      <c r="C1117" s="327"/>
      <c r="D1117" s="328"/>
      <c r="E1117" s="213"/>
      <c r="F1117" s="213"/>
      <c r="G1117" s="213"/>
      <c r="H1117" s="213"/>
      <c r="I1117" s="213"/>
      <c r="K1117" s="56"/>
      <c r="L1117" s="312"/>
      <c r="M1117" s="312"/>
      <c r="N1117" s="312"/>
      <c r="O1117" s="312"/>
      <c r="P1117" s="318" t="str">
        <f t="shared" si="53"/>
        <v/>
      </c>
      <c r="Q1117" s="205" t="str">
        <f t="shared" si="51"/>
        <v/>
      </c>
      <c r="R1117" s="176"/>
      <c r="S1117" s="319" t="str">
        <f t="shared" si="52"/>
        <v/>
      </c>
      <c r="U1117" s="318"/>
      <c r="V1117" s="794"/>
      <c r="W1117" s="795"/>
      <c r="X1117" s="482"/>
      <c r="Y1117" s="482"/>
      <c r="Z1117" s="482"/>
      <c r="AA1117" s="319"/>
      <c r="AB1117" s="220"/>
      <c r="AC1117" s="318"/>
      <c r="AD1117" s="319"/>
      <c r="AE1117" s="220"/>
      <c r="AF1117" s="320"/>
      <c r="AG1117" s="205"/>
      <c r="AH1117" s="205"/>
      <c r="AI1117" s="205"/>
      <c r="AJ1117" s="205"/>
      <c r="AK1117" s="205"/>
      <c r="AL1117" s="205"/>
      <c r="AM1117" s="205"/>
      <c r="AN1117" s="205"/>
      <c r="AO1117" s="205"/>
      <c r="AP1117" s="205"/>
      <c r="AQ1117" s="205"/>
      <c r="AR1117" s="205"/>
      <c r="AS1117" s="205"/>
      <c r="AT1117" s="205"/>
      <c r="AU1117" s="205"/>
      <c r="AV1117" s="205"/>
      <c r="AW1117" s="205"/>
      <c r="AX1117" s="205"/>
      <c r="AY1117" s="205"/>
      <c r="AZ1117" s="205"/>
      <c r="BA1117" s="205"/>
      <c r="BB1117" s="205"/>
      <c r="BC1117" s="205"/>
      <c r="BD1117" s="205"/>
      <c r="BE1117" s="205"/>
      <c r="BF1117" s="205"/>
      <c r="BG1117" s="205"/>
      <c r="BH1117" s="205"/>
      <c r="BI1117" s="319"/>
    </row>
    <row r="1118" spans="3:61" ht="15" customHeight="1">
      <c r="C1118" s="327"/>
      <c r="D1118" s="328"/>
      <c r="E1118" s="213"/>
      <c r="F1118" s="213"/>
      <c r="G1118" s="213"/>
      <c r="H1118" s="213"/>
      <c r="I1118" s="213"/>
      <c r="K1118" s="56"/>
      <c r="L1118" s="312"/>
      <c r="M1118" s="312"/>
      <c r="N1118" s="312"/>
      <c r="O1118" s="312"/>
      <c r="P1118" s="322" t="str">
        <f t="shared" si="53"/>
        <v/>
      </c>
      <c r="Q1118" s="208" t="str">
        <f t="shared" si="51"/>
        <v/>
      </c>
      <c r="R1118" s="175"/>
      <c r="S1118" s="323" t="str">
        <f t="shared" si="52"/>
        <v/>
      </c>
      <c r="U1118" s="322"/>
      <c r="V1118" s="791"/>
      <c r="W1118" s="792"/>
      <c r="X1118" s="480"/>
      <c r="Y1118" s="480"/>
      <c r="Z1118" s="480"/>
      <c r="AA1118" s="323"/>
      <c r="AB1118" s="220"/>
      <c r="AC1118" s="322"/>
      <c r="AD1118" s="323"/>
      <c r="AE1118" s="220"/>
      <c r="AF1118" s="324"/>
      <c r="AG1118" s="208"/>
      <c r="AH1118" s="208"/>
      <c r="AI1118" s="208"/>
      <c r="AJ1118" s="208"/>
      <c r="AK1118" s="208"/>
      <c r="AL1118" s="208"/>
      <c r="AM1118" s="208"/>
      <c r="AN1118" s="208"/>
      <c r="AO1118" s="208"/>
      <c r="AP1118" s="208"/>
      <c r="AQ1118" s="208"/>
      <c r="AR1118" s="208"/>
      <c r="AS1118" s="208"/>
      <c r="AT1118" s="208"/>
      <c r="AU1118" s="208"/>
      <c r="AV1118" s="208"/>
      <c r="AW1118" s="208"/>
      <c r="AX1118" s="208"/>
      <c r="AY1118" s="208"/>
      <c r="AZ1118" s="208"/>
      <c r="BA1118" s="208"/>
      <c r="BB1118" s="208"/>
      <c r="BC1118" s="208"/>
      <c r="BD1118" s="208"/>
      <c r="BE1118" s="208"/>
      <c r="BF1118" s="208"/>
      <c r="BG1118" s="208"/>
      <c r="BH1118" s="208"/>
      <c r="BI1118" s="323"/>
    </row>
    <row r="1119" spans="3:61" ht="15" customHeight="1">
      <c r="C1119" s="327"/>
      <c r="D1119" s="328"/>
      <c r="E1119" s="213"/>
      <c r="F1119" s="213"/>
      <c r="G1119" s="213"/>
      <c r="H1119" s="213"/>
      <c r="I1119" s="213"/>
      <c r="K1119" s="56"/>
      <c r="L1119" s="312"/>
      <c r="M1119" s="312"/>
      <c r="N1119" s="312"/>
      <c r="O1119" s="312"/>
      <c r="P1119" s="318" t="str">
        <f t="shared" si="53"/>
        <v/>
      </c>
      <c r="Q1119" s="205" t="str">
        <f t="shared" si="51"/>
        <v/>
      </c>
      <c r="R1119" s="176"/>
      <c r="S1119" s="319" t="str">
        <f t="shared" si="52"/>
        <v/>
      </c>
      <c r="U1119" s="318"/>
      <c r="V1119" s="794"/>
      <c r="W1119" s="795"/>
      <c r="X1119" s="482"/>
      <c r="Y1119" s="482"/>
      <c r="Z1119" s="482"/>
      <c r="AA1119" s="319"/>
      <c r="AB1119" s="220"/>
      <c r="AC1119" s="318"/>
      <c r="AD1119" s="319"/>
      <c r="AE1119" s="220"/>
      <c r="AF1119" s="320"/>
      <c r="AG1119" s="205"/>
      <c r="AH1119" s="205"/>
      <c r="AI1119" s="205"/>
      <c r="AJ1119" s="205"/>
      <c r="AK1119" s="205"/>
      <c r="AL1119" s="205"/>
      <c r="AM1119" s="205"/>
      <c r="AN1119" s="205"/>
      <c r="AO1119" s="205"/>
      <c r="AP1119" s="205"/>
      <c r="AQ1119" s="205"/>
      <c r="AR1119" s="205"/>
      <c r="AS1119" s="205"/>
      <c r="AT1119" s="205"/>
      <c r="AU1119" s="205"/>
      <c r="AV1119" s="205"/>
      <c r="AW1119" s="205"/>
      <c r="AX1119" s="205"/>
      <c r="AY1119" s="205"/>
      <c r="AZ1119" s="205"/>
      <c r="BA1119" s="205"/>
      <c r="BB1119" s="205"/>
      <c r="BC1119" s="205"/>
      <c r="BD1119" s="205"/>
      <c r="BE1119" s="205"/>
      <c r="BF1119" s="205"/>
      <c r="BG1119" s="205"/>
      <c r="BH1119" s="205"/>
      <c r="BI1119" s="319"/>
    </row>
    <row r="1120" spans="3:61" ht="15" customHeight="1">
      <c r="C1120" s="327"/>
      <c r="D1120" s="328"/>
      <c r="E1120" s="213"/>
      <c r="F1120" s="213"/>
      <c r="G1120" s="213"/>
      <c r="H1120" s="213"/>
      <c r="I1120" s="213"/>
      <c r="K1120" s="56"/>
      <c r="L1120" s="312"/>
      <c r="M1120" s="312"/>
      <c r="N1120" s="312"/>
      <c r="O1120" s="312"/>
      <c r="P1120" s="322" t="str">
        <f t="shared" si="53"/>
        <v/>
      </c>
      <c r="Q1120" s="208" t="str">
        <f t="shared" si="51"/>
        <v/>
      </c>
      <c r="R1120" s="175"/>
      <c r="S1120" s="323" t="str">
        <f t="shared" si="52"/>
        <v/>
      </c>
      <c r="U1120" s="322"/>
      <c r="V1120" s="791"/>
      <c r="W1120" s="792"/>
      <c r="X1120" s="480"/>
      <c r="Y1120" s="480"/>
      <c r="Z1120" s="480"/>
      <c r="AA1120" s="323"/>
      <c r="AB1120" s="220"/>
      <c r="AC1120" s="322"/>
      <c r="AD1120" s="323"/>
      <c r="AE1120" s="220"/>
      <c r="AF1120" s="324"/>
      <c r="AG1120" s="208"/>
      <c r="AH1120" s="208"/>
      <c r="AI1120" s="208"/>
      <c r="AJ1120" s="208"/>
      <c r="AK1120" s="208"/>
      <c r="AL1120" s="208"/>
      <c r="AM1120" s="208"/>
      <c r="AN1120" s="208"/>
      <c r="AO1120" s="208"/>
      <c r="AP1120" s="208"/>
      <c r="AQ1120" s="208"/>
      <c r="AR1120" s="208"/>
      <c r="AS1120" s="208"/>
      <c r="AT1120" s="208"/>
      <c r="AU1120" s="208"/>
      <c r="AV1120" s="208"/>
      <c r="AW1120" s="208"/>
      <c r="AX1120" s="208"/>
      <c r="AY1120" s="208"/>
      <c r="AZ1120" s="208"/>
      <c r="BA1120" s="208"/>
      <c r="BB1120" s="208"/>
      <c r="BC1120" s="208"/>
      <c r="BD1120" s="208"/>
      <c r="BE1120" s="208"/>
      <c r="BF1120" s="208"/>
      <c r="BG1120" s="208"/>
      <c r="BH1120" s="208"/>
      <c r="BI1120" s="323"/>
    </row>
    <row r="1121" spans="3:61" ht="15" customHeight="1">
      <c r="C1121" s="327"/>
      <c r="D1121" s="328"/>
      <c r="E1121" s="213"/>
      <c r="F1121" s="213"/>
      <c r="G1121" s="213"/>
      <c r="H1121" s="213"/>
      <c r="I1121" s="213"/>
      <c r="K1121" s="56"/>
      <c r="L1121" s="312"/>
      <c r="M1121" s="312"/>
      <c r="N1121" s="312"/>
      <c r="O1121" s="312"/>
      <c r="P1121" s="318" t="str">
        <f t="shared" si="53"/>
        <v/>
      </c>
      <c r="Q1121" s="205" t="str">
        <f t="shared" si="51"/>
        <v/>
      </c>
      <c r="R1121" s="176"/>
      <c r="S1121" s="319" t="str">
        <f t="shared" si="52"/>
        <v/>
      </c>
      <c r="U1121" s="318"/>
      <c r="V1121" s="794"/>
      <c r="W1121" s="795"/>
      <c r="X1121" s="482"/>
      <c r="Y1121" s="482"/>
      <c r="Z1121" s="482"/>
      <c r="AA1121" s="319"/>
      <c r="AB1121" s="220"/>
      <c r="AC1121" s="318"/>
      <c r="AD1121" s="319"/>
      <c r="AE1121" s="220"/>
      <c r="AF1121" s="320"/>
      <c r="AG1121" s="205"/>
      <c r="AH1121" s="205"/>
      <c r="AI1121" s="205"/>
      <c r="AJ1121" s="205"/>
      <c r="AK1121" s="205"/>
      <c r="AL1121" s="205"/>
      <c r="AM1121" s="205"/>
      <c r="AN1121" s="205"/>
      <c r="AO1121" s="205"/>
      <c r="AP1121" s="205"/>
      <c r="AQ1121" s="205"/>
      <c r="AR1121" s="205"/>
      <c r="AS1121" s="205"/>
      <c r="AT1121" s="205"/>
      <c r="AU1121" s="205"/>
      <c r="AV1121" s="205"/>
      <c r="AW1121" s="205"/>
      <c r="AX1121" s="205"/>
      <c r="AY1121" s="205"/>
      <c r="AZ1121" s="205"/>
      <c r="BA1121" s="205"/>
      <c r="BB1121" s="205"/>
      <c r="BC1121" s="205"/>
      <c r="BD1121" s="205"/>
      <c r="BE1121" s="205"/>
      <c r="BF1121" s="205"/>
      <c r="BG1121" s="205"/>
      <c r="BH1121" s="205"/>
      <c r="BI1121" s="319"/>
    </row>
    <row r="1122" spans="3:61" ht="15" customHeight="1">
      <c r="C1122" s="327"/>
      <c r="D1122" s="328"/>
      <c r="E1122" s="213"/>
      <c r="F1122" s="213"/>
      <c r="G1122" s="213"/>
      <c r="H1122" s="213"/>
      <c r="I1122" s="213"/>
      <c r="K1122" s="56"/>
      <c r="L1122" s="312"/>
      <c r="M1122" s="312"/>
      <c r="N1122" s="312"/>
      <c r="O1122" s="312"/>
      <c r="P1122" s="322" t="str">
        <f t="shared" si="53"/>
        <v/>
      </c>
      <c r="Q1122" s="208" t="str">
        <f t="shared" si="51"/>
        <v/>
      </c>
      <c r="R1122" s="175"/>
      <c r="S1122" s="323" t="str">
        <f t="shared" si="52"/>
        <v/>
      </c>
      <c r="U1122" s="322"/>
      <c r="V1122" s="791"/>
      <c r="W1122" s="792"/>
      <c r="X1122" s="480"/>
      <c r="Y1122" s="480"/>
      <c r="Z1122" s="480"/>
      <c r="AA1122" s="323"/>
      <c r="AB1122" s="220"/>
      <c r="AC1122" s="322"/>
      <c r="AD1122" s="323"/>
      <c r="AE1122" s="220"/>
      <c r="AF1122" s="324"/>
      <c r="AG1122" s="208"/>
      <c r="AH1122" s="208"/>
      <c r="AI1122" s="208"/>
      <c r="AJ1122" s="208"/>
      <c r="AK1122" s="208"/>
      <c r="AL1122" s="208"/>
      <c r="AM1122" s="208"/>
      <c r="AN1122" s="208"/>
      <c r="AO1122" s="208"/>
      <c r="AP1122" s="208"/>
      <c r="AQ1122" s="208"/>
      <c r="AR1122" s="208"/>
      <c r="AS1122" s="208"/>
      <c r="AT1122" s="208"/>
      <c r="AU1122" s="208"/>
      <c r="AV1122" s="208"/>
      <c r="AW1122" s="208"/>
      <c r="AX1122" s="208"/>
      <c r="AY1122" s="208"/>
      <c r="AZ1122" s="208"/>
      <c r="BA1122" s="208"/>
      <c r="BB1122" s="208"/>
      <c r="BC1122" s="208"/>
      <c r="BD1122" s="208"/>
      <c r="BE1122" s="208"/>
      <c r="BF1122" s="208"/>
      <c r="BG1122" s="208"/>
      <c r="BH1122" s="208"/>
      <c r="BI1122" s="323"/>
    </row>
    <row r="1123" spans="3:61" ht="15" customHeight="1">
      <c r="C1123" s="327"/>
      <c r="D1123" s="328"/>
      <c r="E1123" s="213"/>
      <c r="F1123" s="213"/>
      <c r="G1123" s="213"/>
      <c r="H1123" s="213"/>
      <c r="I1123" s="213"/>
      <c r="K1123" s="56"/>
      <c r="L1123" s="312"/>
      <c r="M1123" s="312"/>
      <c r="N1123" s="312"/>
      <c r="O1123" s="312"/>
      <c r="P1123" s="318" t="str">
        <f t="shared" si="53"/>
        <v/>
      </c>
      <c r="Q1123" s="205" t="str">
        <f t="shared" si="51"/>
        <v/>
      </c>
      <c r="R1123" s="176"/>
      <c r="S1123" s="319" t="str">
        <f t="shared" si="52"/>
        <v/>
      </c>
      <c r="U1123" s="318"/>
      <c r="V1123" s="794"/>
      <c r="W1123" s="795"/>
      <c r="X1123" s="482"/>
      <c r="Y1123" s="482"/>
      <c r="Z1123" s="482"/>
      <c r="AA1123" s="319"/>
      <c r="AB1123" s="220"/>
      <c r="AC1123" s="318"/>
      <c r="AD1123" s="319"/>
      <c r="AE1123" s="220"/>
      <c r="AF1123" s="320"/>
      <c r="AG1123" s="205"/>
      <c r="AH1123" s="205"/>
      <c r="AI1123" s="205"/>
      <c r="AJ1123" s="205"/>
      <c r="AK1123" s="205"/>
      <c r="AL1123" s="205"/>
      <c r="AM1123" s="205"/>
      <c r="AN1123" s="205"/>
      <c r="AO1123" s="205"/>
      <c r="AP1123" s="205"/>
      <c r="AQ1123" s="205"/>
      <c r="AR1123" s="205"/>
      <c r="AS1123" s="205"/>
      <c r="AT1123" s="205"/>
      <c r="AU1123" s="205"/>
      <c r="AV1123" s="205"/>
      <c r="AW1123" s="205"/>
      <c r="AX1123" s="205"/>
      <c r="AY1123" s="205"/>
      <c r="AZ1123" s="205"/>
      <c r="BA1123" s="205"/>
      <c r="BB1123" s="205"/>
      <c r="BC1123" s="205"/>
      <c r="BD1123" s="205"/>
      <c r="BE1123" s="205"/>
      <c r="BF1123" s="205"/>
      <c r="BG1123" s="205"/>
      <c r="BH1123" s="205"/>
      <c r="BI1123" s="319"/>
    </row>
    <row r="1124" spans="3:61" ht="15" customHeight="1">
      <c r="C1124" s="327"/>
      <c r="D1124" s="328"/>
      <c r="E1124" s="213"/>
      <c r="F1124" s="213"/>
      <c r="G1124" s="213"/>
      <c r="H1124" s="213"/>
      <c r="I1124" s="213"/>
      <c r="K1124" s="56"/>
      <c r="L1124" s="312"/>
      <c r="M1124" s="312"/>
      <c r="N1124" s="312"/>
      <c r="O1124" s="312"/>
      <c r="P1124" s="322" t="str">
        <f t="shared" si="53"/>
        <v/>
      </c>
      <c r="Q1124" s="208" t="str">
        <f t="shared" si="51"/>
        <v/>
      </c>
      <c r="R1124" s="175"/>
      <c r="S1124" s="323" t="str">
        <f t="shared" si="52"/>
        <v/>
      </c>
      <c r="U1124" s="322"/>
      <c r="V1124" s="791"/>
      <c r="W1124" s="792"/>
      <c r="X1124" s="480"/>
      <c r="Y1124" s="480"/>
      <c r="Z1124" s="480"/>
      <c r="AA1124" s="323"/>
      <c r="AB1124" s="220"/>
      <c r="AC1124" s="322"/>
      <c r="AD1124" s="323"/>
      <c r="AE1124" s="220"/>
      <c r="AF1124" s="324"/>
      <c r="AG1124" s="208"/>
      <c r="AH1124" s="208"/>
      <c r="AI1124" s="208"/>
      <c r="AJ1124" s="208"/>
      <c r="AK1124" s="208"/>
      <c r="AL1124" s="208"/>
      <c r="AM1124" s="208"/>
      <c r="AN1124" s="208"/>
      <c r="AO1124" s="208"/>
      <c r="AP1124" s="208"/>
      <c r="AQ1124" s="208"/>
      <c r="AR1124" s="208"/>
      <c r="AS1124" s="208"/>
      <c r="AT1124" s="208"/>
      <c r="AU1124" s="208"/>
      <c r="AV1124" s="208"/>
      <c r="AW1124" s="208"/>
      <c r="AX1124" s="208"/>
      <c r="AY1124" s="208"/>
      <c r="AZ1124" s="208"/>
      <c r="BA1124" s="208"/>
      <c r="BB1124" s="208"/>
      <c r="BC1124" s="208"/>
      <c r="BD1124" s="208"/>
      <c r="BE1124" s="208"/>
      <c r="BF1124" s="208"/>
      <c r="BG1124" s="208"/>
      <c r="BH1124" s="208"/>
      <c r="BI1124" s="323"/>
    </row>
    <row r="1125" spans="3:61" ht="15" customHeight="1">
      <c r="C1125" s="327"/>
      <c r="D1125" s="328"/>
      <c r="E1125" s="213"/>
      <c r="F1125" s="213"/>
      <c r="G1125" s="213"/>
      <c r="H1125" s="213"/>
      <c r="I1125" s="213"/>
      <c r="K1125" s="56"/>
      <c r="L1125" s="312"/>
      <c r="M1125" s="312"/>
      <c r="N1125" s="312"/>
      <c r="O1125" s="312"/>
      <c r="P1125" s="318" t="str">
        <f t="shared" si="53"/>
        <v/>
      </c>
      <c r="Q1125" s="205" t="str">
        <f t="shared" si="51"/>
        <v/>
      </c>
      <c r="R1125" s="176"/>
      <c r="S1125" s="319" t="str">
        <f t="shared" si="52"/>
        <v/>
      </c>
      <c r="U1125" s="318"/>
      <c r="V1125" s="794"/>
      <c r="W1125" s="795"/>
      <c r="X1125" s="482"/>
      <c r="Y1125" s="482"/>
      <c r="Z1125" s="482"/>
      <c r="AA1125" s="319"/>
      <c r="AB1125" s="220"/>
      <c r="AC1125" s="318"/>
      <c r="AD1125" s="319"/>
      <c r="AE1125" s="220"/>
      <c r="AF1125" s="320"/>
      <c r="AG1125" s="205"/>
      <c r="AH1125" s="205"/>
      <c r="AI1125" s="205"/>
      <c r="AJ1125" s="205"/>
      <c r="AK1125" s="205"/>
      <c r="AL1125" s="205"/>
      <c r="AM1125" s="205"/>
      <c r="AN1125" s="205"/>
      <c r="AO1125" s="205"/>
      <c r="AP1125" s="205"/>
      <c r="AQ1125" s="205"/>
      <c r="AR1125" s="205"/>
      <c r="AS1125" s="205"/>
      <c r="AT1125" s="205"/>
      <c r="AU1125" s="205"/>
      <c r="AV1125" s="205"/>
      <c r="AW1125" s="205"/>
      <c r="AX1125" s="205"/>
      <c r="AY1125" s="205"/>
      <c r="AZ1125" s="205"/>
      <c r="BA1125" s="205"/>
      <c r="BB1125" s="205"/>
      <c r="BC1125" s="205"/>
      <c r="BD1125" s="205"/>
      <c r="BE1125" s="205"/>
      <c r="BF1125" s="205"/>
      <c r="BG1125" s="205"/>
      <c r="BH1125" s="205"/>
      <c r="BI1125" s="319"/>
    </row>
    <row r="1126" spans="3:61" ht="15" customHeight="1">
      <c r="C1126" s="327"/>
      <c r="D1126" s="328"/>
      <c r="E1126" s="213"/>
      <c r="F1126" s="213"/>
      <c r="G1126" s="213"/>
      <c r="H1126" s="213"/>
      <c r="I1126" s="213"/>
      <c r="K1126" s="56"/>
      <c r="L1126" s="312"/>
      <c r="M1126" s="312"/>
      <c r="N1126" s="312"/>
      <c r="O1126" s="312"/>
      <c r="P1126" s="322" t="str">
        <f t="shared" si="53"/>
        <v/>
      </c>
      <c r="Q1126" s="208" t="str">
        <f t="shared" si="51"/>
        <v/>
      </c>
      <c r="R1126" s="175"/>
      <c r="S1126" s="323" t="str">
        <f t="shared" si="52"/>
        <v/>
      </c>
      <c r="U1126" s="322"/>
      <c r="V1126" s="791"/>
      <c r="W1126" s="792"/>
      <c r="X1126" s="480"/>
      <c r="Y1126" s="480"/>
      <c r="Z1126" s="480"/>
      <c r="AA1126" s="323"/>
      <c r="AB1126" s="220"/>
      <c r="AC1126" s="322"/>
      <c r="AD1126" s="323"/>
      <c r="AE1126" s="220"/>
      <c r="AF1126" s="324"/>
      <c r="AG1126" s="208"/>
      <c r="AH1126" s="208"/>
      <c r="AI1126" s="208"/>
      <c r="AJ1126" s="208"/>
      <c r="AK1126" s="208"/>
      <c r="AL1126" s="208"/>
      <c r="AM1126" s="208"/>
      <c r="AN1126" s="208"/>
      <c r="AO1126" s="208"/>
      <c r="AP1126" s="208"/>
      <c r="AQ1126" s="208"/>
      <c r="AR1126" s="208"/>
      <c r="AS1126" s="208"/>
      <c r="AT1126" s="208"/>
      <c r="AU1126" s="208"/>
      <c r="AV1126" s="208"/>
      <c r="AW1126" s="208"/>
      <c r="AX1126" s="208"/>
      <c r="AY1126" s="208"/>
      <c r="AZ1126" s="208"/>
      <c r="BA1126" s="208"/>
      <c r="BB1126" s="208"/>
      <c r="BC1126" s="208"/>
      <c r="BD1126" s="208"/>
      <c r="BE1126" s="208"/>
      <c r="BF1126" s="208"/>
      <c r="BG1126" s="208"/>
      <c r="BH1126" s="208"/>
      <c r="BI1126" s="323"/>
    </row>
    <row r="1127" spans="3:61" ht="15" customHeight="1">
      <c r="C1127" s="327"/>
      <c r="D1127" s="328"/>
      <c r="E1127" s="213"/>
      <c r="F1127" s="213"/>
      <c r="G1127" s="213"/>
      <c r="H1127" s="213"/>
      <c r="I1127" s="213"/>
      <c r="K1127" s="56"/>
      <c r="L1127" s="312"/>
      <c r="M1127" s="312"/>
      <c r="N1127" s="312"/>
      <c r="O1127" s="312"/>
      <c r="P1127" s="318" t="str">
        <f t="shared" si="53"/>
        <v/>
      </c>
      <c r="Q1127" s="205" t="str">
        <f t="shared" si="51"/>
        <v/>
      </c>
      <c r="R1127" s="176"/>
      <c r="S1127" s="319" t="str">
        <f t="shared" si="52"/>
        <v/>
      </c>
      <c r="U1127" s="318"/>
      <c r="V1127" s="794"/>
      <c r="W1127" s="795"/>
      <c r="X1127" s="482"/>
      <c r="Y1127" s="482"/>
      <c r="Z1127" s="482"/>
      <c r="AA1127" s="319"/>
      <c r="AB1127" s="220"/>
      <c r="AC1127" s="318"/>
      <c r="AD1127" s="319"/>
      <c r="AE1127" s="220"/>
      <c r="AF1127" s="320"/>
      <c r="AG1127" s="205"/>
      <c r="AH1127" s="205"/>
      <c r="AI1127" s="205"/>
      <c r="AJ1127" s="205"/>
      <c r="AK1127" s="205"/>
      <c r="AL1127" s="205"/>
      <c r="AM1127" s="205"/>
      <c r="AN1127" s="205"/>
      <c r="AO1127" s="205"/>
      <c r="AP1127" s="205"/>
      <c r="AQ1127" s="205"/>
      <c r="AR1127" s="205"/>
      <c r="AS1127" s="205"/>
      <c r="AT1127" s="205"/>
      <c r="AU1127" s="205"/>
      <c r="AV1127" s="205"/>
      <c r="AW1127" s="205"/>
      <c r="AX1127" s="205"/>
      <c r="AY1127" s="205"/>
      <c r="AZ1127" s="205"/>
      <c r="BA1127" s="205"/>
      <c r="BB1127" s="205"/>
      <c r="BC1127" s="205"/>
      <c r="BD1127" s="205"/>
      <c r="BE1127" s="205"/>
      <c r="BF1127" s="205"/>
      <c r="BG1127" s="205"/>
      <c r="BH1127" s="205"/>
      <c r="BI1127" s="319"/>
    </row>
    <row r="1128" spans="3:61" ht="15" customHeight="1">
      <c r="C1128" s="327"/>
      <c r="D1128" s="328"/>
      <c r="E1128" s="213"/>
      <c r="F1128" s="213"/>
      <c r="G1128" s="213"/>
      <c r="H1128" s="213"/>
      <c r="I1128" s="213"/>
      <c r="K1128" s="56"/>
      <c r="L1128" s="312"/>
      <c r="M1128" s="312"/>
      <c r="N1128" s="312"/>
      <c r="O1128" s="312"/>
      <c r="P1128" s="322" t="str">
        <f t="shared" si="53"/>
        <v/>
      </c>
      <c r="Q1128" s="208" t="str">
        <f t="shared" si="51"/>
        <v/>
      </c>
      <c r="R1128" s="175"/>
      <c r="S1128" s="323" t="str">
        <f t="shared" si="52"/>
        <v/>
      </c>
      <c r="U1128" s="322"/>
      <c r="V1128" s="791"/>
      <c r="W1128" s="792"/>
      <c r="X1128" s="480"/>
      <c r="Y1128" s="480"/>
      <c r="Z1128" s="480"/>
      <c r="AA1128" s="323"/>
      <c r="AB1128" s="220"/>
      <c r="AC1128" s="322"/>
      <c r="AD1128" s="323"/>
      <c r="AE1128" s="220"/>
      <c r="AF1128" s="324"/>
      <c r="AG1128" s="208"/>
      <c r="AH1128" s="208"/>
      <c r="AI1128" s="208"/>
      <c r="AJ1128" s="208"/>
      <c r="AK1128" s="208"/>
      <c r="AL1128" s="208"/>
      <c r="AM1128" s="208"/>
      <c r="AN1128" s="208"/>
      <c r="AO1128" s="208"/>
      <c r="AP1128" s="208"/>
      <c r="AQ1128" s="208"/>
      <c r="AR1128" s="208"/>
      <c r="AS1128" s="208"/>
      <c r="AT1128" s="208"/>
      <c r="AU1128" s="208"/>
      <c r="AV1128" s="208"/>
      <c r="AW1128" s="208"/>
      <c r="AX1128" s="208"/>
      <c r="AY1128" s="208"/>
      <c r="AZ1128" s="208"/>
      <c r="BA1128" s="208"/>
      <c r="BB1128" s="208"/>
      <c r="BC1128" s="208"/>
      <c r="BD1128" s="208"/>
      <c r="BE1128" s="208"/>
      <c r="BF1128" s="208"/>
      <c r="BG1128" s="208"/>
      <c r="BH1128" s="208"/>
      <c r="BI1128" s="323"/>
    </row>
    <row r="1129" spans="3:61" ht="15" customHeight="1">
      <c r="C1129" s="327"/>
      <c r="D1129" s="328"/>
      <c r="E1129" s="213"/>
      <c r="F1129" s="213"/>
      <c r="G1129" s="213"/>
      <c r="H1129" s="213"/>
      <c r="I1129" s="213"/>
      <c r="K1129" s="56"/>
      <c r="L1129" s="312"/>
      <c r="M1129" s="312"/>
      <c r="N1129" s="312"/>
      <c r="O1129" s="312"/>
      <c r="P1129" s="318" t="str">
        <f t="shared" si="53"/>
        <v/>
      </c>
      <c r="Q1129" s="205" t="str">
        <f t="shared" si="51"/>
        <v/>
      </c>
      <c r="R1129" s="176"/>
      <c r="S1129" s="319" t="str">
        <f t="shared" si="52"/>
        <v/>
      </c>
      <c r="U1129" s="318"/>
      <c r="V1129" s="794"/>
      <c r="W1129" s="795"/>
      <c r="X1129" s="482"/>
      <c r="Y1129" s="482"/>
      <c r="Z1129" s="482"/>
      <c r="AA1129" s="319"/>
      <c r="AB1129" s="220"/>
      <c r="AC1129" s="318"/>
      <c r="AD1129" s="319"/>
      <c r="AE1129" s="220"/>
      <c r="AF1129" s="320"/>
      <c r="AG1129" s="205"/>
      <c r="AH1129" s="205"/>
      <c r="AI1129" s="205"/>
      <c r="AJ1129" s="205"/>
      <c r="AK1129" s="205"/>
      <c r="AL1129" s="205"/>
      <c r="AM1129" s="205"/>
      <c r="AN1129" s="205"/>
      <c r="AO1129" s="205"/>
      <c r="AP1129" s="205"/>
      <c r="AQ1129" s="205"/>
      <c r="AR1129" s="205"/>
      <c r="AS1129" s="205"/>
      <c r="AT1129" s="205"/>
      <c r="AU1129" s="205"/>
      <c r="AV1129" s="205"/>
      <c r="AW1129" s="205"/>
      <c r="AX1129" s="205"/>
      <c r="AY1129" s="205"/>
      <c r="AZ1129" s="205"/>
      <c r="BA1129" s="205"/>
      <c r="BB1129" s="205"/>
      <c r="BC1129" s="205"/>
      <c r="BD1129" s="205"/>
      <c r="BE1129" s="205"/>
      <c r="BF1129" s="205"/>
      <c r="BG1129" s="205"/>
      <c r="BH1129" s="205"/>
      <c r="BI1129" s="319"/>
    </row>
    <row r="1130" spans="3:61" ht="15" customHeight="1">
      <c r="C1130" s="327"/>
      <c r="D1130" s="328"/>
      <c r="E1130" s="213"/>
      <c r="F1130" s="213"/>
      <c r="G1130" s="213"/>
      <c r="H1130" s="213"/>
      <c r="I1130" s="213"/>
      <c r="K1130" s="56"/>
      <c r="L1130" s="312"/>
      <c r="M1130" s="312"/>
      <c r="N1130" s="312"/>
      <c r="O1130" s="312"/>
      <c r="P1130" s="322" t="str">
        <f t="shared" si="53"/>
        <v/>
      </c>
      <c r="Q1130" s="208" t="str">
        <f t="shared" si="51"/>
        <v/>
      </c>
      <c r="R1130" s="175"/>
      <c r="S1130" s="323" t="str">
        <f t="shared" si="52"/>
        <v/>
      </c>
      <c r="U1130" s="322"/>
      <c r="V1130" s="791"/>
      <c r="W1130" s="792"/>
      <c r="X1130" s="480"/>
      <c r="Y1130" s="480"/>
      <c r="Z1130" s="480"/>
      <c r="AA1130" s="323"/>
      <c r="AB1130" s="220"/>
      <c r="AC1130" s="322"/>
      <c r="AD1130" s="323"/>
      <c r="AE1130" s="220"/>
      <c r="AF1130" s="324"/>
      <c r="AG1130" s="208"/>
      <c r="AH1130" s="208"/>
      <c r="AI1130" s="208"/>
      <c r="AJ1130" s="208"/>
      <c r="AK1130" s="208"/>
      <c r="AL1130" s="208"/>
      <c r="AM1130" s="208"/>
      <c r="AN1130" s="208"/>
      <c r="AO1130" s="208"/>
      <c r="AP1130" s="208"/>
      <c r="AQ1130" s="208"/>
      <c r="AR1130" s="208"/>
      <c r="AS1130" s="208"/>
      <c r="AT1130" s="208"/>
      <c r="AU1130" s="208"/>
      <c r="AV1130" s="208"/>
      <c r="AW1130" s="208"/>
      <c r="AX1130" s="208"/>
      <c r="AY1130" s="208"/>
      <c r="AZ1130" s="208"/>
      <c r="BA1130" s="208"/>
      <c r="BB1130" s="208"/>
      <c r="BC1130" s="208"/>
      <c r="BD1130" s="208"/>
      <c r="BE1130" s="208"/>
      <c r="BF1130" s="208"/>
      <c r="BG1130" s="208"/>
      <c r="BH1130" s="208"/>
      <c r="BI1130" s="323"/>
    </row>
    <row r="1131" spans="3:61" ht="15" customHeight="1">
      <c r="C1131" s="327"/>
      <c r="D1131" s="328"/>
      <c r="E1131" s="213"/>
      <c r="F1131" s="213"/>
      <c r="G1131" s="213"/>
      <c r="H1131" s="213"/>
      <c r="I1131" s="213"/>
      <c r="K1131" s="56"/>
      <c r="L1131" s="312"/>
      <c r="M1131" s="312"/>
      <c r="N1131" s="312"/>
      <c r="O1131" s="312"/>
      <c r="P1131" s="318" t="str">
        <f t="shared" si="53"/>
        <v/>
      </c>
      <c r="Q1131" s="205" t="str">
        <f t="shared" si="51"/>
        <v/>
      </c>
      <c r="R1131" s="176"/>
      <c r="S1131" s="319" t="str">
        <f t="shared" si="52"/>
        <v/>
      </c>
      <c r="U1131" s="318"/>
      <c r="V1131" s="794"/>
      <c r="W1131" s="795"/>
      <c r="X1131" s="482"/>
      <c r="Y1131" s="482"/>
      <c r="Z1131" s="482"/>
      <c r="AA1131" s="319"/>
      <c r="AB1131" s="220"/>
      <c r="AC1131" s="318"/>
      <c r="AD1131" s="319"/>
      <c r="AE1131" s="220"/>
      <c r="AF1131" s="320"/>
      <c r="AG1131" s="205"/>
      <c r="AH1131" s="205"/>
      <c r="AI1131" s="205"/>
      <c r="AJ1131" s="205"/>
      <c r="AK1131" s="205"/>
      <c r="AL1131" s="205"/>
      <c r="AM1131" s="205"/>
      <c r="AN1131" s="205"/>
      <c r="AO1131" s="205"/>
      <c r="AP1131" s="205"/>
      <c r="AQ1131" s="205"/>
      <c r="AR1131" s="205"/>
      <c r="AS1131" s="205"/>
      <c r="AT1131" s="205"/>
      <c r="AU1131" s="205"/>
      <c r="AV1131" s="205"/>
      <c r="AW1131" s="205"/>
      <c r="AX1131" s="205"/>
      <c r="AY1131" s="205"/>
      <c r="AZ1131" s="205"/>
      <c r="BA1131" s="205"/>
      <c r="BB1131" s="205"/>
      <c r="BC1131" s="205"/>
      <c r="BD1131" s="205"/>
      <c r="BE1131" s="205"/>
      <c r="BF1131" s="205"/>
      <c r="BG1131" s="205"/>
      <c r="BH1131" s="205"/>
      <c r="BI1131" s="319"/>
    </row>
    <row r="1132" spans="3:61" ht="15" customHeight="1">
      <c r="C1132" s="327"/>
      <c r="D1132" s="328"/>
      <c r="E1132" s="213"/>
      <c r="F1132" s="213"/>
      <c r="G1132" s="213"/>
      <c r="H1132" s="213"/>
      <c r="I1132" s="213"/>
      <c r="K1132" s="56"/>
      <c r="L1132" s="312"/>
      <c r="M1132" s="312"/>
      <c r="N1132" s="312"/>
      <c r="O1132" s="312"/>
      <c r="P1132" s="322" t="str">
        <f t="shared" si="53"/>
        <v/>
      </c>
      <c r="Q1132" s="208" t="str">
        <f t="shared" si="51"/>
        <v/>
      </c>
      <c r="R1132" s="175"/>
      <c r="S1132" s="323" t="str">
        <f t="shared" si="52"/>
        <v/>
      </c>
      <c r="U1132" s="322"/>
      <c r="V1132" s="791"/>
      <c r="W1132" s="792"/>
      <c r="X1132" s="480"/>
      <c r="Y1132" s="480"/>
      <c r="Z1132" s="480"/>
      <c r="AA1132" s="323"/>
      <c r="AB1132" s="220"/>
      <c r="AC1132" s="322"/>
      <c r="AD1132" s="323"/>
      <c r="AE1132" s="220"/>
      <c r="AF1132" s="324"/>
      <c r="AG1132" s="208"/>
      <c r="AH1132" s="208"/>
      <c r="AI1132" s="208"/>
      <c r="AJ1132" s="208"/>
      <c r="AK1132" s="208"/>
      <c r="AL1132" s="208"/>
      <c r="AM1132" s="208"/>
      <c r="AN1132" s="208"/>
      <c r="AO1132" s="208"/>
      <c r="AP1132" s="208"/>
      <c r="AQ1132" s="208"/>
      <c r="AR1132" s="208"/>
      <c r="AS1132" s="208"/>
      <c r="AT1132" s="208"/>
      <c r="AU1132" s="208"/>
      <c r="AV1132" s="208"/>
      <c r="AW1132" s="208"/>
      <c r="AX1132" s="208"/>
      <c r="AY1132" s="208"/>
      <c r="AZ1132" s="208"/>
      <c r="BA1132" s="208"/>
      <c r="BB1132" s="208"/>
      <c r="BC1132" s="208"/>
      <c r="BD1132" s="208"/>
      <c r="BE1132" s="208"/>
      <c r="BF1132" s="208"/>
      <c r="BG1132" s="208"/>
      <c r="BH1132" s="208"/>
      <c r="BI1132" s="323"/>
    </row>
    <row r="1133" spans="3:61" ht="15" customHeight="1">
      <c r="C1133" s="327"/>
      <c r="D1133" s="328"/>
      <c r="E1133" s="213"/>
      <c r="F1133" s="213"/>
      <c r="G1133" s="213"/>
      <c r="H1133" s="213"/>
      <c r="I1133" s="213"/>
      <c r="K1133" s="56"/>
      <c r="L1133" s="312"/>
      <c r="M1133" s="312"/>
      <c r="N1133" s="312"/>
      <c r="O1133" s="312"/>
      <c r="P1133" s="318" t="str">
        <f t="shared" si="53"/>
        <v/>
      </c>
      <c r="Q1133" s="205" t="str">
        <f t="shared" si="51"/>
        <v/>
      </c>
      <c r="R1133" s="176"/>
      <c r="S1133" s="319" t="str">
        <f t="shared" si="52"/>
        <v/>
      </c>
      <c r="U1133" s="318"/>
      <c r="V1133" s="794"/>
      <c r="W1133" s="795"/>
      <c r="X1133" s="482"/>
      <c r="Y1133" s="482"/>
      <c r="Z1133" s="482"/>
      <c r="AA1133" s="319"/>
      <c r="AB1133" s="220"/>
      <c r="AC1133" s="318"/>
      <c r="AD1133" s="319"/>
      <c r="AE1133" s="220"/>
      <c r="AF1133" s="320"/>
      <c r="AG1133" s="205"/>
      <c r="AH1133" s="205"/>
      <c r="AI1133" s="205"/>
      <c r="AJ1133" s="205"/>
      <c r="AK1133" s="205"/>
      <c r="AL1133" s="205"/>
      <c r="AM1133" s="205"/>
      <c r="AN1133" s="205"/>
      <c r="AO1133" s="205"/>
      <c r="AP1133" s="205"/>
      <c r="AQ1133" s="205"/>
      <c r="AR1133" s="205"/>
      <c r="AS1133" s="205"/>
      <c r="AT1133" s="205"/>
      <c r="AU1133" s="205"/>
      <c r="AV1133" s="205"/>
      <c r="AW1133" s="205"/>
      <c r="AX1133" s="205"/>
      <c r="AY1133" s="205"/>
      <c r="AZ1133" s="205"/>
      <c r="BA1133" s="205"/>
      <c r="BB1133" s="205"/>
      <c r="BC1133" s="205"/>
      <c r="BD1133" s="205"/>
      <c r="BE1133" s="205"/>
      <c r="BF1133" s="205"/>
      <c r="BG1133" s="205"/>
      <c r="BH1133" s="205"/>
      <c r="BI1133" s="319"/>
    </row>
    <row r="1134" spans="3:61" ht="15" customHeight="1">
      <c r="C1134" s="327"/>
      <c r="D1134" s="328"/>
      <c r="E1134" s="213"/>
      <c r="F1134" s="213"/>
      <c r="G1134" s="213"/>
      <c r="H1134" s="213"/>
      <c r="I1134" s="213"/>
      <c r="K1134" s="56"/>
      <c r="L1134" s="312"/>
      <c r="M1134" s="312"/>
      <c r="N1134" s="312"/>
      <c r="O1134" s="312"/>
      <c r="P1134" s="322" t="str">
        <f t="shared" si="53"/>
        <v/>
      </c>
      <c r="Q1134" s="208" t="str">
        <f t="shared" si="51"/>
        <v/>
      </c>
      <c r="R1134" s="175"/>
      <c r="S1134" s="323" t="str">
        <f t="shared" si="52"/>
        <v/>
      </c>
      <c r="U1134" s="322"/>
      <c r="V1134" s="791"/>
      <c r="W1134" s="792"/>
      <c r="X1134" s="480"/>
      <c r="Y1134" s="480"/>
      <c r="Z1134" s="480"/>
      <c r="AA1134" s="323"/>
      <c r="AB1134" s="220"/>
      <c r="AC1134" s="322"/>
      <c r="AD1134" s="323"/>
      <c r="AE1134" s="220"/>
      <c r="AF1134" s="324"/>
      <c r="AG1134" s="208"/>
      <c r="AH1134" s="208"/>
      <c r="AI1134" s="208"/>
      <c r="AJ1134" s="208"/>
      <c r="AK1134" s="208"/>
      <c r="AL1134" s="208"/>
      <c r="AM1134" s="208"/>
      <c r="AN1134" s="208"/>
      <c r="AO1134" s="208"/>
      <c r="AP1134" s="208"/>
      <c r="AQ1134" s="208"/>
      <c r="AR1134" s="208"/>
      <c r="AS1134" s="208"/>
      <c r="AT1134" s="208"/>
      <c r="AU1134" s="208"/>
      <c r="AV1134" s="208"/>
      <c r="AW1134" s="208"/>
      <c r="AX1134" s="208"/>
      <c r="AY1134" s="208"/>
      <c r="AZ1134" s="208"/>
      <c r="BA1134" s="208"/>
      <c r="BB1134" s="208"/>
      <c r="BC1134" s="208"/>
      <c r="BD1134" s="208"/>
      <c r="BE1134" s="208"/>
      <c r="BF1134" s="208"/>
      <c r="BG1134" s="208"/>
      <c r="BH1134" s="208"/>
      <c r="BI1134" s="323"/>
    </row>
    <row r="1135" spans="3:61" ht="15" customHeight="1">
      <c r="C1135" s="327"/>
      <c r="D1135" s="328"/>
      <c r="E1135" s="213"/>
      <c r="F1135" s="213"/>
      <c r="G1135" s="213"/>
      <c r="H1135" s="213"/>
      <c r="I1135" s="213"/>
      <c r="K1135" s="56"/>
      <c r="L1135" s="312"/>
      <c r="M1135" s="312"/>
      <c r="N1135" s="312"/>
      <c r="O1135" s="312"/>
      <c r="P1135" s="318" t="str">
        <f t="shared" si="53"/>
        <v/>
      </c>
      <c r="Q1135" s="205" t="str">
        <f t="shared" si="51"/>
        <v/>
      </c>
      <c r="R1135" s="176"/>
      <c r="S1135" s="319" t="str">
        <f t="shared" si="52"/>
        <v/>
      </c>
      <c r="U1135" s="318"/>
      <c r="V1135" s="794"/>
      <c r="W1135" s="795"/>
      <c r="X1135" s="482"/>
      <c r="Y1135" s="482"/>
      <c r="Z1135" s="482"/>
      <c r="AA1135" s="319"/>
      <c r="AB1135" s="220"/>
      <c r="AC1135" s="318"/>
      <c r="AD1135" s="319"/>
      <c r="AE1135" s="220"/>
      <c r="AF1135" s="320"/>
      <c r="AG1135" s="205"/>
      <c r="AH1135" s="205"/>
      <c r="AI1135" s="205"/>
      <c r="AJ1135" s="205"/>
      <c r="AK1135" s="205"/>
      <c r="AL1135" s="205"/>
      <c r="AM1135" s="205"/>
      <c r="AN1135" s="205"/>
      <c r="AO1135" s="205"/>
      <c r="AP1135" s="205"/>
      <c r="AQ1135" s="205"/>
      <c r="AR1135" s="205"/>
      <c r="AS1135" s="205"/>
      <c r="AT1135" s="205"/>
      <c r="AU1135" s="205"/>
      <c r="AV1135" s="205"/>
      <c r="AW1135" s="205"/>
      <c r="AX1135" s="205"/>
      <c r="AY1135" s="205"/>
      <c r="AZ1135" s="205"/>
      <c r="BA1135" s="205"/>
      <c r="BB1135" s="205"/>
      <c r="BC1135" s="205"/>
      <c r="BD1135" s="205"/>
      <c r="BE1135" s="205"/>
      <c r="BF1135" s="205"/>
      <c r="BG1135" s="205"/>
      <c r="BH1135" s="205"/>
      <c r="BI1135" s="319"/>
    </row>
    <row r="1136" spans="3:61" ht="15" customHeight="1">
      <c r="C1136" s="327"/>
      <c r="D1136" s="328"/>
      <c r="E1136" s="213"/>
      <c r="F1136" s="213"/>
      <c r="G1136" s="213"/>
      <c r="H1136" s="213"/>
      <c r="I1136" s="213"/>
      <c r="K1136" s="56"/>
      <c r="L1136" s="312"/>
      <c r="M1136" s="312"/>
      <c r="N1136" s="312"/>
      <c r="O1136" s="312"/>
      <c r="P1136" s="322" t="str">
        <f t="shared" si="53"/>
        <v/>
      </c>
      <c r="Q1136" s="208" t="str">
        <f t="shared" si="51"/>
        <v/>
      </c>
      <c r="R1136" s="175"/>
      <c r="S1136" s="323" t="str">
        <f t="shared" si="52"/>
        <v/>
      </c>
      <c r="U1136" s="322"/>
      <c r="V1136" s="791"/>
      <c r="W1136" s="792"/>
      <c r="X1136" s="480"/>
      <c r="Y1136" s="480"/>
      <c r="Z1136" s="480"/>
      <c r="AA1136" s="323"/>
      <c r="AB1136" s="220"/>
      <c r="AC1136" s="322"/>
      <c r="AD1136" s="323"/>
      <c r="AE1136" s="220"/>
      <c r="AF1136" s="324"/>
      <c r="AG1136" s="208"/>
      <c r="AH1136" s="208"/>
      <c r="AI1136" s="208"/>
      <c r="AJ1136" s="208"/>
      <c r="AK1136" s="208"/>
      <c r="AL1136" s="208"/>
      <c r="AM1136" s="208"/>
      <c r="AN1136" s="208"/>
      <c r="AO1136" s="208"/>
      <c r="AP1136" s="208"/>
      <c r="AQ1136" s="208"/>
      <c r="AR1136" s="208"/>
      <c r="AS1136" s="208"/>
      <c r="AT1136" s="208"/>
      <c r="AU1136" s="208"/>
      <c r="AV1136" s="208"/>
      <c r="AW1136" s="208"/>
      <c r="AX1136" s="208"/>
      <c r="AY1136" s="208"/>
      <c r="AZ1136" s="208"/>
      <c r="BA1136" s="208"/>
      <c r="BB1136" s="208"/>
      <c r="BC1136" s="208"/>
      <c r="BD1136" s="208"/>
      <c r="BE1136" s="208"/>
      <c r="BF1136" s="208"/>
      <c r="BG1136" s="208"/>
      <c r="BH1136" s="208"/>
      <c r="BI1136" s="323"/>
    </row>
    <row r="1137" spans="3:61" ht="15" customHeight="1">
      <c r="C1137" s="327"/>
      <c r="D1137" s="328"/>
      <c r="E1137" s="213"/>
      <c r="F1137" s="213"/>
      <c r="G1137" s="213"/>
      <c r="H1137" s="213"/>
      <c r="I1137" s="213"/>
      <c r="K1137" s="56"/>
      <c r="L1137" s="312"/>
      <c r="M1137" s="312"/>
      <c r="N1137" s="312"/>
      <c r="O1137" s="312"/>
      <c r="P1137" s="318" t="str">
        <f t="shared" si="53"/>
        <v/>
      </c>
      <c r="Q1137" s="205" t="str">
        <f t="shared" si="51"/>
        <v/>
      </c>
      <c r="R1137" s="176"/>
      <c r="S1137" s="319" t="str">
        <f t="shared" si="52"/>
        <v/>
      </c>
      <c r="U1137" s="318"/>
      <c r="V1137" s="794"/>
      <c r="W1137" s="795"/>
      <c r="X1137" s="482"/>
      <c r="Y1137" s="482"/>
      <c r="Z1137" s="482"/>
      <c r="AA1137" s="319"/>
      <c r="AB1137" s="220"/>
      <c r="AC1137" s="318"/>
      <c r="AD1137" s="319"/>
      <c r="AE1137" s="220"/>
      <c r="AF1137" s="320"/>
      <c r="AG1137" s="205"/>
      <c r="AH1137" s="205"/>
      <c r="AI1137" s="205"/>
      <c r="AJ1137" s="205"/>
      <c r="AK1137" s="205"/>
      <c r="AL1137" s="205"/>
      <c r="AM1137" s="205"/>
      <c r="AN1137" s="205"/>
      <c r="AO1137" s="205"/>
      <c r="AP1137" s="205"/>
      <c r="AQ1137" s="205"/>
      <c r="AR1137" s="205"/>
      <c r="AS1137" s="205"/>
      <c r="AT1137" s="205"/>
      <c r="AU1137" s="205"/>
      <c r="AV1137" s="205"/>
      <c r="AW1137" s="205"/>
      <c r="AX1137" s="205"/>
      <c r="AY1137" s="205"/>
      <c r="AZ1137" s="205"/>
      <c r="BA1137" s="205"/>
      <c r="BB1137" s="205"/>
      <c r="BC1137" s="205"/>
      <c r="BD1137" s="205"/>
      <c r="BE1137" s="205"/>
      <c r="BF1137" s="205"/>
      <c r="BG1137" s="205"/>
      <c r="BH1137" s="205"/>
      <c r="BI1137" s="319"/>
    </row>
    <row r="1138" spans="3:61" ht="15" customHeight="1">
      <c r="C1138" s="327"/>
      <c r="D1138" s="328"/>
      <c r="E1138" s="213"/>
      <c r="F1138" s="213"/>
      <c r="G1138" s="213"/>
      <c r="H1138" s="213"/>
      <c r="I1138" s="213"/>
      <c r="K1138" s="56"/>
      <c r="L1138" s="312"/>
      <c r="M1138" s="312"/>
      <c r="N1138" s="312"/>
      <c r="O1138" s="312"/>
      <c r="P1138" s="322" t="str">
        <f t="shared" si="53"/>
        <v/>
      </c>
      <c r="Q1138" s="208" t="str">
        <f t="shared" si="51"/>
        <v/>
      </c>
      <c r="R1138" s="175"/>
      <c r="S1138" s="323" t="str">
        <f t="shared" si="52"/>
        <v/>
      </c>
      <c r="U1138" s="322"/>
      <c r="V1138" s="791"/>
      <c r="W1138" s="792"/>
      <c r="X1138" s="480"/>
      <c r="Y1138" s="480"/>
      <c r="Z1138" s="480"/>
      <c r="AA1138" s="323"/>
      <c r="AB1138" s="220"/>
      <c r="AC1138" s="322"/>
      <c r="AD1138" s="323"/>
      <c r="AE1138" s="220"/>
      <c r="AF1138" s="324"/>
      <c r="AG1138" s="208"/>
      <c r="AH1138" s="208"/>
      <c r="AI1138" s="208"/>
      <c r="AJ1138" s="208"/>
      <c r="AK1138" s="208"/>
      <c r="AL1138" s="208"/>
      <c r="AM1138" s="208"/>
      <c r="AN1138" s="208"/>
      <c r="AO1138" s="208"/>
      <c r="AP1138" s="208"/>
      <c r="AQ1138" s="208"/>
      <c r="AR1138" s="208"/>
      <c r="AS1138" s="208"/>
      <c r="AT1138" s="208"/>
      <c r="AU1138" s="208"/>
      <c r="AV1138" s="208"/>
      <c r="AW1138" s="208"/>
      <c r="AX1138" s="208"/>
      <c r="AY1138" s="208"/>
      <c r="AZ1138" s="208"/>
      <c r="BA1138" s="208"/>
      <c r="BB1138" s="208"/>
      <c r="BC1138" s="208"/>
      <c r="BD1138" s="208"/>
      <c r="BE1138" s="208"/>
      <c r="BF1138" s="208"/>
      <c r="BG1138" s="208"/>
      <c r="BH1138" s="208"/>
      <c r="BI1138" s="323"/>
    </row>
    <row r="1139" spans="3:61" ht="15" customHeight="1">
      <c r="C1139" s="327"/>
      <c r="D1139" s="328"/>
      <c r="E1139" s="213"/>
      <c r="F1139" s="213"/>
      <c r="G1139" s="213"/>
      <c r="H1139" s="213"/>
      <c r="I1139" s="213"/>
      <c r="K1139" s="56"/>
      <c r="L1139" s="312"/>
      <c r="M1139" s="312"/>
      <c r="N1139" s="312"/>
      <c r="O1139" s="312"/>
      <c r="P1139" s="318" t="str">
        <f t="shared" si="53"/>
        <v/>
      </c>
      <c r="Q1139" s="205" t="str">
        <f t="shared" si="51"/>
        <v/>
      </c>
      <c r="R1139" s="176"/>
      <c r="S1139" s="319" t="str">
        <f t="shared" si="52"/>
        <v/>
      </c>
      <c r="U1139" s="318"/>
      <c r="V1139" s="794"/>
      <c r="W1139" s="795"/>
      <c r="X1139" s="482"/>
      <c r="Y1139" s="482"/>
      <c r="Z1139" s="482"/>
      <c r="AA1139" s="319"/>
      <c r="AB1139" s="220"/>
      <c r="AC1139" s="318"/>
      <c r="AD1139" s="319"/>
      <c r="AE1139" s="220"/>
      <c r="AF1139" s="320"/>
      <c r="AG1139" s="205"/>
      <c r="AH1139" s="205"/>
      <c r="AI1139" s="205"/>
      <c r="AJ1139" s="205"/>
      <c r="AK1139" s="205"/>
      <c r="AL1139" s="205"/>
      <c r="AM1139" s="205"/>
      <c r="AN1139" s="205"/>
      <c r="AO1139" s="205"/>
      <c r="AP1139" s="205"/>
      <c r="AQ1139" s="205"/>
      <c r="AR1139" s="205"/>
      <c r="AS1139" s="205"/>
      <c r="AT1139" s="205"/>
      <c r="AU1139" s="205"/>
      <c r="AV1139" s="205"/>
      <c r="AW1139" s="205"/>
      <c r="AX1139" s="205"/>
      <c r="AY1139" s="205"/>
      <c r="AZ1139" s="205"/>
      <c r="BA1139" s="205"/>
      <c r="BB1139" s="205"/>
      <c r="BC1139" s="205"/>
      <c r="BD1139" s="205"/>
      <c r="BE1139" s="205"/>
      <c r="BF1139" s="205"/>
      <c r="BG1139" s="205"/>
      <c r="BH1139" s="205"/>
      <c r="BI1139" s="319"/>
    </row>
    <row r="1140" spans="3:61" ht="15" customHeight="1">
      <c r="C1140" s="327"/>
      <c r="D1140" s="328"/>
      <c r="E1140" s="213"/>
      <c r="F1140" s="213"/>
      <c r="G1140" s="213"/>
      <c r="H1140" s="213"/>
      <c r="I1140" s="213"/>
      <c r="K1140" s="56"/>
      <c r="L1140" s="312"/>
      <c r="M1140" s="312"/>
      <c r="N1140" s="312"/>
      <c r="O1140" s="312"/>
      <c r="P1140" s="322" t="str">
        <f t="shared" si="53"/>
        <v/>
      </c>
      <c r="Q1140" s="208" t="str">
        <f t="shared" si="51"/>
        <v/>
      </c>
      <c r="R1140" s="175"/>
      <c r="S1140" s="323" t="str">
        <f t="shared" si="52"/>
        <v/>
      </c>
      <c r="U1140" s="322"/>
      <c r="V1140" s="791"/>
      <c r="W1140" s="792"/>
      <c r="X1140" s="480"/>
      <c r="Y1140" s="480"/>
      <c r="Z1140" s="480"/>
      <c r="AA1140" s="323"/>
      <c r="AB1140" s="220"/>
      <c r="AC1140" s="322"/>
      <c r="AD1140" s="323"/>
      <c r="AE1140" s="220"/>
      <c r="AF1140" s="324"/>
      <c r="AG1140" s="208"/>
      <c r="AH1140" s="208"/>
      <c r="AI1140" s="208"/>
      <c r="AJ1140" s="208"/>
      <c r="AK1140" s="208"/>
      <c r="AL1140" s="208"/>
      <c r="AM1140" s="208"/>
      <c r="AN1140" s="208"/>
      <c r="AO1140" s="208"/>
      <c r="AP1140" s="208"/>
      <c r="AQ1140" s="208"/>
      <c r="AR1140" s="208"/>
      <c r="AS1140" s="208"/>
      <c r="AT1140" s="208"/>
      <c r="AU1140" s="208"/>
      <c r="AV1140" s="208"/>
      <c r="AW1140" s="208"/>
      <c r="AX1140" s="208"/>
      <c r="AY1140" s="208"/>
      <c r="AZ1140" s="208"/>
      <c r="BA1140" s="208"/>
      <c r="BB1140" s="208"/>
      <c r="BC1140" s="208"/>
      <c r="BD1140" s="208"/>
      <c r="BE1140" s="208"/>
      <c r="BF1140" s="208"/>
      <c r="BG1140" s="208"/>
      <c r="BH1140" s="208"/>
      <c r="BI1140" s="323"/>
    </row>
    <row r="1141" spans="3:61" ht="15" customHeight="1">
      <c r="C1141" s="327"/>
      <c r="D1141" s="328"/>
      <c r="E1141" s="213"/>
      <c r="F1141" s="213"/>
      <c r="G1141" s="213"/>
      <c r="H1141" s="213"/>
      <c r="I1141" s="213"/>
      <c r="K1141" s="56"/>
      <c r="L1141" s="312"/>
      <c r="M1141" s="312"/>
      <c r="N1141" s="312"/>
      <c r="O1141" s="312"/>
      <c r="P1141" s="318" t="str">
        <f t="shared" si="53"/>
        <v/>
      </c>
      <c r="Q1141" s="205" t="str">
        <f t="shared" si="51"/>
        <v/>
      </c>
      <c r="R1141" s="176"/>
      <c r="S1141" s="319" t="str">
        <f t="shared" si="52"/>
        <v/>
      </c>
      <c r="U1141" s="318"/>
      <c r="V1141" s="794"/>
      <c r="W1141" s="795"/>
      <c r="X1141" s="482"/>
      <c r="Y1141" s="482"/>
      <c r="Z1141" s="482"/>
      <c r="AA1141" s="319"/>
      <c r="AB1141" s="220"/>
      <c r="AC1141" s="318"/>
      <c r="AD1141" s="319"/>
      <c r="AE1141" s="220"/>
      <c r="AF1141" s="320"/>
      <c r="AG1141" s="205"/>
      <c r="AH1141" s="205"/>
      <c r="AI1141" s="205"/>
      <c r="AJ1141" s="205"/>
      <c r="AK1141" s="205"/>
      <c r="AL1141" s="205"/>
      <c r="AM1141" s="205"/>
      <c r="AN1141" s="205"/>
      <c r="AO1141" s="205"/>
      <c r="AP1141" s="205"/>
      <c r="AQ1141" s="205"/>
      <c r="AR1141" s="205"/>
      <c r="AS1141" s="205"/>
      <c r="AT1141" s="205"/>
      <c r="AU1141" s="205"/>
      <c r="AV1141" s="205"/>
      <c r="AW1141" s="205"/>
      <c r="AX1141" s="205"/>
      <c r="AY1141" s="205"/>
      <c r="AZ1141" s="205"/>
      <c r="BA1141" s="205"/>
      <c r="BB1141" s="205"/>
      <c r="BC1141" s="205"/>
      <c r="BD1141" s="205"/>
      <c r="BE1141" s="205"/>
      <c r="BF1141" s="205"/>
      <c r="BG1141" s="205"/>
      <c r="BH1141" s="205"/>
      <c r="BI1141" s="319"/>
    </row>
    <row r="1142" spans="3:61" ht="15" customHeight="1">
      <c r="C1142" s="327"/>
      <c r="D1142" s="328"/>
      <c r="E1142" s="213"/>
      <c r="F1142" s="213"/>
      <c r="G1142" s="213"/>
      <c r="H1142" s="213"/>
      <c r="I1142" s="213"/>
      <c r="K1142" s="56"/>
      <c r="L1142" s="312"/>
      <c r="M1142" s="312"/>
      <c r="N1142" s="312"/>
      <c r="O1142" s="312"/>
      <c r="P1142" s="322" t="str">
        <f t="shared" si="53"/>
        <v/>
      </c>
      <c r="Q1142" s="208" t="str">
        <f t="shared" si="51"/>
        <v/>
      </c>
      <c r="R1142" s="175"/>
      <c r="S1142" s="323" t="str">
        <f t="shared" si="52"/>
        <v/>
      </c>
      <c r="U1142" s="322"/>
      <c r="V1142" s="791"/>
      <c r="W1142" s="792"/>
      <c r="X1142" s="480"/>
      <c r="Y1142" s="480"/>
      <c r="Z1142" s="480"/>
      <c r="AA1142" s="323"/>
      <c r="AB1142" s="220"/>
      <c r="AC1142" s="322"/>
      <c r="AD1142" s="323"/>
      <c r="AE1142" s="220"/>
      <c r="AF1142" s="324"/>
      <c r="AG1142" s="208"/>
      <c r="AH1142" s="208"/>
      <c r="AI1142" s="208"/>
      <c r="AJ1142" s="208"/>
      <c r="AK1142" s="208"/>
      <c r="AL1142" s="208"/>
      <c r="AM1142" s="208"/>
      <c r="AN1142" s="208"/>
      <c r="AO1142" s="208"/>
      <c r="AP1142" s="208"/>
      <c r="AQ1142" s="208"/>
      <c r="AR1142" s="208"/>
      <c r="AS1142" s="208"/>
      <c r="AT1142" s="208"/>
      <c r="AU1142" s="208"/>
      <c r="AV1142" s="208"/>
      <c r="AW1142" s="208"/>
      <c r="AX1142" s="208"/>
      <c r="AY1142" s="208"/>
      <c r="AZ1142" s="208"/>
      <c r="BA1142" s="208"/>
      <c r="BB1142" s="208"/>
      <c r="BC1142" s="208"/>
      <c r="BD1142" s="208"/>
      <c r="BE1142" s="208"/>
      <c r="BF1142" s="208"/>
      <c r="BG1142" s="208"/>
      <c r="BH1142" s="208"/>
      <c r="BI1142" s="323"/>
    </row>
    <row r="1143" spans="3:61" ht="15" customHeight="1">
      <c r="C1143" s="327"/>
      <c r="D1143" s="328"/>
      <c r="E1143" s="213"/>
      <c r="F1143" s="213"/>
      <c r="G1143" s="213"/>
      <c r="H1143" s="213"/>
      <c r="I1143" s="213"/>
      <c r="K1143" s="56"/>
      <c r="L1143" s="312"/>
      <c r="M1143" s="312"/>
      <c r="N1143" s="312"/>
      <c r="O1143" s="312"/>
      <c r="P1143" s="318" t="str">
        <f t="shared" si="53"/>
        <v/>
      </c>
      <c r="Q1143" s="205" t="str">
        <f t="shared" si="51"/>
        <v/>
      </c>
      <c r="R1143" s="176"/>
      <c r="S1143" s="319" t="str">
        <f t="shared" si="52"/>
        <v/>
      </c>
      <c r="U1143" s="318"/>
      <c r="V1143" s="794"/>
      <c r="W1143" s="795"/>
      <c r="X1143" s="482"/>
      <c r="Y1143" s="482"/>
      <c r="Z1143" s="482"/>
      <c r="AA1143" s="319"/>
      <c r="AB1143" s="220"/>
      <c r="AC1143" s="318"/>
      <c r="AD1143" s="319"/>
      <c r="AE1143" s="220"/>
      <c r="AF1143" s="320"/>
      <c r="AG1143" s="205"/>
      <c r="AH1143" s="205"/>
      <c r="AI1143" s="205"/>
      <c r="AJ1143" s="205"/>
      <c r="AK1143" s="205"/>
      <c r="AL1143" s="205"/>
      <c r="AM1143" s="205"/>
      <c r="AN1143" s="205"/>
      <c r="AO1143" s="205"/>
      <c r="AP1143" s="205"/>
      <c r="AQ1143" s="205"/>
      <c r="AR1143" s="205"/>
      <c r="AS1143" s="205"/>
      <c r="AT1143" s="205"/>
      <c r="AU1143" s="205"/>
      <c r="AV1143" s="205"/>
      <c r="AW1143" s="205"/>
      <c r="AX1143" s="205"/>
      <c r="AY1143" s="205"/>
      <c r="AZ1143" s="205"/>
      <c r="BA1143" s="205"/>
      <c r="BB1143" s="205"/>
      <c r="BC1143" s="205"/>
      <c r="BD1143" s="205"/>
      <c r="BE1143" s="205"/>
      <c r="BF1143" s="205"/>
      <c r="BG1143" s="205"/>
      <c r="BH1143" s="205"/>
      <c r="BI1143" s="319"/>
    </row>
    <row r="1144" spans="3:61" ht="15" customHeight="1">
      <c r="C1144" s="327"/>
      <c r="D1144" s="328"/>
      <c r="E1144" s="213"/>
      <c r="F1144" s="213"/>
      <c r="G1144" s="213"/>
      <c r="H1144" s="213"/>
      <c r="I1144" s="213"/>
      <c r="K1144" s="56"/>
      <c r="L1144" s="312"/>
      <c r="M1144" s="312"/>
      <c r="N1144" s="312"/>
      <c r="O1144" s="312"/>
      <c r="P1144" s="322" t="str">
        <f t="shared" si="53"/>
        <v/>
      </c>
      <c r="Q1144" s="208" t="str">
        <f t="shared" si="51"/>
        <v/>
      </c>
      <c r="R1144" s="175"/>
      <c r="S1144" s="323" t="str">
        <f t="shared" si="52"/>
        <v/>
      </c>
      <c r="U1144" s="322"/>
      <c r="V1144" s="791"/>
      <c r="W1144" s="792"/>
      <c r="X1144" s="480"/>
      <c r="Y1144" s="480"/>
      <c r="Z1144" s="480"/>
      <c r="AA1144" s="323"/>
      <c r="AB1144" s="220"/>
      <c r="AC1144" s="322"/>
      <c r="AD1144" s="323"/>
      <c r="AE1144" s="220"/>
      <c r="AF1144" s="324"/>
      <c r="AG1144" s="208"/>
      <c r="AH1144" s="208"/>
      <c r="AI1144" s="208"/>
      <c r="AJ1144" s="208"/>
      <c r="AK1144" s="208"/>
      <c r="AL1144" s="208"/>
      <c r="AM1144" s="208"/>
      <c r="AN1144" s="208"/>
      <c r="AO1144" s="208"/>
      <c r="AP1144" s="208"/>
      <c r="AQ1144" s="208"/>
      <c r="AR1144" s="208"/>
      <c r="AS1144" s="208"/>
      <c r="AT1144" s="208"/>
      <c r="AU1144" s="208"/>
      <c r="AV1144" s="208"/>
      <c r="AW1144" s="208"/>
      <c r="AX1144" s="208"/>
      <c r="AY1144" s="208"/>
      <c r="AZ1144" s="208"/>
      <c r="BA1144" s="208"/>
      <c r="BB1144" s="208"/>
      <c r="BC1144" s="208"/>
      <c r="BD1144" s="208"/>
      <c r="BE1144" s="208"/>
      <c r="BF1144" s="208"/>
      <c r="BG1144" s="208"/>
      <c r="BH1144" s="208"/>
      <c r="BI1144" s="323"/>
    </row>
    <row r="1145" spans="3:61" ht="15" customHeight="1">
      <c r="C1145" s="327"/>
      <c r="D1145" s="328"/>
      <c r="E1145" s="213"/>
      <c r="F1145" s="213"/>
      <c r="G1145" s="213"/>
      <c r="H1145" s="213"/>
      <c r="I1145" s="213"/>
      <c r="K1145" s="56"/>
      <c r="L1145" s="312"/>
      <c r="M1145" s="312"/>
      <c r="N1145" s="312"/>
      <c r="O1145" s="312"/>
      <c r="P1145" s="318" t="str">
        <f t="shared" si="53"/>
        <v/>
      </c>
      <c r="Q1145" s="205" t="str">
        <f t="shared" si="51"/>
        <v/>
      </c>
      <c r="R1145" s="176"/>
      <c r="S1145" s="319" t="str">
        <f t="shared" si="52"/>
        <v/>
      </c>
      <c r="U1145" s="318"/>
      <c r="V1145" s="794"/>
      <c r="W1145" s="795"/>
      <c r="X1145" s="482"/>
      <c r="Y1145" s="482"/>
      <c r="Z1145" s="482"/>
      <c r="AA1145" s="319"/>
      <c r="AB1145" s="220"/>
      <c r="AC1145" s="318"/>
      <c r="AD1145" s="319"/>
      <c r="AE1145" s="220"/>
      <c r="AF1145" s="320"/>
      <c r="AG1145" s="205"/>
      <c r="AH1145" s="205"/>
      <c r="AI1145" s="205"/>
      <c r="AJ1145" s="205"/>
      <c r="AK1145" s="205"/>
      <c r="AL1145" s="205"/>
      <c r="AM1145" s="205"/>
      <c r="AN1145" s="205"/>
      <c r="AO1145" s="205"/>
      <c r="AP1145" s="205"/>
      <c r="AQ1145" s="205"/>
      <c r="AR1145" s="205"/>
      <c r="AS1145" s="205"/>
      <c r="AT1145" s="205"/>
      <c r="AU1145" s="205"/>
      <c r="AV1145" s="205"/>
      <c r="AW1145" s="205"/>
      <c r="AX1145" s="205"/>
      <c r="AY1145" s="205"/>
      <c r="AZ1145" s="205"/>
      <c r="BA1145" s="205"/>
      <c r="BB1145" s="205"/>
      <c r="BC1145" s="205"/>
      <c r="BD1145" s="205"/>
      <c r="BE1145" s="205"/>
      <c r="BF1145" s="205"/>
      <c r="BG1145" s="205"/>
      <c r="BH1145" s="205"/>
      <c r="BI1145" s="319"/>
    </row>
    <row r="1146" spans="3:61" ht="15" customHeight="1">
      <c r="C1146" s="327"/>
      <c r="D1146" s="328"/>
      <c r="E1146" s="213"/>
      <c r="F1146" s="213"/>
      <c r="G1146" s="213"/>
      <c r="H1146" s="213"/>
      <c r="I1146" s="213"/>
      <c r="K1146" s="56"/>
      <c r="L1146" s="312"/>
      <c r="M1146" s="312"/>
      <c r="N1146" s="312"/>
      <c r="O1146" s="312"/>
      <c r="P1146" s="322" t="str">
        <f t="shared" si="53"/>
        <v/>
      </c>
      <c r="Q1146" s="208" t="str">
        <f t="shared" si="51"/>
        <v/>
      </c>
      <c r="R1146" s="175"/>
      <c r="S1146" s="323" t="str">
        <f t="shared" si="52"/>
        <v/>
      </c>
      <c r="U1146" s="322"/>
      <c r="V1146" s="791"/>
      <c r="W1146" s="792"/>
      <c r="X1146" s="480"/>
      <c r="Y1146" s="480"/>
      <c r="Z1146" s="480"/>
      <c r="AA1146" s="323"/>
      <c r="AB1146" s="220"/>
      <c r="AC1146" s="322"/>
      <c r="AD1146" s="323"/>
      <c r="AE1146" s="220"/>
      <c r="AF1146" s="324"/>
      <c r="AG1146" s="208"/>
      <c r="AH1146" s="208"/>
      <c r="AI1146" s="208"/>
      <c r="AJ1146" s="208"/>
      <c r="AK1146" s="208"/>
      <c r="AL1146" s="208"/>
      <c r="AM1146" s="208"/>
      <c r="AN1146" s="208"/>
      <c r="AO1146" s="208"/>
      <c r="AP1146" s="208"/>
      <c r="AQ1146" s="208"/>
      <c r="AR1146" s="208"/>
      <c r="AS1146" s="208"/>
      <c r="AT1146" s="208"/>
      <c r="AU1146" s="208"/>
      <c r="AV1146" s="208"/>
      <c r="AW1146" s="208"/>
      <c r="AX1146" s="208"/>
      <c r="AY1146" s="208"/>
      <c r="AZ1146" s="208"/>
      <c r="BA1146" s="208"/>
      <c r="BB1146" s="208"/>
      <c r="BC1146" s="208"/>
      <c r="BD1146" s="208"/>
      <c r="BE1146" s="208"/>
      <c r="BF1146" s="208"/>
      <c r="BG1146" s="208"/>
      <c r="BH1146" s="208"/>
      <c r="BI1146" s="323"/>
    </row>
    <row r="1147" spans="3:61" ht="15" customHeight="1">
      <c r="C1147" s="327"/>
      <c r="D1147" s="328"/>
      <c r="E1147" s="213"/>
      <c r="F1147" s="213"/>
      <c r="G1147" s="213"/>
      <c r="H1147" s="213"/>
      <c r="I1147" s="213"/>
      <c r="K1147" s="56"/>
      <c r="L1147" s="312"/>
      <c r="M1147" s="312"/>
      <c r="N1147" s="312"/>
      <c r="O1147" s="312"/>
      <c r="P1147" s="318" t="str">
        <f t="shared" si="53"/>
        <v/>
      </c>
      <c r="Q1147" s="205" t="str">
        <f t="shared" si="51"/>
        <v/>
      </c>
      <c r="R1147" s="176"/>
      <c r="S1147" s="319" t="str">
        <f t="shared" si="52"/>
        <v/>
      </c>
      <c r="U1147" s="318"/>
      <c r="V1147" s="794"/>
      <c r="W1147" s="795"/>
      <c r="X1147" s="482"/>
      <c r="Y1147" s="482"/>
      <c r="Z1147" s="482"/>
      <c r="AA1147" s="319"/>
      <c r="AB1147" s="220"/>
      <c r="AC1147" s="318"/>
      <c r="AD1147" s="319"/>
      <c r="AE1147" s="220"/>
      <c r="AF1147" s="320"/>
      <c r="AG1147" s="205"/>
      <c r="AH1147" s="205"/>
      <c r="AI1147" s="205"/>
      <c r="AJ1147" s="205"/>
      <c r="AK1147" s="205"/>
      <c r="AL1147" s="205"/>
      <c r="AM1147" s="205"/>
      <c r="AN1147" s="205"/>
      <c r="AO1147" s="205"/>
      <c r="AP1147" s="205"/>
      <c r="AQ1147" s="205"/>
      <c r="AR1147" s="205"/>
      <c r="AS1147" s="205"/>
      <c r="AT1147" s="205"/>
      <c r="AU1147" s="205"/>
      <c r="AV1147" s="205"/>
      <c r="AW1147" s="205"/>
      <c r="AX1147" s="205"/>
      <c r="AY1147" s="205"/>
      <c r="AZ1147" s="205"/>
      <c r="BA1147" s="205"/>
      <c r="BB1147" s="205"/>
      <c r="BC1147" s="205"/>
      <c r="BD1147" s="205"/>
      <c r="BE1147" s="205"/>
      <c r="BF1147" s="205"/>
      <c r="BG1147" s="205"/>
      <c r="BH1147" s="205"/>
      <c r="BI1147" s="319"/>
    </row>
    <row r="1148" spans="3:61" ht="15" customHeight="1">
      <c r="C1148" s="327"/>
      <c r="D1148" s="328"/>
      <c r="E1148" s="213"/>
      <c r="F1148" s="213"/>
      <c r="G1148" s="213"/>
      <c r="H1148" s="213"/>
      <c r="I1148" s="213"/>
      <c r="K1148" s="56"/>
      <c r="L1148" s="312"/>
      <c r="M1148" s="312"/>
      <c r="N1148" s="312"/>
      <c r="O1148" s="312"/>
      <c r="P1148" s="322" t="str">
        <f t="shared" si="53"/>
        <v/>
      </c>
      <c r="Q1148" s="208" t="str">
        <f t="shared" si="51"/>
        <v/>
      </c>
      <c r="R1148" s="175"/>
      <c r="S1148" s="323" t="str">
        <f t="shared" si="52"/>
        <v/>
      </c>
      <c r="U1148" s="322"/>
      <c r="V1148" s="791"/>
      <c r="W1148" s="792"/>
      <c r="X1148" s="480"/>
      <c r="Y1148" s="480"/>
      <c r="Z1148" s="480"/>
      <c r="AA1148" s="323"/>
      <c r="AB1148" s="220"/>
      <c r="AC1148" s="322"/>
      <c r="AD1148" s="323"/>
      <c r="AE1148" s="220"/>
      <c r="AF1148" s="324"/>
      <c r="AG1148" s="208"/>
      <c r="AH1148" s="208"/>
      <c r="AI1148" s="208"/>
      <c r="AJ1148" s="208"/>
      <c r="AK1148" s="208"/>
      <c r="AL1148" s="208"/>
      <c r="AM1148" s="208"/>
      <c r="AN1148" s="208"/>
      <c r="AO1148" s="208"/>
      <c r="AP1148" s="208"/>
      <c r="AQ1148" s="208"/>
      <c r="AR1148" s="208"/>
      <c r="AS1148" s="208"/>
      <c r="AT1148" s="208"/>
      <c r="AU1148" s="208"/>
      <c r="AV1148" s="208"/>
      <c r="AW1148" s="208"/>
      <c r="AX1148" s="208"/>
      <c r="AY1148" s="208"/>
      <c r="AZ1148" s="208"/>
      <c r="BA1148" s="208"/>
      <c r="BB1148" s="208"/>
      <c r="BC1148" s="208"/>
      <c r="BD1148" s="208"/>
      <c r="BE1148" s="208"/>
      <c r="BF1148" s="208"/>
      <c r="BG1148" s="208"/>
      <c r="BH1148" s="208"/>
      <c r="BI1148" s="323"/>
    </row>
    <row r="1149" spans="3:61" ht="15" customHeight="1">
      <c r="C1149" s="327"/>
      <c r="D1149" s="328"/>
      <c r="E1149" s="213"/>
      <c r="F1149" s="213"/>
      <c r="G1149" s="213"/>
      <c r="H1149" s="213"/>
      <c r="I1149" s="213"/>
      <c r="K1149" s="56"/>
      <c r="L1149" s="312"/>
      <c r="M1149" s="312"/>
      <c r="N1149" s="312"/>
      <c r="O1149" s="312"/>
      <c r="P1149" s="318" t="str">
        <f t="shared" si="53"/>
        <v/>
      </c>
      <c r="Q1149" s="205" t="str">
        <f t="shared" si="51"/>
        <v/>
      </c>
      <c r="R1149" s="176"/>
      <c r="S1149" s="319" t="str">
        <f t="shared" si="52"/>
        <v/>
      </c>
      <c r="U1149" s="318"/>
      <c r="V1149" s="794"/>
      <c r="W1149" s="795"/>
      <c r="X1149" s="482"/>
      <c r="Y1149" s="482"/>
      <c r="Z1149" s="482"/>
      <c r="AA1149" s="319"/>
      <c r="AB1149" s="220"/>
      <c r="AC1149" s="318"/>
      <c r="AD1149" s="319"/>
      <c r="AE1149" s="220"/>
      <c r="AF1149" s="320"/>
      <c r="AG1149" s="205"/>
      <c r="AH1149" s="205"/>
      <c r="AI1149" s="205"/>
      <c r="AJ1149" s="205"/>
      <c r="AK1149" s="205"/>
      <c r="AL1149" s="205"/>
      <c r="AM1149" s="205"/>
      <c r="AN1149" s="205"/>
      <c r="AO1149" s="205"/>
      <c r="AP1149" s="205"/>
      <c r="AQ1149" s="205"/>
      <c r="AR1149" s="205"/>
      <c r="AS1149" s="205"/>
      <c r="AT1149" s="205"/>
      <c r="AU1149" s="205"/>
      <c r="AV1149" s="205"/>
      <c r="AW1149" s="205"/>
      <c r="AX1149" s="205"/>
      <c r="AY1149" s="205"/>
      <c r="AZ1149" s="205"/>
      <c r="BA1149" s="205"/>
      <c r="BB1149" s="205"/>
      <c r="BC1149" s="205"/>
      <c r="BD1149" s="205"/>
      <c r="BE1149" s="205"/>
      <c r="BF1149" s="205"/>
      <c r="BG1149" s="205"/>
      <c r="BH1149" s="205"/>
      <c r="BI1149" s="319"/>
    </row>
    <row r="1150" spans="3:61" ht="15" customHeight="1">
      <c r="C1150" s="327"/>
      <c r="D1150" s="328"/>
      <c r="E1150" s="213"/>
      <c r="F1150" s="213"/>
      <c r="G1150" s="213"/>
      <c r="H1150" s="213"/>
      <c r="I1150" s="213"/>
      <c r="K1150" s="56"/>
      <c r="L1150" s="312"/>
      <c r="M1150" s="312"/>
      <c r="N1150" s="312"/>
      <c r="O1150" s="312"/>
      <c r="P1150" s="322" t="str">
        <f t="shared" si="53"/>
        <v/>
      </c>
      <c r="Q1150" s="208" t="str">
        <f t="shared" si="51"/>
        <v/>
      </c>
      <c r="R1150" s="175"/>
      <c r="S1150" s="323" t="str">
        <f t="shared" si="52"/>
        <v/>
      </c>
      <c r="U1150" s="322"/>
      <c r="V1150" s="791"/>
      <c r="W1150" s="792"/>
      <c r="X1150" s="480"/>
      <c r="Y1150" s="480"/>
      <c r="Z1150" s="480"/>
      <c r="AA1150" s="323"/>
      <c r="AB1150" s="220"/>
      <c r="AC1150" s="322"/>
      <c r="AD1150" s="323"/>
      <c r="AE1150" s="220"/>
      <c r="AF1150" s="324"/>
      <c r="AG1150" s="208"/>
      <c r="AH1150" s="208"/>
      <c r="AI1150" s="208"/>
      <c r="AJ1150" s="208"/>
      <c r="AK1150" s="208"/>
      <c r="AL1150" s="208"/>
      <c r="AM1150" s="208"/>
      <c r="AN1150" s="208"/>
      <c r="AO1150" s="208"/>
      <c r="AP1150" s="208"/>
      <c r="AQ1150" s="208"/>
      <c r="AR1150" s="208"/>
      <c r="AS1150" s="208"/>
      <c r="AT1150" s="208"/>
      <c r="AU1150" s="208"/>
      <c r="AV1150" s="208"/>
      <c r="AW1150" s="208"/>
      <c r="AX1150" s="208"/>
      <c r="AY1150" s="208"/>
      <c r="AZ1150" s="208"/>
      <c r="BA1150" s="208"/>
      <c r="BB1150" s="208"/>
      <c r="BC1150" s="208"/>
      <c r="BD1150" s="208"/>
      <c r="BE1150" s="208"/>
      <c r="BF1150" s="208"/>
      <c r="BG1150" s="208"/>
      <c r="BH1150" s="208"/>
      <c r="BI1150" s="323"/>
    </row>
    <row r="1151" spans="3:61" ht="15" customHeight="1">
      <c r="C1151" s="327"/>
      <c r="D1151" s="328"/>
      <c r="E1151" s="213"/>
      <c r="F1151" s="213"/>
      <c r="G1151" s="213"/>
      <c r="H1151" s="213"/>
      <c r="I1151" s="213"/>
      <c r="K1151" s="56"/>
      <c r="L1151" s="312"/>
      <c r="M1151" s="312"/>
      <c r="N1151" s="312"/>
      <c r="O1151" s="312"/>
      <c r="P1151" s="318" t="str">
        <f t="shared" si="53"/>
        <v/>
      </c>
      <c r="Q1151" s="205" t="str">
        <f t="shared" si="51"/>
        <v/>
      </c>
      <c r="R1151" s="176"/>
      <c r="S1151" s="319" t="str">
        <f t="shared" si="52"/>
        <v/>
      </c>
      <c r="U1151" s="318"/>
      <c r="V1151" s="794"/>
      <c r="W1151" s="795"/>
      <c r="X1151" s="482"/>
      <c r="Y1151" s="482"/>
      <c r="Z1151" s="482"/>
      <c r="AA1151" s="319"/>
      <c r="AB1151" s="220"/>
      <c r="AC1151" s="318"/>
      <c r="AD1151" s="319"/>
      <c r="AE1151" s="220"/>
      <c r="AF1151" s="320"/>
      <c r="AG1151" s="205"/>
      <c r="AH1151" s="205"/>
      <c r="AI1151" s="205"/>
      <c r="AJ1151" s="205"/>
      <c r="AK1151" s="205"/>
      <c r="AL1151" s="205"/>
      <c r="AM1151" s="205"/>
      <c r="AN1151" s="205"/>
      <c r="AO1151" s="205"/>
      <c r="AP1151" s="205"/>
      <c r="AQ1151" s="205"/>
      <c r="AR1151" s="205"/>
      <c r="AS1151" s="205"/>
      <c r="AT1151" s="205"/>
      <c r="AU1151" s="205"/>
      <c r="AV1151" s="205"/>
      <c r="AW1151" s="205"/>
      <c r="AX1151" s="205"/>
      <c r="AY1151" s="205"/>
      <c r="AZ1151" s="205"/>
      <c r="BA1151" s="205"/>
      <c r="BB1151" s="205"/>
      <c r="BC1151" s="205"/>
      <c r="BD1151" s="205"/>
      <c r="BE1151" s="205"/>
      <c r="BF1151" s="205"/>
      <c r="BG1151" s="205"/>
      <c r="BH1151" s="205"/>
      <c r="BI1151" s="319"/>
    </row>
    <row r="1152" spans="3:61" ht="15" customHeight="1">
      <c r="C1152" s="327"/>
      <c r="D1152" s="328"/>
      <c r="E1152" s="213"/>
      <c r="F1152" s="213"/>
      <c r="G1152" s="213"/>
      <c r="H1152" s="213"/>
      <c r="I1152" s="213"/>
      <c r="K1152" s="56"/>
      <c r="L1152" s="312"/>
      <c r="M1152" s="312"/>
      <c r="N1152" s="312"/>
      <c r="O1152" s="312"/>
      <c r="P1152" s="322" t="str">
        <f t="shared" si="53"/>
        <v/>
      </c>
      <c r="Q1152" s="208" t="str">
        <f t="shared" si="51"/>
        <v/>
      </c>
      <c r="R1152" s="175"/>
      <c r="S1152" s="323" t="str">
        <f t="shared" si="52"/>
        <v/>
      </c>
      <c r="U1152" s="322"/>
      <c r="V1152" s="791"/>
      <c r="W1152" s="792"/>
      <c r="X1152" s="480"/>
      <c r="Y1152" s="480"/>
      <c r="Z1152" s="480"/>
      <c r="AA1152" s="323"/>
      <c r="AB1152" s="220"/>
      <c r="AC1152" s="322"/>
      <c r="AD1152" s="323"/>
      <c r="AE1152" s="220"/>
      <c r="AF1152" s="324"/>
      <c r="AG1152" s="208"/>
      <c r="AH1152" s="208"/>
      <c r="AI1152" s="208"/>
      <c r="AJ1152" s="208"/>
      <c r="AK1152" s="208"/>
      <c r="AL1152" s="208"/>
      <c r="AM1152" s="208"/>
      <c r="AN1152" s="208"/>
      <c r="AO1152" s="208"/>
      <c r="AP1152" s="208"/>
      <c r="AQ1152" s="208"/>
      <c r="AR1152" s="208"/>
      <c r="AS1152" s="208"/>
      <c r="AT1152" s="208"/>
      <c r="AU1152" s="208"/>
      <c r="AV1152" s="208"/>
      <c r="AW1152" s="208"/>
      <c r="AX1152" s="208"/>
      <c r="AY1152" s="208"/>
      <c r="AZ1152" s="208"/>
      <c r="BA1152" s="208"/>
      <c r="BB1152" s="208"/>
      <c r="BC1152" s="208"/>
      <c r="BD1152" s="208"/>
      <c r="BE1152" s="208"/>
      <c r="BF1152" s="208"/>
      <c r="BG1152" s="208"/>
      <c r="BH1152" s="208"/>
      <c r="BI1152" s="323"/>
    </row>
    <row r="1153" spans="3:61" ht="15" customHeight="1">
      <c r="C1153" s="327"/>
      <c r="D1153" s="328"/>
      <c r="E1153" s="213"/>
      <c r="F1153" s="213"/>
      <c r="G1153" s="213"/>
      <c r="H1153" s="213"/>
      <c r="I1153" s="213"/>
      <c r="K1153" s="56"/>
      <c r="L1153" s="312"/>
      <c r="M1153" s="312"/>
      <c r="N1153" s="312"/>
      <c r="O1153" s="312"/>
      <c r="P1153" s="318" t="str">
        <f t="shared" si="53"/>
        <v/>
      </c>
      <c r="Q1153" s="205" t="str">
        <f t="shared" si="51"/>
        <v/>
      </c>
      <c r="R1153" s="176"/>
      <c r="S1153" s="319" t="str">
        <f t="shared" si="52"/>
        <v/>
      </c>
      <c r="U1153" s="318"/>
      <c r="V1153" s="794"/>
      <c r="W1153" s="795"/>
      <c r="X1153" s="482"/>
      <c r="Y1153" s="482"/>
      <c r="Z1153" s="482"/>
      <c r="AA1153" s="319"/>
      <c r="AB1153" s="220"/>
      <c r="AC1153" s="318"/>
      <c r="AD1153" s="319"/>
      <c r="AE1153" s="220"/>
      <c r="AF1153" s="320"/>
      <c r="AG1153" s="205"/>
      <c r="AH1153" s="205"/>
      <c r="AI1153" s="205"/>
      <c r="AJ1153" s="205"/>
      <c r="AK1153" s="205"/>
      <c r="AL1153" s="205"/>
      <c r="AM1153" s="205"/>
      <c r="AN1153" s="205"/>
      <c r="AO1153" s="205"/>
      <c r="AP1153" s="205"/>
      <c r="AQ1153" s="205"/>
      <c r="AR1153" s="205"/>
      <c r="AS1153" s="205"/>
      <c r="AT1153" s="205"/>
      <c r="AU1153" s="205"/>
      <c r="AV1153" s="205"/>
      <c r="AW1153" s="205"/>
      <c r="AX1153" s="205"/>
      <c r="AY1153" s="205"/>
      <c r="AZ1153" s="205"/>
      <c r="BA1153" s="205"/>
      <c r="BB1153" s="205"/>
      <c r="BC1153" s="205"/>
      <c r="BD1153" s="205"/>
      <c r="BE1153" s="205"/>
      <c r="BF1153" s="205"/>
      <c r="BG1153" s="205"/>
      <c r="BH1153" s="205"/>
      <c r="BI1153" s="319"/>
    </row>
    <row r="1154" spans="3:61" ht="15" customHeight="1">
      <c r="C1154" s="327"/>
      <c r="D1154" s="328"/>
      <c r="E1154" s="213"/>
      <c r="F1154" s="213"/>
      <c r="G1154" s="213"/>
      <c r="H1154" s="213"/>
      <c r="I1154" s="213"/>
      <c r="K1154" s="56"/>
      <c r="L1154" s="312"/>
      <c r="M1154" s="312"/>
      <c r="N1154" s="312"/>
      <c r="O1154" s="312"/>
      <c r="P1154" s="322" t="str">
        <f t="shared" si="53"/>
        <v/>
      </c>
      <c r="Q1154" s="208" t="str">
        <f t="shared" si="51"/>
        <v/>
      </c>
      <c r="R1154" s="175"/>
      <c r="S1154" s="323" t="str">
        <f t="shared" si="52"/>
        <v/>
      </c>
      <c r="U1154" s="322"/>
      <c r="V1154" s="791"/>
      <c r="W1154" s="792"/>
      <c r="X1154" s="480"/>
      <c r="Y1154" s="480"/>
      <c r="Z1154" s="480"/>
      <c r="AA1154" s="323"/>
      <c r="AB1154" s="220"/>
      <c r="AC1154" s="322"/>
      <c r="AD1154" s="323"/>
      <c r="AE1154" s="220"/>
      <c r="AF1154" s="324"/>
      <c r="AG1154" s="208"/>
      <c r="AH1154" s="208"/>
      <c r="AI1154" s="208"/>
      <c r="AJ1154" s="208"/>
      <c r="AK1154" s="208"/>
      <c r="AL1154" s="208"/>
      <c r="AM1154" s="208"/>
      <c r="AN1154" s="208"/>
      <c r="AO1154" s="208"/>
      <c r="AP1154" s="208"/>
      <c r="AQ1154" s="208"/>
      <c r="AR1154" s="208"/>
      <c r="AS1154" s="208"/>
      <c r="AT1154" s="208"/>
      <c r="AU1154" s="208"/>
      <c r="AV1154" s="208"/>
      <c r="AW1154" s="208"/>
      <c r="AX1154" s="208"/>
      <c r="AY1154" s="208"/>
      <c r="AZ1154" s="208"/>
      <c r="BA1154" s="208"/>
      <c r="BB1154" s="208"/>
      <c r="BC1154" s="208"/>
      <c r="BD1154" s="208"/>
      <c r="BE1154" s="208"/>
      <c r="BF1154" s="208"/>
      <c r="BG1154" s="208"/>
      <c r="BH1154" s="208"/>
      <c r="BI1154" s="323"/>
    </row>
    <row r="1155" spans="3:61" ht="15" customHeight="1">
      <c r="C1155" s="327"/>
      <c r="D1155" s="328"/>
      <c r="E1155" s="213"/>
      <c r="F1155" s="213"/>
      <c r="G1155" s="213"/>
      <c r="H1155" s="213"/>
      <c r="I1155" s="213"/>
      <c r="K1155" s="56"/>
      <c r="L1155" s="312"/>
      <c r="M1155" s="312"/>
      <c r="N1155" s="312"/>
      <c r="O1155" s="312"/>
      <c r="P1155" s="318" t="str">
        <f t="shared" si="53"/>
        <v/>
      </c>
      <c r="Q1155" s="205" t="str">
        <f t="shared" si="51"/>
        <v/>
      </c>
      <c r="R1155" s="176"/>
      <c r="S1155" s="319" t="str">
        <f t="shared" si="52"/>
        <v/>
      </c>
      <c r="U1155" s="318"/>
      <c r="V1155" s="794"/>
      <c r="W1155" s="795"/>
      <c r="X1155" s="482"/>
      <c r="Y1155" s="482"/>
      <c r="Z1155" s="482"/>
      <c r="AA1155" s="319"/>
      <c r="AB1155" s="220"/>
      <c r="AC1155" s="318"/>
      <c r="AD1155" s="319"/>
      <c r="AE1155" s="220"/>
      <c r="AF1155" s="320"/>
      <c r="AG1155" s="205"/>
      <c r="AH1155" s="205"/>
      <c r="AI1155" s="205"/>
      <c r="AJ1155" s="205"/>
      <c r="AK1155" s="205"/>
      <c r="AL1155" s="205"/>
      <c r="AM1155" s="205"/>
      <c r="AN1155" s="205"/>
      <c r="AO1155" s="205"/>
      <c r="AP1155" s="205"/>
      <c r="AQ1155" s="205"/>
      <c r="AR1155" s="205"/>
      <c r="AS1155" s="205"/>
      <c r="AT1155" s="205"/>
      <c r="AU1155" s="205"/>
      <c r="AV1155" s="205"/>
      <c r="AW1155" s="205"/>
      <c r="AX1155" s="205"/>
      <c r="AY1155" s="205"/>
      <c r="AZ1155" s="205"/>
      <c r="BA1155" s="205"/>
      <c r="BB1155" s="205"/>
      <c r="BC1155" s="205"/>
      <c r="BD1155" s="205"/>
      <c r="BE1155" s="205"/>
      <c r="BF1155" s="205"/>
      <c r="BG1155" s="205"/>
      <c r="BH1155" s="205"/>
      <c r="BI1155" s="319"/>
    </row>
    <row r="1156" spans="3:61" ht="15" customHeight="1">
      <c r="C1156" s="327"/>
      <c r="D1156" s="328"/>
      <c r="E1156" s="213"/>
      <c r="F1156" s="213"/>
      <c r="G1156" s="213"/>
      <c r="H1156" s="213"/>
      <c r="I1156" s="213"/>
      <c r="K1156" s="56"/>
      <c r="L1156" s="312"/>
      <c r="M1156" s="312"/>
      <c r="N1156" s="312"/>
      <c r="O1156" s="312"/>
      <c r="P1156" s="322" t="str">
        <f t="shared" si="53"/>
        <v/>
      </c>
      <c r="Q1156" s="208" t="str">
        <f t="shared" si="51"/>
        <v/>
      </c>
      <c r="R1156" s="175"/>
      <c r="S1156" s="323" t="str">
        <f t="shared" si="52"/>
        <v/>
      </c>
      <c r="U1156" s="322"/>
      <c r="V1156" s="791"/>
      <c r="W1156" s="792"/>
      <c r="X1156" s="480"/>
      <c r="Y1156" s="480"/>
      <c r="Z1156" s="480"/>
      <c r="AA1156" s="323"/>
      <c r="AB1156" s="220"/>
      <c r="AC1156" s="322"/>
      <c r="AD1156" s="323"/>
      <c r="AE1156" s="220"/>
      <c r="AF1156" s="324"/>
      <c r="AG1156" s="208"/>
      <c r="AH1156" s="208"/>
      <c r="AI1156" s="208"/>
      <c r="AJ1156" s="208"/>
      <c r="AK1156" s="208"/>
      <c r="AL1156" s="208"/>
      <c r="AM1156" s="208"/>
      <c r="AN1156" s="208"/>
      <c r="AO1156" s="208"/>
      <c r="AP1156" s="208"/>
      <c r="AQ1156" s="208"/>
      <c r="AR1156" s="208"/>
      <c r="AS1156" s="208"/>
      <c r="AT1156" s="208"/>
      <c r="AU1156" s="208"/>
      <c r="AV1156" s="208"/>
      <c r="AW1156" s="208"/>
      <c r="AX1156" s="208"/>
      <c r="AY1156" s="208"/>
      <c r="AZ1156" s="208"/>
      <c r="BA1156" s="208"/>
      <c r="BB1156" s="208"/>
      <c r="BC1156" s="208"/>
      <c r="BD1156" s="208"/>
      <c r="BE1156" s="208"/>
      <c r="BF1156" s="208"/>
      <c r="BG1156" s="208"/>
      <c r="BH1156" s="208"/>
      <c r="BI1156" s="323"/>
    </row>
    <row r="1157" spans="3:61" ht="15" customHeight="1">
      <c r="C1157" s="327"/>
      <c r="D1157" s="328"/>
      <c r="E1157" s="213"/>
      <c r="F1157" s="213"/>
      <c r="G1157" s="213"/>
      <c r="H1157" s="213"/>
      <c r="I1157" s="213"/>
      <c r="K1157" s="56"/>
      <c r="L1157" s="312"/>
      <c r="M1157" s="312"/>
      <c r="N1157" s="312"/>
      <c r="O1157" s="312"/>
      <c r="P1157" s="318" t="str">
        <f t="shared" si="53"/>
        <v/>
      </c>
      <c r="Q1157" s="205" t="str">
        <f t="shared" si="51"/>
        <v/>
      </c>
      <c r="R1157" s="176"/>
      <c r="S1157" s="319" t="str">
        <f t="shared" si="52"/>
        <v/>
      </c>
      <c r="U1157" s="318"/>
      <c r="V1157" s="794"/>
      <c r="W1157" s="795"/>
      <c r="X1157" s="482"/>
      <c r="Y1157" s="482"/>
      <c r="Z1157" s="482"/>
      <c r="AA1157" s="319"/>
      <c r="AB1157" s="220"/>
      <c r="AC1157" s="318"/>
      <c r="AD1157" s="319"/>
      <c r="AE1157" s="220"/>
      <c r="AF1157" s="320"/>
      <c r="AG1157" s="205"/>
      <c r="AH1157" s="205"/>
      <c r="AI1157" s="205"/>
      <c r="AJ1157" s="205"/>
      <c r="AK1157" s="205"/>
      <c r="AL1157" s="205"/>
      <c r="AM1157" s="205"/>
      <c r="AN1157" s="205"/>
      <c r="AO1157" s="205"/>
      <c r="AP1157" s="205"/>
      <c r="AQ1157" s="205"/>
      <c r="AR1157" s="205"/>
      <c r="AS1157" s="205"/>
      <c r="AT1157" s="205"/>
      <c r="AU1157" s="205"/>
      <c r="AV1157" s="205"/>
      <c r="AW1157" s="205"/>
      <c r="AX1157" s="205"/>
      <c r="AY1157" s="205"/>
      <c r="AZ1157" s="205"/>
      <c r="BA1157" s="205"/>
      <c r="BB1157" s="205"/>
      <c r="BC1157" s="205"/>
      <c r="BD1157" s="205"/>
      <c r="BE1157" s="205"/>
      <c r="BF1157" s="205"/>
      <c r="BG1157" s="205"/>
      <c r="BH1157" s="205"/>
      <c r="BI1157" s="319"/>
    </row>
    <row r="1158" spans="3:61" ht="15" customHeight="1">
      <c r="C1158" s="327"/>
      <c r="D1158" s="328"/>
      <c r="E1158" s="213"/>
      <c r="F1158" s="213"/>
      <c r="G1158" s="213"/>
      <c r="H1158" s="213"/>
      <c r="I1158" s="213"/>
      <c r="K1158" s="56"/>
      <c r="L1158" s="312"/>
      <c r="M1158" s="312"/>
      <c r="N1158" s="312"/>
      <c r="O1158" s="312"/>
      <c r="P1158" s="322" t="str">
        <f t="shared" si="53"/>
        <v/>
      </c>
      <c r="Q1158" s="208" t="str">
        <f t="shared" si="51"/>
        <v/>
      </c>
      <c r="R1158" s="175"/>
      <c r="S1158" s="323" t="str">
        <f t="shared" si="52"/>
        <v/>
      </c>
      <c r="U1158" s="322"/>
      <c r="V1158" s="791"/>
      <c r="W1158" s="792"/>
      <c r="X1158" s="480"/>
      <c r="Y1158" s="480"/>
      <c r="Z1158" s="480"/>
      <c r="AA1158" s="323"/>
      <c r="AB1158" s="220"/>
      <c r="AC1158" s="322"/>
      <c r="AD1158" s="323"/>
      <c r="AE1158" s="220"/>
      <c r="AF1158" s="324"/>
      <c r="AG1158" s="208"/>
      <c r="AH1158" s="208"/>
      <c r="AI1158" s="208"/>
      <c r="AJ1158" s="208"/>
      <c r="AK1158" s="208"/>
      <c r="AL1158" s="208"/>
      <c r="AM1158" s="208"/>
      <c r="AN1158" s="208"/>
      <c r="AO1158" s="208"/>
      <c r="AP1158" s="208"/>
      <c r="AQ1158" s="208"/>
      <c r="AR1158" s="208"/>
      <c r="AS1158" s="208"/>
      <c r="AT1158" s="208"/>
      <c r="AU1158" s="208"/>
      <c r="AV1158" s="208"/>
      <c r="AW1158" s="208"/>
      <c r="AX1158" s="208"/>
      <c r="AY1158" s="208"/>
      <c r="AZ1158" s="208"/>
      <c r="BA1158" s="208"/>
      <c r="BB1158" s="208"/>
      <c r="BC1158" s="208"/>
      <c r="BD1158" s="208"/>
      <c r="BE1158" s="208"/>
      <c r="BF1158" s="208"/>
      <c r="BG1158" s="208"/>
      <c r="BH1158" s="208"/>
      <c r="BI1158" s="323"/>
    </row>
    <row r="1159" spans="3:61" ht="15" customHeight="1">
      <c r="C1159" s="327"/>
      <c r="D1159" s="328"/>
      <c r="E1159" s="213"/>
      <c r="F1159" s="213"/>
      <c r="G1159" s="213"/>
      <c r="H1159" s="213"/>
      <c r="I1159" s="213"/>
      <c r="K1159" s="56"/>
      <c r="L1159" s="312"/>
      <c r="M1159" s="312"/>
      <c r="N1159" s="312"/>
      <c r="O1159" s="312"/>
      <c r="P1159" s="318" t="str">
        <f t="shared" si="53"/>
        <v/>
      </c>
      <c r="Q1159" s="205" t="str">
        <f t="shared" si="51"/>
        <v/>
      </c>
      <c r="R1159" s="176"/>
      <c r="S1159" s="319" t="str">
        <f t="shared" si="52"/>
        <v/>
      </c>
      <c r="U1159" s="318"/>
      <c r="V1159" s="794"/>
      <c r="W1159" s="795"/>
      <c r="X1159" s="482"/>
      <c r="Y1159" s="482"/>
      <c r="Z1159" s="482"/>
      <c r="AA1159" s="319"/>
      <c r="AB1159" s="220"/>
      <c r="AC1159" s="318"/>
      <c r="AD1159" s="319"/>
      <c r="AE1159" s="220"/>
      <c r="AF1159" s="320"/>
      <c r="AG1159" s="205"/>
      <c r="AH1159" s="205"/>
      <c r="AI1159" s="205"/>
      <c r="AJ1159" s="205"/>
      <c r="AK1159" s="205"/>
      <c r="AL1159" s="205"/>
      <c r="AM1159" s="205"/>
      <c r="AN1159" s="205"/>
      <c r="AO1159" s="205"/>
      <c r="AP1159" s="205"/>
      <c r="AQ1159" s="205"/>
      <c r="AR1159" s="205"/>
      <c r="AS1159" s="205"/>
      <c r="AT1159" s="205"/>
      <c r="AU1159" s="205"/>
      <c r="AV1159" s="205"/>
      <c r="AW1159" s="205"/>
      <c r="AX1159" s="205"/>
      <c r="AY1159" s="205"/>
      <c r="AZ1159" s="205"/>
      <c r="BA1159" s="205"/>
      <c r="BB1159" s="205"/>
      <c r="BC1159" s="205"/>
      <c r="BD1159" s="205"/>
      <c r="BE1159" s="205"/>
      <c r="BF1159" s="205"/>
      <c r="BG1159" s="205"/>
      <c r="BH1159" s="205"/>
      <c r="BI1159" s="319"/>
    </row>
    <row r="1160" spans="3:61" ht="15" customHeight="1">
      <c r="C1160" s="327"/>
      <c r="D1160" s="328"/>
      <c r="E1160" s="213"/>
      <c r="F1160" s="213"/>
      <c r="G1160" s="213"/>
      <c r="H1160" s="213"/>
      <c r="I1160" s="213"/>
      <c r="K1160" s="56"/>
      <c r="L1160" s="312"/>
      <c r="M1160" s="312"/>
      <c r="N1160" s="312"/>
      <c r="O1160" s="312"/>
      <c r="P1160" s="322" t="str">
        <f t="shared" si="53"/>
        <v/>
      </c>
      <c r="Q1160" s="208" t="str">
        <f t="shared" si="51"/>
        <v/>
      </c>
      <c r="R1160" s="175"/>
      <c r="S1160" s="323" t="str">
        <f t="shared" si="52"/>
        <v/>
      </c>
      <c r="U1160" s="322"/>
      <c r="V1160" s="791"/>
      <c r="W1160" s="792"/>
      <c r="X1160" s="480"/>
      <c r="Y1160" s="480"/>
      <c r="Z1160" s="480"/>
      <c r="AA1160" s="323"/>
      <c r="AB1160" s="220"/>
      <c r="AC1160" s="322"/>
      <c r="AD1160" s="323"/>
      <c r="AE1160" s="220"/>
      <c r="AF1160" s="324"/>
      <c r="AG1160" s="208"/>
      <c r="AH1160" s="208"/>
      <c r="AI1160" s="208"/>
      <c r="AJ1160" s="208"/>
      <c r="AK1160" s="208"/>
      <c r="AL1160" s="208"/>
      <c r="AM1160" s="208"/>
      <c r="AN1160" s="208"/>
      <c r="AO1160" s="208"/>
      <c r="AP1160" s="208"/>
      <c r="AQ1160" s="208"/>
      <c r="AR1160" s="208"/>
      <c r="AS1160" s="208"/>
      <c r="AT1160" s="208"/>
      <c r="AU1160" s="208"/>
      <c r="AV1160" s="208"/>
      <c r="AW1160" s="208"/>
      <c r="AX1160" s="208"/>
      <c r="AY1160" s="208"/>
      <c r="AZ1160" s="208"/>
      <c r="BA1160" s="208"/>
      <c r="BB1160" s="208"/>
      <c r="BC1160" s="208"/>
      <c r="BD1160" s="208"/>
      <c r="BE1160" s="208"/>
      <c r="BF1160" s="208"/>
      <c r="BG1160" s="208"/>
      <c r="BH1160" s="208"/>
      <c r="BI1160" s="323"/>
    </row>
    <row r="1161" spans="3:61" ht="15" customHeight="1">
      <c r="C1161" s="327"/>
      <c r="D1161" s="328"/>
      <c r="E1161" s="213"/>
      <c r="F1161" s="213"/>
      <c r="G1161" s="213"/>
      <c r="H1161" s="213"/>
      <c r="I1161" s="213"/>
      <c r="K1161" s="56"/>
      <c r="L1161" s="312"/>
      <c r="M1161" s="312"/>
      <c r="N1161" s="312"/>
      <c r="O1161" s="312"/>
      <c r="P1161" s="318" t="str">
        <f t="shared" si="53"/>
        <v/>
      </c>
      <c r="Q1161" s="205" t="str">
        <f t="shared" si="51"/>
        <v/>
      </c>
      <c r="R1161" s="176"/>
      <c r="S1161" s="319" t="str">
        <f t="shared" si="52"/>
        <v/>
      </c>
      <c r="U1161" s="318"/>
      <c r="V1161" s="794"/>
      <c r="W1161" s="795"/>
      <c r="X1161" s="482"/>
      <c r="Y1161" s="482"/>
      <c r="Z1161" s="482"/>
      <c r="AA1161" s="319"/>
      <c r="AB1161" s="220"/>
      <c r="AC1161" s="318"/>
      <c r="AD1161" s="319"/>
      <c r="AE1161" s="220"/>
      <c r="AF1161" s="320"/>
      <c r="AG1161" s="205"/>
      <c r="AH1161" s="205"/>
      <c r="AI1161" s="205"/>
      <c r="AJ1161" s="205"/>
      <c r="AK1161" s="205"/>
      <c r="AL1161" s="205"/>
      <c r="AM1161" s="205"/>
      <c r="AN1161" s="205"/>
      <c r="AO1161" s="205"/>
      <c r="AP1161" s="205"/>
      <c r="AQ1161" s="205"/>
      <c r="AR1161" s="205"/>
      <c r="AS1161" s="205"/>
      <c r="AT1161" s="205"/>
      <c r="AU1161" s="205"/>
      <c r="AV1161" s="205"/>
      <c r="AW1161" s="205"/>
      <c r="AX1161" s="205"/>
      <c r="AY1161" s="205"/>
      <c r="AZ1161" s="205"/>
      <c r="BA1161" s="205"/>
      <c r="BB1161" s="205"/>
      <c r="BC1161" s="205"/>
      <c r="BD1161" s="205"/>
      <c r="BE1161" s="205"/>
      <c r="BF1161" s="205"/>
      <c r="BG1161" s="205"/>
      <c r="BH1161" s="205"/>
      <c r="BI1161" s="319"/>
    </row>
    <row r="1162" spans="3:61" ht="15" customHeight="1">
      <c r="C1162" s="327"/>
      <c r="D1162" s="328"/>
      <c r="E1162" s="213"/>
      <c r="F1162" s="213"/>
      <c r="G1162" s="213"/>
      <c r="H1162" s="213"/>
      <c r="I1162" s="213"/>
      <c r="K1162" s="56"/>
      <c r="L1162" s="312"/>
      <c r="M1162" s="312"/>
      <c r="N1162" s="312"/>
      <c r="O1162" s="312"/>
      <c r="P1162" s="322" t="str">
        <f t="shared" si="53"/>
        <v/>
      </c>
      <c r="Q1162" s="208" t="str">
        <f t="shared" si="51"/>
        <v/>
      </c>
      <c r="R1162" s="175"/>
      <c r="S1162" s="323" t="str">
        <f t="shared" si="52"/>
        <v/>
      </c>
      <c r="U1162" s="322"/>
      <c r="V1162" s="791"/>
      <c r="W1162" s="792"/>
      <c r="X1162" s="480"/>
      <c r="Y1162" s="480"/>
      <c r="Z1162" s="480"/>
      <c r="AA1162" s="323"/>
      <c r="AB1162" s="220"/>
      <c r="AC1162" s="322"/>
      <c r="AD1162" s="323"/>
      <c r="AE1162" s="220"/>
      <c r="AF1162" s="324"/>
      <c r="AG1162" s="208"/>
      <c r="AH1162" s="208"/>
      <c r="AI1162" s="208"/>
      <c r="AJ1162" s="208"/>
      <c r="AK1162" s="208"/>
      <c r="AL1162" s="208"/>
      <c r="AM1162" s="208"/>
      <c r="AN1162" s="208"/>
      <c r="AO1162" s="208"/>
      <c r="AP1162" s="208"/>
      <c r="AQ1162" s="208"/>
      <c r="AR1162" s="208"/>
      <c r="AS1162" s="208"/>
      <c r="AT1162" s="208"/>
      <c r="AU1162" s="208"/>
      <c r="AV1162" s="208"/>
      <c r="AW1162" s="208"/>
      <c r="AX1162" s="208"/>
      <c r="AY1162" s="208"/>
      <c r="AZ1162" s="208"/>
      <c r="BA1162" s="208"/>
      <c r="BB1162" s="208"/>
      <c r="BC1162" s="208"/>
      <c r="BD1162" s="208"/>
      <c r="BE1162" s="208"/>
      <c r="BF1162" s="208"/>
      <c r="BG1162" s="208"/>
      <c r="BH1162" s="208"/>
      <c r="BI1162" s="323"/>
    </row>
    <row r="1163" spans="3:61" ht="15" customHeight="1">
      <c r="C1163" s="327"/>
      <c r="D1163" s="328"/>
      <c r="E1163" s="213"/>
      <c r="F1163" s="213"/>
      <c r="G1163" s="213"/>
      <c r="H1163" s="213"/>
      <c r="I1163" s="213"/>
      <c r="K1163" s="56"/>
      <c r="L1163" s="312"/>
      <c r="M1163" s="312"/>
      <c r="N1163" s="312"/>
      <c r="O1163" s="312"/>
      <c r="P1163" s="318" t="str">
        <f t="shared" si="53"/>
        <v/>
      </c>
      <c r="Q1163" s="205" t="str">
        <f t="shared" ref="Q1163:Q1226" si="54">IF($AA1163 = "", "", $AA1163/$AA$10*100)</f>
        <v/>
      </c>
      <c r="R1163" s="176"/>
      <c r="S1163" s="319" t="str">
        <f t="shared" ref="S1163:S1226" si="55">IF($AD1163 = "", "", $AD1163/$AD$10*100)</f>
        <v/>
      </c>
      <c r="U1163" s="318"/>
      <c r="V1163" s="794"/>
      <c r="W1163" s="795"/>
      <c r="X1163" s="482"/>
      <c r="Y1163" s="482"/>
      <c r="Z1163" s="482"/>
      <c r="AA1163" s="319"/>
      <c r="AB1163" s="220"/>
      <c r="AC1163" s="318"/>
      <c r="AD1163" s="319"/>
      <c r="AE1163" s="220"/>
      <c r="AF1163" s="320"/>
      <c r="AG1163" s="205"/>
      <c r="AH1163" s="205"/>
      <c r="AI1163" s="205"/>
      <c r="AJ1163" s="205"/>
      <c r="AK1163" s="205"/>
      <c r="AL1163" s="205"/>
      <c r="AM1163" s="205"/>
      <c r="AN1163" s="205"/>
      <c r="AO1163" s="205"/>
      <c r="AP1163" s="205"/>
      <c r="AQ1163" s="205"/>
      <c r="AR1163" s="205"/>
      <c r="AS1163" s="205"/>
      <c r="AT1163" s="205"/>
      <c r="AU1163" s="205"/>
      <c r="AV1163" s="205"/>
      <c r="AW1163" s="205"/>
      <c r="AX1163" s="205"/>
      <c r="AY1163" s="205"/>
      <c r="AZ1163" s="205"/>
      <c r="BA1163" s="205"/>
      <c r="BB1163" s="205"/>
      <c r="BC1163" s="205"/>
      <c r="BD1163" s="205"/>
      <c r="BE1163" s="205"/>
      <c r="BF1163" s="205"/>
      <c r="BG1163" s="205"/>
      <c r="BH1163" s="205"/>
      <c r="BI1163" s="319"/>
    </row>
    <row r="1164" spans="3:61" ht="15" customHeight="1">
      <c r="C1164" s="327"/>
      <c r="D1164" s="328"/>
      <c r="E1164" s="213"/>
      <c r="F1164" s="213"/>
      <c r="G1164" s="213"/>
      <c r="H1164" s="213"/>
      <c r="I1164" s="213"/>
      <c r="K1164" s="56"/>
      <c r="L1164" s="312"/>
      <c r="M1164" s="312"/>
      <c r="N1164" s="312"/>
      <c r="O1164" s="312"/>
      <c r="P1164" s="322" t="str">
        <f t="shared" ref="P1164:P1227" si="56">IF(U1164="", "", U1164)</f>
        <v/>
      </c>
      <c r="Q1164" s="208" t="str">
        <f t="shared" si="54"/>
        <v/>
      </c>
      <c r="R1164" s="175"/>
      <c r="S1164" s="323" t="str">
        <f t="shared" si="55"/>
        <v/>
      </c>
      <c r="U1164" s="322"/>
      <c r="V1164" s="791"/>
      <c r="W1164" s="792"/>
      <c r="X1164" s="480"/>
      <c r="Y1164" s="480"/>
      <c r="Z1164" s="480"/>
      <c r="AA1164" s="323"/>
      <c r="AB1164" s="220"/>
      <c r="AC1164" s="322"/>
      <c r="AD1164" s="323"/>
      <c r="AE1164" s="220"/>
      <c r="AF1164" s="324"/>
      <c r="AG1164" s="208"/>
      <c r="AH1164" s="208"/>
      <c r="AI1164" s="208"/>
      <c r="AJ1164" s="208"/>
      <c r="AK1164" s="208"/>
      <c r="AL1164" s="208"/>
      <c r="AM1164" s="208"/>
      <c r="AN1164" s="208"/>
      <c r="AO1164" s="208"/>
      <c r="AP1164" s="208"/>
      <c r="AQ1164" s="208"/>
      <c r="AR1164" s="208"/>
      <c r="AS1164" s="208"/>
      <c r="AT1164" s="208"/>
      <c r="AU1164" s="208"/>
      <c r="AV1164" s="208"/>
      <c r="AW1164" s="208"/>
      <c r="AX1164" s="208"/>
      <c r="AY1164" s="208"/>
      <c r="AZ1164" s="208"/>
      <c r="BA1164" s="208"/>
      <c r="BB1164" s="208"/>
      <c r="BC1164" s="208"/>
      <c r="BD1164" s="208"/>
      <c r="BE1164" s="208"/>
      <c r="BF1164" s="208"/>
      <c r="BG1164" s="208"/>
      <c r="BH1164" s="208"/>
      <c r="BI1164" s="323"/>
    </row>
    <row r="1165" spans="3:61" ht="15" customHeight="1">
      <c r="C1165" s="327"/>
      <c r="D1165" s="328"/>
      <c r="E1165" s="213"/>
      <c r="F1165" s="213"/>
      <c r="G1165" s="213"/>
      <c r="H1165" s="213"/>
      <c r="I1165" s="213"/>
      <c r="K1165" s="56"/>
      <c r="L1165" s="312"/>
      <c r="M1165" s="312"/>
      <c r="N1165" s="312"/>
      <c r="O1165" s="312"/>
      <c r="P1165" s="318" t="str">
        <f t="shared" si="56"/>
        <v/>
      </c>
      <c r="Q1165" s="205" t="str">
        <f t="shared" si="54"/>
        <v/>
      </c>
      <c r="R1165" s="176"/>
      <c r="S1165" s="319" t="str">
        <f t="shared" si="55"/>
        <v/>
      </c>
      <c r="U1165" s="318"/>
      <c r="V1165" s="794"/>
      <c r="W1165" s="795"/>
      <c r="X1165" s="482"/>
      <c r="Y1165" s="482"/>
      <c r="Z1165" s="482"/>
      <c r="AA1165" s="319"/>
      <c r="AB1165" s="220"/>
      <c r="AC1165" s="318"/>
      <c r="AD1165" s="319"/>
      <c r="AE1165" s="220"/>
      <c r="AF1165" s="320"/>
      <c r="AG1165" s="205"/>
      <c r="AH1165" s="205"/>
      <c r="AI1165" s="205"/>
      <c r="AJ1165" s="205"/>
      <c r="AK1165" s="205"/>
      <c r="AL1165" s="205"/>
      <c r="AM1165" s="205"/>
      <c r="AN1165" s="205"/>
      <c r="AO1165" s="205"/>
      <c r="AP1165" s="205"/>
      <c r="AQ1165" s="205"/>
      <c r="AR1165" s="205"/>
      <c r="AS1165" s="205"/>
      <c r="AT1165" s="205"/>
      <c r="AU1165" s="205"/>
      <c r="AV1165" s="205"/>
      <c r="AW1165" s="205"/>
      <c r="AX1165" s="205"/>
      <c r="AY1165" s="205"/>
      <c r="AZ1165" s="205"/>
      <c r="BA1165" s="205"/>
      <c r="BB1165" s="205"/>
      <c r="BC1165" s="205"/>
      <c r="BD1165" s="205"/>
      <c r="BE1165" s="205"/>
      <c r="BF1165" s="205"/>
      <c r="BG1165" s="205"/>
      <c r="BH1165" s="205"/>
      <c r="BI1165" s="319"/>
    </row>
    <row r="1166" spans="3:61" ht="15" customHeight="1">
      <c r="C1166" s="327"/>
      <c r="D1166" s="328"/>
      <c r="E1166" s="213"/>
      <c r="F1166" s="213"/>
      <c r="G1166" s="213"/>
      <c r="H1166" s="213"/>
      <c r="I1166" s="213"/>
      <c r="K1166" s="56"/>
      <c r="L1166" s="312"/>
      <c r="M1166" s="312"/>
      <c r="N1166" s="312"/>
      <c r="O1166" s="312"/>
      <c r="P1166" s="322" t="str">
        <f t="shared" si="56"/>
        <v/>
      </c>
      <c r="Q1166" s="208" t="str">
        <f t="shared" si="54"/>
        <v/>
      </c>
      <c r="R1166" s="175"/>
      <c r="S1166" s="323" t="str">
        <f t="shared" si="55"/>
        <v/>
      </c>
      <c r="U1166" s="322"/>
      <c r="V1166" s="791"/>
      <c r="W1166" s="792"/>
      <c r="X1166" s="480"/>
      <c r="Y1166" s="480"/>
      <c r="Z1166" s="480"/>
      <c r="AA1166" s="323"/>
      <c r="AB1166" s="220"/>
      <c r="AC1166" s="322"/>
      <c r="AD1166" s="323"/>
      <c r="AE1166" s="220"/>
      <c r="AF1166" s="324"/>
      <c r="AG1166" s="208"/>
      <c r="AH1166" s="208"/>
      <c r="AI1166" s="208"/>
      <c r="AJ1166" s="208"/>
      <c r="AK1166" s="208"/>
      <c r="AL1166" s="208"/>
      <c r="AM1166" s="208"/>
      <c r="AN1166" s="208"/>
      <c r="AO1166" s="208"/>
      <c r="AP1166" s="208"/>
      <c r="AQ1166" s="208"/>
      <c r="AR1166" s="208"/>
      <c r="AS1166" s="208"/>
      <c r="AT1166" s="208"/>
      <c r="AU1166" s="208"/>
      <c r="AV1166" s="208"/>
      <c r="AW1166" s="208"/>
      <c r="AX1166" s="208"/>
      <c r="AY1166" s="208"/>
      <c r="AZ1166" s="208"/>
      <c r="BA1166" s="208"/>
      <c r="BB1166" s="208"/>
      <c r="BC1166" s="208"/>
      <c r="BD1166" s="208"/>
      <c r="BE1166" s="208"/>
      <c r="BF1166" s="208"/>
      <c r="BG1166" s="208"/>
      <c r="BH1166" s="208"/>
      <c r="BI1166" s="323"/>
    </row>
    <row r="1167" spans="3:61" ht="15" customHeight="1">
      <c r="C1167" s="327"/>
      <c r="D1167" s="328"/>
      <c r="E1167" s="213"/>
      <c r="F1167" s="213"/>
      <c r="G1167" s="213"/>
      <c r="H1167" s="213"/>
      <c r="I1167" s="213"/>
      <c r="K1167" s="56"/>
      <c r="L1167" s="312"/>
      <c r="M1167" s="312"/>
      <c r="N1167" s="312"/>
      <c r="O1167" s="312"/>
      <c r="P1167" s="318" t="str">
        <f t="shared" si="56"/>
        <v/>
      </c>
      <c r="Q1167" s="205" t="str">
        <f t="shared" si="54"/>
        <v/>
      </c>
      <c r="R1167" s="176"/>
      <c r="S1167" s="319" t="str">
        <f t="shared" si="55"/>
        <v/>
      </c>
      <c r="U1167" s="318"/>
      <c r="V1167" s="794"/>
      <c r="W1167" s="795"/>
      <c r="X1167" s="482"/>
      <c r="Y1167" s="482"/>
      <c r="Z1167" s="482"/>
      <c r="AA1167" s="319"/>
      <c r="AB1167" s="220"/>
      <c r="AC1167" s="318"/>
      <c r="AD1167" s="319"/>
      <c r="AE1167" s="220"/>
      <c r="AF1167" s="320"/>
      <c r="AG1167" s="205"/>
      <c r="AH1167" s="205"/>
      <c r="AI1167" s="205"/>
      <c r="AJ1167" s="205"/>
      <c r="AK1167" s="205"/>
      <c r="AL1167" s="205"/>
      <c r="AM1167" s="205"/>
      <c r="AN1167" s="205"/>
      <c r="AO1167" s="205"/>
      <c r="AP1167" s="205"/>
      <c r="AQ1167" s="205"/>
      <c r="AR1167" s="205"/>
      <c r="AS1167" s="205"/>
      <c r="AT1167" s="205"/>
      <c r="AU1167" s="205"/>
      <c r="AV1167" s="205"/>
      <c r="AW1167" s="205"/>
      <c r="AX1167" s="205"/>
      <c r="AY1167" s="205"/>
      <c r="AZ1167" s="205"/>
      <c r="BA1167" s="205"/>
      <c r="BB1167" s="205"/>
      <c r="BC1167" s="205"/>
      <c r="BD1167" s="205"/>
      <c r="BE1167" s="205"/>
      <c r="BF1167" s="205"/>
      <c r="BG1167" s="205"/>
      <c r="BH1167" s="205"/>
      <c r="BI1167" s="319"/>
    </row>
    <row r="1168" spans="3:61" ht="15" customHeight="1">
      <c r="C1168" s="327"/>
      <c r="D1168" s="328"/>
      <c r="E1168" s="213"/>
      <c r="F1168" s="213"/>
      <c r="G1168" s="213"/>
      <c r="H1168" s="213"/>
      <c r="I1168" s="213"/>
      <c r="K1168" s="56"/>
      <c r="L1168" s="312"/>
      <c r="M1168" s="312"/>
      <c r="N1168" s="312"/>
      <c r="O1168" s="312"/>
      <c r="P1168" s="322" t="str">
        <f t="shared" si="56"/>
        <v/>
      </c>
      <c r="Q1168" s="208" t="str">
        <f t="shared" si="54"/>
        <v/>
      </c>
      <c r="R1168" s="175"/>
      <c r="S1168" s="323" t="str">
        <f t="shared" si="55"/>
        <v/>
      </c>
      <c r="U1168" s="322"/>
      <c r="V1168" s="791"/>
      <c r="W1168" s="792"/>
      <c r="X1168" s="480"/>
      <c r="Y1168" s="480"/>
      <c r="Z1168" s="480"/>
      <c r="AA1168" s="323"/>
      <c r="AB1168" s="220"/>
      <c r="AC1168" s="322"/>
      <c r="AD1168" s="323"/>
      <c r="AE1168" s="220"/>
      <c r="AF1168" s="324"/>
      <c r="AG1168" s="208"/>
      <c r="AH1168" s="208"/>
      <c r="AI1168" s="208"/>
      <c r="AJ1168" s="208"/>
      <c r="AK1168" s="208"/>
      <c r="AL1168" s="208"/>
      <c r="AM1168" s="208"/>
      <c r="AN1168" s="208"/>
      <c r="AO1168" s="208"/>
      <c r="AP1168" s="208"/>
      <c r="AQ1168" s="208"/>
      <c r="AR1168" s="208"/>
      <c r="AS1168" s="208"/>
      <c r="AT1168" s="208"/>
      <c r="AU1168" s="208"/>
      <c r="AV1168" s="208"/>
      <c r="AW1168" s="208"/>
      <c r="AX1168" s="208"/>
      <c r="AY1168" s="208"/>
      <c r="AZ1168" s="208"/>
      <c r="BA1168" s="208"/>
      <c r="BB1168" s="208"/>
      <c r="BC1168" s="208"/>
      <c r="BD1168" s="208"/>
      <c r="BE1168" s="208"/>
      <c r="BF1168" s="208"/>
      <c r="BG1168" s="208"/>
      <c r="BH1168" s="208"/>
      <c r="BI1168" s="323"/>
    </row>
    <row r="1169" spans="3:61" ht="15" customHeight="1">
      <c r="C1169" s="327"/>
      <c r="D1169" s="328"/>
      <c r="E1169" s="213"/>
      <c r="F1169" s="213"/>
      <c r="G1169" s="213"/>
      <c r="H1169" s="213"/>
      <c r="I1169" s="213"/>
      <c r="K1169" s="56"/>
      <c r="L1169" s="312"/>
      <c r="M1169" s="312"/>
      <c r="N1169" s="312"/>
      <c r="O1169" s="312"/>
      <c r="P1169" s="318" t="str">
        <f t="shared" si="56"/>
        <v/>
      </c>
      <c r="Q1169" s="205" t="str">
        <f t="shared" si="54"/>
        <v/>
      </c>
      <c r="R1169" s="176"/>
      <c r="S1169" s="319" t="str">
        <f t="shared" si="55"/>
        <v/>
      </c>
      <c r="U1169" s="318"/>
      <c r="V1169" s="794"/>
      <c r="W1169" s="795"/>
      <c r="X1169" s="482"/>
      <c r="Y1169" s="482"/>
      <c r="Z1169" s="482"/>
      <c r="AA1169" s="319"/>
      <c r="AB1169" s="220"/>
      <c r="AC1169" s="318"/>
      <c r="AD1169" s="319"/>
      <c r="AE1169" s="220"/>
      <c r="AF1169" s="320"/>
      <c r="AG1169" s="205"/>
      <c r="AH1169" s="205"/>
      <c r="AI1169" s="205"/>
      <c r="AJ1169" s="205"/>
      <c r="AK1169" s="205"/>
      <c r="AL1169" s="205"/>
      <c r="AM1169" s="205"/>
      <c r="AN1169" s="205"/>
      <c r="AO1169" s="205"/>
      <c r="AP1169" s="205"/>
      <c r="AQ1169" s="205"/>
      <c r="AR1169" s="205"/>
      <c r="AS1169" s="205"/>
      <c r="AT1169" s="205"/>
      <c r="AU1169" s="205"/>
      <c r="AV1169" s="205"/>
      <c r="AW1169" s="205"/>
      <c r="AX1169" s="205"/>
      <c r="AY1169" s="205"/>
      <c r="AZ1169" s="205"/>
      <c r="BA1169" s="205"/>
      <c r="BB1169" s="205"/>
      <c r="BC1169" s="205"/>
      <c r="BD1169" s="205"/>
      <c r="BE1169" s="205"/>
      <c r="BF1169" s="205"/>
      <c r="BG1169" s="205"/>
      <c r="BH1169" s="205"/>
      <c r="BI1169" s="319"/>
    </row>
    <row r="1170" spans="3:61" ht="15" customHeight="1">
      <c r="C1170" s="327"/>
      <c r="D1170" s="328"/>
      <c r="E1170" s="213"/>
      <c r="F1170" s="213"/>
      <c r="G1170" s="213"/>
      <c r="H1170" s="213"/>
      <c r="I1170" s="213"/>
      <c r="K1170" s="56"/>
      <c r="L1170" s="312"/>
      <c r="M1170" s="312"/>
      <c r="N1170" s="312"/>
      <c r="O1170" s="312"/>
      <c r="P1170" s="322" t="str">
        <f t="shared" si="56"/>
        <v/>
      </c>
      <c r="Q1170" s="208" t="str">
        <f t="shared" si="54"/>
        <v/>
      </c>
      <c r="R1170" s="175"/>
      <c r="S1170" s="323" t="str">
        <f t="shared" si="55"/>
        <v/>
      </c>
      <c r="U1170" s="322"/>
      <c r="V1170" s="791"/>
      <c r="W1170" s="792"/>
      <c r="X1170" s="480"/>
      <c r="Y1170" s="480"/>
      <c r="Z1170" s="480"/>
      <c r="AA1170" s="323"/>
      <c r="AB1170" s="220"/>
      <c r="AC1170" s="322"/>
      <c r="AD1170" s="323"/>
      <c r="AE1170" s="220"/>
      <c r="AF1170" s="324"/>
      <c r="AG1170" s="208"/>
      <c r="AH1170" s="208"/>
      <c r="AI1170" s="208"/>
      <c r="AJ1170" s="208"/>
      <c r="AK1170" s="208"/>
      <c r="AL1170" s="208"/>
      <c r="AM1170" s="208"/>
      <c r="AN1170" s="208"/>
      <c r="AO1170" s="208"/>
      <c r="AP1170" s="208"/>
      <c r="AQ1170" s="208"/>
      <c r="AR1170" s="208"/>
      <c r="AS1170" s="208"/>
      <c r="AT1170" s="208"/>
      <c r="AU1170" s="208"/>
      <c r="AV1170" s="208"/>
      <c r="AW1170" s="208"/>
      <c r="AX1170" s="208"/>
      <c r="AY1170" s="208"/>
      <c r="AZ1170" s="208"/>
      <c r="BA1170" s="208"/>
      <c r="BB1170" s="208"/>
      <c r="BC1170" s="208"/>
      <c r="BD1170" s="208"/>
      <c r="BE1170" s="208"/>
      <c r="BF1170" s="208"/>
      <c r="BG1170" s="208"/>
      <c r="BH1170" s="208"/>
      <c r="BI1170" s="323"/>
    </row>
    <row r="1171" spans="3:61" ht="15" customHeight="1">
      <c r="C1171" s="327"/>
      <c r="D1171" s="328"/>
      <c r="E1171" s="213"/>
      <c r="F1171" s="213"/>
      <c r="G1171" s="213"/>
      <c r="H1171" s="213"/>
      <c r="I1171" s="213"/>
      <c r="K1171" s="56"/>
      <c r="L1171" s="312"/>
      <c r="M1171" s="312"/>
      <c r="N1171" s="312"/>
      <c r="O1171" s="312"/>
      <c r="P1171" s="318" t="str">
        <f t="shared" si="56"/>
        <v/>
      </c>
      <c r="Q1171" s="205" t="str">
        <f t="shared" si="54"/>
        <v/>
      </c>
      <c r="R1171" s="176"/>
      <c r="S1171" s="319" t="str">
        <f t="shared" si="55"/>
        <v/>
      </c>
      <c r="U1171" s="318"/>
      <c r="V1171" s="794"/>
      <c r="W1171" s="795"/>
      <c r="X1171" s="482"/>
      <c r="Y1171" s="482"/>
      <c r="Z1171" s="482"/>
      <c r="AA1171" s="319"/>
      <c r="AB1171" s="220"/>
      <c r="AC1171" s="318"/>
      <c r="AD1171" s="319"/>
      <c r="AE1171" s="220"/>
      <c r="AF1171" s="320"/>
      <c r="AG1171" s="205"/>
      <c r="AH1171" s="205"/>
      <c r="AI1171" s="205"/>
      <c r="AJ1171" s="205"/>
      <c r="AK1171" s="205"/>
      <c r="AL1171" s="205"/>
      <c r="AM1171" s="205"/>
      <c r="AN1171" s="205"/>
      <c r="AO1171" s="205"/>
      <c r="AP1171" s="205"/>
      <c r="AQ1171" s="205"/>
      <c r="AR1171" s="205"/>
      <c r="AS1171" s="205"/>
      <c r="AT1171" s="205"/>
      <c r="AU1171" s="205"/>
      <c r="AV1171" s="205"/>
      <c r="AW1171" s="205"/>
      <c r="AX1171" s="205"/>
      <c r="AY1171" s="205"/>
      <c r="AZ1171" s="205"/>
      <c r="BA1171" s="205"/>
      <c r="BB1171" s="205"/>
      <c r="BC1171" s="205"/>
      <c r="BD1171" s="205"/>
      <c r="BE1171" s="205"/>
      <c r="BF1171" s="205"/>
      <c r="BG1171" s="205"/>
      <c r="BH1171" s="205"/>
      <c r="BI1171" s="319"/>
    </row>
    <row r="1172" spans="3:61" ht="15" customHeight="1">
      <c r="C1172" s="327"/>
      <c r="D1172" s="328"/>
      <c r="E1172" s="213"/>
      <c r="F1172" s="213"/>
      <c r="G1172" s="213"/>
      <c r="H1172" s="213"/>
      <c r="I1172" s="213"/>
      <c r="K1172" s="56"/>
      <c r="L1172" s="312"/>
      <c r="M1172" s="312"/>
      <c r="N1172" s="312"/>
      <c r="O1172" s="312"/>
      <c r="P1172" s="322" t="str">
        <f t="shared" si="56"/>
        <v/>
      </c>
      <c r="Q1172" s="208" t="str">
        <f t="shared" si="54"/>
        <v/>
      </c>
      <c r="R1172" s="175"/>
      <c r="S1172" s="323" t="str">
        <f t="shared" si="55"/>
        <v/>
      </c>
      <c r="U1172" s="322"/>
      <c r="V1172" s="791"/>
      <c r="W1172" s="792"/>
      <c r="X1172" s="480"/>
      <c r="Y1172" s="480"/>
      <c r="Z1172" s="480"/>
      <c r="AA1172" s="323"/>
      <c r="AB1172" s="220"/>
      <c r="AC1172" s="322"/>
      <c r="AD1172" s="323"/>
      <c r="AE1172" s="220"/>
      <c r="AF1172" s="324"/>
      <c r="AG1172" s="208"/>
      <c r="AH1172" s="208"/>
      <c r="AI1172" s="208"/>
      <c r="AJ1172" s="208"/>
      <c r="AK1172" s="208"/>
      <c r="AL1172" s="208"/>
      <c r="AM1172" s="208"/>
      <c r="AN1172" s="208"/>
      <c r="AO1172" s="208"/>
      <c r="AP1172" s="208"/>
      <c r="AQ1172" s="208"/>
      <c r="AR1172" s="208"/>
      <c r="AS1172" s="208"/>
      <c r="AT1172" s="208"/>
      <c r="AU1172" s="208"/>
      <c r="AV1172" s="208"/>
      <c r="AW1172" s="208"/>
      <c r="AX1172" s="208"/>
      <c r="AY1172" s="208"/>
      <c r="AZ1172" s="208"/>
      <c r="BA1172" s="208"/>
      <c r="BB1172" s="208"/>
      <c r="BC1172" s="208"/>
      <c r="BD1172" s="208"/>
      <c r="BE1172" s="208"/>
      <c r="BF1172" s="208"/>
      <c r="BG1172" s="208"/>
      <c r="BH1172" s="208"/>
      <c r="BI1172" s="323"/>
    </row>
    <row r="1173" spans="3:61" ht="15" customHeight="1">
      <c r="C1173" s="327"/>
      <c r="D1173" s="328"/>
      <c r="E1173" s="213"/>
      <c r="F1173" s="213"/>
      <c r="G1173" s="213"/>
      <c r="H1173" s="213"/>
      <c r="I1173" s="213"/>
      <c r="K1173" s="56"/>
      <c r="L1173" s="312"/>
      <c r="M1173" s="312"/>
      <c r="N1173" s="312"/>
      <c r="O1173" s="312"/>
      <c r="P1173" s="318" t="str">
        <f t="shared" si="56"/>
        <v/>
      </c>
      <c r="Q1173" s="205" t="str">
        <f t="shared" si="54"/>
        <v/>
      </c>
      <c r="R1173" s="176"/>
      <c r="S1173" s="319" t="str">
        <f t="shared" si="55"/>
        <v/>
      </c>
      <c r="U1173" s="318"/>
      <c r="V1173" s="794"/>
      <c r="W1173" s="795"/>
      <c r="X1173" s="482"/>
      <c r="Y1173" s="482"/>
      <c r="Z1173" s="482"/>
      <c r="AA1173" s="319"/>
      <c r="AB1173" s="220"/>
      <c r="AC1173" s="318"/>
      <c r="AD1173" s="319"/>
      <c r="AE1173" s="220"/>
      <c r="AF1173" s="320"/>
      <c r="AG1173" s="205"/>
      <c r="AH1173" s="205"/>
      <c r="AI1173" s="205"/>
      <c r="AJ1173" s="205"/>
      <c r="AK1173" s="205"/>
      <c r="AL1173" s="205"/>
      <c r="AM1173" s="205"/>
      <c r="AN1173" s="205"/>
      <c r="AO1173" s="205"/>
      <c r="AP1173" s="205"/>
      <c r="AQ1173" s="205"/>
      <c r="AR1173" s="205"/>
      <c r="AS1173" s="205"/>
      <c r="AT1173" s="205"/>
      <c r="AU1173" s="205"/>
      <c r="AV1173" s="205"/>
      <c r="AW1173" s="205"/>
      <c r="AX1173" s="205"/>
      <c r="AY1173" s="205"/>
      <c r="AZ1173" s="205"/>
      <c r="BA1173" s="205"/>
      <c r="BB1173" s="205"/>
      <c r="BC1173" s="205"/>
      <c r="BD1173" s="205"/>
      <c r="BE1173" s="205"/>
      <c r="BF1173" s="205"/>
      <c r="BG1173" s="205"/>
      <c r="BH1173" s="205"/>
      <c r="BI1173" s="319"/>
    </row>
    <row r="1174" spans="3:61" ht="15" customHeight="1">
      <c r="C1174" s="327"/>
      <c r="D1174" s="328"/>
      <c r="E1174" s="213"/>
      <c r="F1174" s="213"/>
      <c r="G1174" s="213"/>
      <c r="H1174" s="213"/>
      <c r="I1174" s="213"/>
      <c r="K1174" s="56"/>
      <c r="L1174" s="312"/>
      <c r="M1174" s="312"/>
      <c r="N1174" s="312"/>
      <c r="O1174" s="312"/>
      <c r="P1174" s="322" t="str">
        <f t="shared" si="56"/>
        <v/>
      </c>
      <c r="Q1174" s="208" t="str">
        <f t="shared" si="54"/>
        <v/>
      </c>
      <c r="R1174" s="175"/>
      <c r="S1174" s="323" t="str">
        <f t="shared" si="55"/>
        <v/>
      </c>
      <c r="U1174" s="322"/>
      <c r="V1174" s="791"/>
      <c r="W1174" s="792"/>
      <c r="X1174" s="480"/>
      <c r="Y1174" s="480"/>
      <c r="Z1174" s="480"/>
      <c r="AA1174" s="323"/>
      <c r="AB1174" s="220"/>
      <c r="AC1174" s="322"/>
      <c r="AD1174" s="323"/>
      <c r="AE1174" s="220"/>
      <c r="AF1174" s="324"/>
      <c r="AG1174" s="208"/>
      <c r="AH1174" s="208"/>
      <c r="AI1174" s="208"/>
      <c r="AJ1174" s="208"/>
      <c r="AK1174" s="208"/>
      <c r="AL1174" s="208"/>
      <c r="AM1174" s="208"/>
      <c r="AN1174" s="208"/>
      <c r="AO1174" s="208"/>
      <c r="AP1174" s="208"/>
      <c r="AQ1174" s="208"/>
      <c r="AR1174" s="208"/>
      <c r="AS1174" s="208"/>
      <c r="AT1174" s="208"/>
      <c r="AU1174" s="208"/>
      <c r="AV1174" s="208"/>
      <c r="AW1174" s="208"/>
      <c r="AX1174" s="208"/>
      <c r="AY1174" s="208"/>
      <c r="AZ1174" s="208"/>
      <c r="BA1174" s="208"/>
      <c r="BB1174" s="208"/>
      <c r="BC1174" s="208"/>
      <c r="BD1174" s="208"/>
      <c r="BE1174" s="208"/>
      <c r="BF1174" s="208"/>
      <c r="BG1174" s="208"/>
      <c r="BH1174" s="208"/>
      <c r="BI1174" s="323"/>
    </row>
    <row r="1175" spans="3:61" ht="15" customHeight="1">
      <c r="C1175" s="327"/>
      <c r="D1175" s="328"/>
      <c r="E1175" s="213"/>
      <c r="F1175" s="213"/>
      <c r="G1175" s="213"/>
      <c r="H1175" s="213"/>
      <c r="I1175" s="213"/>
      <c r="K1175" s="56"/>
      <c r="L1175" s="312"/>
      <c r="M1175" s="312"/>
      <c r="N1175" s="312"/>
      <c r="O1175" s="312"/>
      <c r="P1175" s="318" t="str">
        <f t="shared" si="56"/>
        <v/>
      </c>
      <c r="Q1175" s="205" t="str">
        <f t="shared" si="54"/>
        <v/>
      </c>
      <c r="R1175" s="176"/>
      <c r="S1175" s="319" t="str">
        <f t="shared" si="55"/>
        <v/>
      </c>
      <c r="U1175" s="318"/>
      <c r="V1175" s="794"/>
      <c r="W1175" s="795"/>
      <c r="X1175" s="482"/>
      <c r="Y1175" s="482"/>
      <c r="Z1175" s="482"/>
      <c r="AA1175" s="319"/>
      <c r="AB1175" s="220"/>
      <c r="AC1175" s="318"/>
      <c r="AD1175" s="319"/>
      <c r="AE1175" s="220"/>
      <c r="AF1175" s="320"/>
      <c r="AG1175" s="205"/>
      <c r="AH1175" s="205"/>
      <c r="AI1175" s="205"/>
      <c r="AJ1175" s="205"/>
      <c r="AK1175" s="205"/>
      <c r="AL1175" s="205"/>
      <c r="AM1175" s="205"/>
      <c r="AN1175" s="205"/>
      <c r="AO1175" s="205"/>
      <c r="AP1175" s="205"/>
      <c r="AQ1175" s="205"/>
      <c r="AR1175" s="205"/>
      <c r="AS1175" s="205"/>
      <c r="AT1175" s="205"/>
      <c r="AU1175" s="205"/>
      <c r="AV1175" s="205"/>
      <c r="AW1175" s="205"/>
      <c r="AX1175" s="205"/>
      <c r="AY1175" s="205"/>
      <c r="AZ1175" s="205"/>
      <c r="BA1175" s="205"/>
      <c r="BB1175" s="205"/>
      <c r="BC1175" s="205"/>
      <c r="BD1175" s="205"/>
      <c r="BE1175" s="205"/>
      <c r="BF1175" s="205"/>
      <c r="BG1175" s="205"/>
      <c r="BH1175" s="205"/>
      <c r="BI1175" s="319"/>
    </row>
    <row r="1176" spans="3:61" ht="15" customHeight="1">
      <c r="C1176" s="327"/>
      <c r="D1176" s="328"/>
      <c r="E1176" s="213"/>
      <c r="F1176" s="213"/>
      <c r="G1176" s="213"/>
      <c r="H1176" s="213"/>
      <c r="I1176" s="213"/>
      <c r="K1176" s="56"/>
      <c r="L1176" s="312"/>
      <c r="M1176" s="312"/>
      <c r="N1176" s="312"/>
      <c r="O1176" s="312"/>
      <c r="P1176" s="322" t="str">
        <f t="shared" si="56"/>
        <v/>
      </c>
      <c r="Q1176" s="208" t="str">
        <f t="shared" si="54"/>
        <v/>
      </c>
      <c r="R1176" s="175"/>
      <c r="S1176" s="323" t="str">
        <f t="shared" si="55"/>
        <v/>
      </c>
      <c r="U1176" s="322"/>
      <c r="V1176" s="791"/>
      <c r="W1176" s="792"/>
      <c r="X1176" s="480"/>
      <c r="Y1176" s="480"/>
      <c r="Z1176" s="480"/>
      <c r="AA1176" s="323"/>
      <c r="AB1176" s="220"/>
      <c r="AC1176" s="322"/>
      <c r="AD1176" s="323"/>
      <c r="AE1176" s="220"/>
      <c r="AF1176" s="324"/>
      <c r="AG1176" s="208"/>
      <c r="AH1176" s="208"/>
      <c r="AI1176" s="208"/>
      <c r="AJ1176" s="208"/>
      <c r="AK1176" s="208"/>
      <c r="AL1176" s="208"/>
      <c r="AM1176" s="208"/>
      <c r="AN1176" s="208"/>
      <c r="AO1176" s="208"/>
      <c r="AP1176" s="208"/>
      <c r="AQ1176" s="208"/>
      <c r="AR1176" s="208"/>
      <c r="AS1176" s="208"/>
      <c r="AT1176" s="208"/>
      <c r="AU1176" s="208"/>
      <c r="AV1176" s="208"/>
      <c r="AW1176" s="208"/>
      <c r="AX1176" s="208"/>
      <c r="AY1176" s="208"/>
      <c r="AZ1176" s="208"/>
      <c r="BA1176" s="208"/>
      <c r="BB1176" s="208"/>
      <c r="BC1176" s="208"/>
      <c r="BD1176" s="208"/>
      <c r="BE1176" s="208"/>
      <c r="BF1176" s="208"/>
      <c r="BG1176" s="208"/>
      <c r="BH1176" s="208"/>
      <c r="BI1176" s="323"/>
    </row>
    <row r="1177" spans="3:61" ht="15" customHeight="1">
      <c r="C1177" s="327"/>
      <c r="D1177" s="328"/>
      <c r="E1177" s="213"/>
      <c r="F1177" s="213"/>
      <c r="G1177" s="213"/>
      <c r="H1177" s="213"/>
      <c r="I1177" s="213"/>
      <c r="K1177" s="56"/>
      <c r="L1177" s="312"/>
      <c r="M1177" s="312"/>
      <c r="N1177" s="312"/>
      <c r="O1177" s="312"/>
      <c r="P1177" s="318" t="str">
        <f t="shared" si="56"/>
        <v/>
      </c>
      <c r="Q1177" s="205" t="str">
        <f t="shared" si="54"/>
        <v/>
      </c>
      <c r="R1177" s="176"/>
      <c r="S1177" s="319" t="str">
        <f t="shared" si="55"/>
        <v/>
      </c>
      <c r="U1177" s="318"/>
      <c r="V1177" s="794"/>
      <c r="W1177" s="795"/>
      <c r="X1177" s="482"/>
      <c r="Y1177" s="482"/>
      <c r="Z1177" s="482"/>
      <c r="AA1177" s="319"/>
      <c r="AB1177" s="220"/>
      <c r="AC1177" s="318"/>
      <c r="AD1177" s="319"/>
      <c r="AE1177" s="220"/>
      <c r="AF1177" s="320"/>
      <c r="AG1177" s="205"/>
      <c r="AH1177" s="205"/>
      <c r="AI1177" s="205"/>
      <c r="AJ1177" s="205"/>
      <c r="AK1177" s="205"/>
      <c r="AL1177" s="205"/>
      <c r="AM1177" s="205"/>
      <c r="AN1177" s="205"/>
      <c r="AO1177" s="205"/>
      <c r="AP1177" s="205"/>
      <c r="AQ1177" s="205"/>
      <c r="AR1177" s="205"/>
      <c r="AS1177" s="205"/>
      <c r="AT1177" s="205"/>
      <c r="AU1177" s="205"/>
      <c r="AV1177" s="205"/>
      <c r="AW1177" s="205"/>
      <c r="AX1177" s="205"/>
      <c r="AY1177" s="205"/>
      <c r="AZ1177" s="205"/>
      <c r="BA1177" s="205"/>
      <c r="BB1177" s="205"/>
      <c r="BC1177" s="205"/>
      <c r="BD1177" s="205"/>
      <c r="BE1177" s="205"/>
      <c r="BF1177" s="205"/>
      <c r="BG1177" s="205"/>
      <c r="BH1177" s="205"/>
      <c r="BI1177" s="319"/>
    </row>
    <row r="1178" spans="3:61" ht="15" customHeight="1">
      <c r="C1178" s="327"/>
      <c r="D1178" s="328"/>
      <c r="E1178" s="213"/>
      <c r="F1178" s="213"/>
      <c r="G1178" s="213"/>
      <c r="H1178" s="213"/>
      <c r="I1178" s="213"/>
      <c r="K1178" s="56"/>
      <c r="L1178" s="312"/>
      <c r="M1178" s="312"/>
      <c r="N1178" s="312"/>
      <c r="O1178" s="312"/>
      <c r="P1178" s="322" t="str">
        <f t="shared" si="56"/>
        <v/>
      </c>
      <c r="Q1178" s="208" t="str">
        <f t="shared" si="54"/>
        <v/>
      </c>
      <c r="R1178" s="175"/>
      <c r="S1178" s="323" t="str">
        <f t="shared" si="55"/>
        <v/>
      </c>
      <c r="U1178" s="322"/>
      <c r="V1178" s="791"/>
      <c r="W1178" s="792"/>
      <c r="X1178" s="480"/>
      <c r="Y1178" s="480"/>
      <c r="Z1178" s="480"/>
      <c r="AA1178" s="323"/>
      <c r="AB1178" s="220"/>
      <c r="AC1178" s="322"/>
      <c r="AD1178" s="323"/>
      <c r="AE1178" s="220"/>
      <c r="AF1178" s="324"/>
      <c r="AG1178" s="208"/>
      <c r="AH1178" s="208"/>
      <c r="AI1178" s="208"/>
      <c r="AJ1178" s="208"/>
      <c r="AK1178" s="208"/>
      <c r="AL1178" s="208"/>
      <c r="AM1178" s="208"/>
      <c r="AN1178" s="208"/>
      <c r="AO1178" s="208"/>
      <c r="AP1178" s="208"/>
      <c r="AQ1178" s="208"/>
      <c r="AR1178" s="208"/>
      <c r="AS1178" s="208"/>
      <c r="AT1178" s="208"/>
      <c r="AU1178" s="208"/>
      <c r="AV1178" s="208"/>
      <c r="AW1178" s="208"/>
      <c r="AX1178" s="208"/>
      <c r="AY1178" s="208"/>
      <c r="AZ1178" s="208"/>
      <c r="BA1178" s="208"/>
      <c r="BB1178" s="208"/>
      <c r="BC1178" s="208"/>
      <c r="BD1178" s="208"/>
      <c r="BE1178" s="208"/>
      <c r="BF1178" s="208"/>
      <c r="BG1178" s="208"/>
      <c r="BH1178" s="208"/>
      <c r="BI1178" s="323"/>
    </row>
    <row r="1179" spans="3:61" ht="15" customHeight="1">
      <c r="C1179" s="327"/>
      <c r="D1179" s="328"/>
      <c r="E1179" s="213"/>
      <c r="F1179" s="213"/>
      <c r="G1179" s="213"/>
      <c r="H1179" s="213"/>
      <c r="I1179" s="213"/>
      <c r="K1179" s="56"/>
      <c r="L1179" s="312"/>
      <c r="M1179" s="312"/>
      <c r="N1179" s="312"/>
      <c r="O1179" s="312"/>
      <c r="P1179" s="318" t="str">
        <f t="shared" si="56"/>
        <v/>
      </c>
      <c r="Q1179" s="205" t="str">
        <f t="shared" si="54"/>
        <v/>
      </c>
      <c r="R1179" s="176"/>
      <c r="S1179" s="319" t="str">
        <f t="shared" si="55"/>
        <v/>
      </c>
      <c r="U1179" s="318"/>
      <c r="V1179" s="794"/>
      <c r="W1179" s="795"/>
      <c r="X1179" s="482"/>
      <c r="Y1179" s="482"/>
      <c r="Z1179" s="482"/>
      <c r="AA1179" s="319"/>
      <c r="AB1179" s="220"/>
      <c r="AC1179" s="318"/>
      <c r="AD1179" s="319"/>
      <c r="AE1179" s="220"/>
      <c r="AF1179" s="320"/>
      <c r="AG1179" s="205"/>
      <c r="AH1179" s="205"/>
      <c r="AI1179" s="205"/>
      <c r="AJ1179" s="205"/>
      <c r="AK1179" s="205"/>
      <c r="AL1179" s="205"/>
      <c r="AM1179" s="205"/>
      <c r="AN1179" s="205"/>
      <c r="AO1179" s="205"/>
      <c r="AP1179" s="205"/>
      <c r="AQ1179" s="205"/>
      <c r="AR1179" s="205"/>
      <c r="AS1179" s="205"/>
      <c r="AT1179" s="205"/>
      <c r="AU1179" s="205"/>
      <c r="AV1179" s="205"/>
      <c r="AW1179" s="205"/>
      <c r="AX1179" s="205"/>
      <c r="AY1179" s="205"/>
      <c r="AZ1179" s="205"/>
      <c r="BA1179" s="205"/>
      <c r="BB1179" s="205"/>
      <c r="BC1179" s="205"/>
      <c r="BD1179" s="205"/>
      <c r="BE1179" s="205"/>
      <c r="BF1179" s="205"/>
      <c r="BG1179" s="205"/>
      <c r="BH1179" s="205"/>
      <c r="BI1179" s="319"/>
    </row>
    <row r="1180" spans="3:61" ht="15" customHeight="1">
      <c r="C1180" s="327"/>
      <c r="D1180" s="328"/>
      <c r="E1180" s="213"/>
      <c r="F1180" s="213"/>
      <c r="G1180" s="213"/>
      <c r="H1180" s="213"/>
      <c r="I1180" s="213"/>
      <c r="K1180" s="56"/>
      <c r="L1180" s="312"/>
      <c r="M1180" s="312"/>
      <c r="N1180" s="312"/>
      <c r="O1180" s="312"/>
      <c r="P1180" s="322" t="str">
        <f t="shared" si="56"/>
        <v/>
      </c>
      <c r="Q1180" s="208" t="str">
        <f t="shared" si="54"/>
        <v/>
      </c>
      <c r="R1180" s="175"/>
      <c r="S1180" s="323" t="str">
        <f t="shared" si="55"/>
        <v/>
      </c>
      <c r="U1180" s="322"/>
      <c r="V1180" s="791"/>
      <c r="W1180" s="792"/>
      <c r="X1180" s="480"/>
      <c r="Y1180" s="480"/>
      <c r="Z1180" s="480"/>
      <c r="AA1180" s="323"/>
      <c r="AB1180" s="220"/>
      <c r="AC1180" s="322"/>
      <c r="AD1180" s="323"/>
      <c r="AE1180" s="220"/>
      <c r="AF1180" s="324"/>
      <c r="AG1180" s="208"/>
      <c r="AH1180" s="208"/>
      <c r="AI1180" s="208"/>
      <c r="AJ1180" s="208"/>
      <c r="AK1180" s="208"/>
      <c r="AL1180" s="208"/>
      <c r="AM1180" s="208"/>
      <c r="AN1180" s="208"/>
      <c r="AO1180" s="208"/>
      <c r="AP1180" s="208"/>
      <c r="AQ1180" s="208"/>
      <c r="AR1180" s="208"/>
      <c r="AS1180" s="208"/>
      <c r="AT1180" s="208"/>
      <c r="AU1180" s="208"/>
      <c r="AV1180" s="208"/>
      <c r="AW1180" s="208"/>
      <c r="AX1180" s="208"/>
      <c r="AY1180" s="208"/>
      <c r="AZ1180" s="208"/>
      <c r="BA1180" s="208"/>
      <c r="BB1180" s="208"/>
      <c r="BC1180" s="208"/>
      <c r="BD1180" s="208"/>
      <c r="BE1180" s="208"/>
      <c r="BF1180" s="208"/>
      <c r="BG1180" s="208"/>
      <c r="BH1180" s="208"/>
      <c r="BI1180" s="323"/>
    </row>
    <row r="1181" spans="3:61" ht="15" customHeight="1">
      <c r="C1181" s="327"/>
      <c r="D1181" s="328"/>
      <c r="E1181" s="213"/>
      <c r="F1181" s="213"/>
      <c r="G1181" s="213"/>
      <c r="H1181" s="213"/>
      <c r="I1181" s="213"/>
      <c r="K1181" s="56"/>
      <c r="L1181" s="312"/>
      <c r="M1181" s="312"/>
      <c r="N1181" s="312"/>
      <c r="O1181" s="312"/>
      <c r="P1181" s="318" t="str">
        <f t="shared" si="56"/>
        <v/>
      </c>
      <c r="Q1181" s="205" t="str">
        <f t="shared" si="54"/>
        <v/>
      </c>
      <c r="R1181" s="176"/>
      <c r="S1181" s="319" t="str">
        <f t="shared" si="55"/>
        <v/>
      </c>
      <c r="U1181" s="318"/>
      <c r="V1181" s="794"/>
      <c r="W1181" s="795"/>
      <c r="X1181" s="482"/>
      <c r="Y1181" s="482"/>
      <c r="Z1181" s="482"/>
      <c r="AA1181" s="319"/>
      <c r="AB1181" s="220"/>
      <c r="AC1181" s="318"/>
      <c r="AD1181" s="319"/>
      <c r="AE1181" s="220"/>
      <c r="AF1181" s="320"/>
      <c r="AG1181" s="205"/>
      <c r="AH1181" s="205"/>
      <c r="AI1181" s="205"/>
      <c r="AJ1181" s="205"/>
      <c r="AK1181" s="205"/>
      <c r="AL1181" s="205"/>
      <c r="AM1181" s="205"/>
      <c r="AN1181" s="205"/>
      <c r="AO1181" s="205"/>
      <c r="AP1181" s="205"/>
      <c r="AQ1181" s="205"/>
      <c r="AR1181" s="205"/>
      <c r="AS1181" s="205"/>
      <c r="AT1181" s="205"/>
      <c r="AU1181" s="205"/>
      <c r="AV1181" s="205"/>
      <c r="AW1181" s="205"/>
      <c r="AX1181" s="205"/>
      <c r="AY1181" s="205"/>
      <c r="AZ1181" s="205"/>
      <c r="BA1181" s="205"/>
      <c r="BB1181" s="205"/>
      <c r="BC1181" s="205"/>
      <c r="BD1181" s="205"/>
      <c r="BE1181" s="205"/>
      <c r="BF1181" s="205"/>
      <c r="BG1181" s="205"/>
      <c r="BH1181" s="205"/>
      <c r="BI1181" s="319"/>
    </row>
    <row r="1182" spans="3:61" ht="15" customHeight="1">
      <c r="C1182" s="327"/>
      <c r="D1182" s="328"/>
      <c r="E1182" s="213"/>
      <c r="F1182" s="213"/>
      <c r="G1182" s="213"/>
      <c r="H1182" s="213"/>
      <c r="I1182" s="213"/>
      <c r="K1182" s="56"/>
      <c r="L1182" s="312"/>
      <c r="M1182" s="312"/>
      <c r="N1182" s="312"/>
      <c r="O1182" s="312"/>
      <c r="P1182" s="322" t="str">
        <f t="shared" si="56"/>
        <v/>
      </c>
      <c r="Q1182" s="208" t="str">
        <f t="shared" si="54"/>
        <v/>
      </c>
      <c r="R1182" s="175"/>
      <c r="S1182" s="323" t="str">
        <f t="shared" si="55"/>
        <v/>
      </c>
      <c r="U1182" s="322"/>
      <c r="V1182" s="791"/>
      <c r="W1182" s="792"/>
      <c r="X1182" s="480"/>
      <c r="Y1182" s="480"/>
      <c r="Z1182" s="480"/>
      <c r="AA1182" s="323"/>
      <c r="AB1182" s="220"/>
      <c r="AC1182" s="322"/>
      <c r="AD1182" s="323"/>
      <c r="AE1182" s="220"/>
      <c r="AF1182" s="324"/>
      <c r="AG1182" s="208"/>
      <c r="AH1182" s="208"/>
      <c r="AI1182" s="208"/>
      <c r="AJ1182" s="208"/>
      <c r="AK1182" s="208"/>
      <c r="AL1182" s="208"/>
      <c r="AM1182" s="208"/>
      <c r="AN1182" s="208"/>
      <c r="AO1182" s="208"/>
      <c r="AP1182" s="208"/>
      <c r="AQ1182" s="208"/>
      <c r="AR1182" s="208"/>
      <c r="AS1182" s="208"/>
      <c r="AT1182" s="208"/>
      <c r="AU1182" s="208"/>
      <c r="AV1182" s="208"/>
      <c r="AW1182" s="208"/>
      <c r="AX1182" s="208"/>
      <c r="AY1182" s="208"/>
      <c r="AZ1182" s="208"/>
      <c r="BA1182" s="208"/>
      <c r="BB1182" s="208"/>
      <c r="BC1182" s="208"/>
      <c r="BD1182" s="208"/>
      <c r="BE1182" s="208"/>
      <c r="BF1182" s="208"/>
      <c r="BG1182" s="208"/>
      <c r="BH1182" s="208"/>
      <c r="BI1182" s="323"/>
    </row>
    <row r="1183" spans="3:61" ht="15" customHeight="1">
      <c r="C1183" s="327"/>
      <c r="D1183" s="328"/>
      <c r="E1183" s="213"/>
      <c r="F1183" s="213"/>
      <c r="G1183" s="213"/>
      <c r="H1183" s="213"/>
      <c r="I1183" s="213"/>
      <c r="K1183" s="56"/>
      <c r="L1183" s="312"/>
      <c r="M1183" s="312"/>
      <c r="N1183" s="312"/>
      <c r="O1183" s="312"/>
      <c r="P1183" s="318" t="str">
        <f t="shared" si="56"/>
        <v/>
      </c>
      <c r="Q1183" s="205" t="str">
        <f t="shared" si="54"/>
        <v/>
      </c>
      <c r="R1183" s="176"/>
      <c r="S1183" s="319" t="str">
        <f t="shared" si="55"/>
        <v/>
      </c>
      <c r="U1183" s="318"/>
      <c r="V1183" s="794"/>
      <c r="W1183" s="795"/>
      <c r="X1183" s="482"/>
      <c r="Y1183" s="482"/>
      <c r="Z1183" s="482"/>
      <c r="AA1183" s="319"/>
      <c r="AB1183" s="220"/>
      <c r="AC1183" s="318"/>
      <c r="AD1183" s="319"/>
      <c r="AE1183" s="220"/>
      <c r="AF1183" s="320"/>
      <c r="AG1183" s="205"/>
      <c r="AH1183" s="205"/>
      <c r="AI1183" s="205"/>
      <c r="AJ1183" s="205"/>
      <c r="AK1183" s="205"/>
      <c r="AL1183" s="205"/>
      <c r="AM1183" s="205"/>
      <c r="AN1183" s="205"/>
      <c r="AO1183" s="205"/>
      <c r="AP1183" s="205"/>
      <c r="AQ1183" s="205"/>
      <c r="AR1183" s="205"/>
      <c r="AS1183" s="205"/>
      <c r="AT1183" s="205"/>
      <c r="AU1183" s="205"/>
      <c r="AV1183" s="205"/>
      <c r="AW1183" s="205"/>
      <c r="AX1183" s="205"/>
      <c r="AY1183" s="205"/>
      <c r="AZ1183" s="205"/>
      <c r="BA1183" s="205"/>
      <c r="BB1183" s="205"/>
      <c r="BC1183" s="205"/>
      <c r="BD1183" s="205"/>
      <c r="BE1183" s="205"/>
      <c r="BF1183" s="205"/>
      <c r="BG1183" s="205"/>
      <c r="BH1183" s="205"/>
      <c r="BI1183" s="319"/>
    </row>
    <row r="1184" spans="3:61" ht="15" customHeight="1">
      <c r="C1184" s="327"/>
      <c r="D1184" s="328"/>
      <c r="E1184" s="213"/>
      <c r="F1184" s="213"/>
      <c r="G1184" s="213"/>
      <c r="H1184" s="213"/>
      <c r="I1184" s="213"/>
      <c r="K1184" s="56"/>
      <c r="L1184" s="312"/>
      <c r="M1184" s="312"/>
      <c r="N1184" s="312"/>
      <c r="O1184" s="312"/>
      <c r="P1184" s="322" t="str">
        <f t="shared" si="56"/>
        <v/>
      </c>
      <c r="Q1184" s="208" t="str">
        <f t="shared" si="54"/>
        <v/>
      </c>
      <c r="R1184" s="175"/>
      <c r="S1184" s="323" t="str">
        <f t="shared" si="55"/>
        <v/>
      </c>
      <c r="U1184" s="322"/>
      <c r="V1184" s="791"/>
      <c r="W1184" s="792"/>
      <c r="X1184" s="480"/>
      <c r="Y1184" s="480"/>
      <c r="Z1184" s="480"/>
      <c r="AA1184" s="323"/>
      <c r="AB1184" s="220"/>
      <c r="AC1184" s="322"/>
      <c r="AD1184" s="323"/>
      <c r="AE1184" s="220"/>
      <c r="AF1184" s="324"/>
      <c r="AG1184" s="208"/>
      <c r="AH1184" s="208"/>
      <c r="AI1184" s="208"/>
      <c r="AJ1184" s="208"/>
      <c r="AK1184" s="208"/>
      <c r="AL1184" s="208"/>
      <c r="AM1184" s="208"/>
      <c r="AN1184" s="208"/>
      <c r="AO1184" s="208"/>
      <c r="AP1184" s="208"/>
      <c r="AQ1184" s="208"/>
      <c r="AR1184" s="208"/>
      <c r="AS1184" s="208"/>
      <c r="AT1184" s="208"/>
      <c r="AU1184" s="208"/>
      <c r="AV1184" s="208"/>
      <c r="AW1184" s="208"/>
      <c r="AX1184" s="208"/>
      <c r="AY1184" s="208"/>
      <c r="AZ1184" s="208"/>
      <c r="BA1184" s="208"/>
      <c r="BB1184" s="208"/>
      <c r="BC1184" s="208"/>
      <c r="BD1184" s="208"/>
      <c r="BE1184" s="208"/>
      <c r="BF1184" s="208"/>
      <c r="BG1184" s="208"/>
      <c r="BH1184" s="208"/>
      <c r="BI1184" s="323"/>
    </row>
    <row r="1185" spans="3:61" ht="15" customHeight="1">
      <c r="C1185" s="327"/>
      <c r="D1185" s="328"/>
      <c r="E1185" s="213"/>
      <c r="F1185" s="213"/>
      <c r="G1185" s="213"/>
      <c r="H1185" s="213"/>
      <c r="I1185" s="213"/>
      <c r="K1185" s="56"/>
      <c r="L1185" s="312"/>
      <c r="M1185" s="312"/>
      <c r="N1185" s="312"/>
      <c r="O1185" s="312"/>
      <c r="P1185" s="318" t="str">
        <f t="shared" si="56"/>
        <v/>
      </c>
      <c r="Q1185" s="205" t="str">
        <f t="shared" si="54"/>
        <v/>
      </c>
      <c r="R1185" s="176"/>
      <c r="S1185" s="319" t="str">
        <f t="shared" si="55"/>
        <v/>
      </c>
      <c r="U1185" s="318"/>
      <c r="V1185" s="794"/>
      <c r="W1185" s="795"/>
      <c r="X1185" s="482"/>
      <c r="Y1185" s="482"/>
      <c r="Z1185" s="482"/>
      <c r="AA1185" s="319"/>
      <c r="AB1185" s="220"/>
      <c r="AC1185" s="318"/>
      <c r="AD1185" s="319"/>
      <c r="AE1185" s="220"/>
      <c r="AF1185" s="320"/>
      <c r="AG1185" s="205"/>
      <c r="AH1185" s="205"/>
      <c r="AI1185" s="205"/>
      <c r="AJ1185" s="205"/>
      <c r="AK1185" s="205"/>
      <c r="AL1185" s="205"/>
      <c r="AM1185" s="205"/>
      <c r="AN1185" s="205"/>
      <c r="AO1185" s="205"/>
      <c r="AP1185" s="205"/>
      <c r="AQ1185" s="205"/>
      <c r="AR1185" s="205"/>
      <c r="AS1185" s="205"/>
      <c r="AT1185" s="205"/>
      <c r="AU1185" s="205"/>
      <c r="AV1185" s="205"/>
      <c r="AW1185" s="205"/>
      <c r="AX1185" s="205"/>
      <c r="AY1185" s="205"/>
      <c r="AZ1185" s="205"/>
      <c r="BA1185" s="205"/>
      <c r="BB1185" s="205"/>
      <c r="BC1185" s="205"/>
      <c r="BD1185" s="205"/>
      <c r="BE1185" s="205"/>
      <c r="BF1185" s="205"/>
      <c r="BG1185" s="205"/>
      <c r="BH1185" s="205"/>
      <c r="BI1185" s="319"/>
    </row>
    <row r="1186" spans="3:61" ht="15" customHeight="1">
      <c r="C1186" s="327"/>
      <c r="D1186" s="328"/>
      <c r="E1186" s="213"/>
      <c r="F1186" s="213"/>
      <c r="G1186" s="213"/>
      <c r="H1186" s="213"/>
      <c r="I1186" s="213"/>
      <c r="K1186" s="56"/>
      <c r="L1186" s="312"/>
      <c r="M1186" s="312"/>
      <c r="N1186" s="312"/>
      <c r="O1186" s="312"/>
      <c r="P1186" s="322" t="str">
        <f t="shared" si="56"/>
        <v/>
      </c>
      <c r="Q1186" s="208" t="str">
        <f t="shared" si="54"/>
        <v/>
      </c>
      <c r="R1186" s="175"/>
      <c r="S1186" s="323" t="str">
        <f t="shared" si="55"/>
        <v/>
      </c>
      <c r="U1186" s="322"/>
      <c r="V1186" s="791"/>
      <c r="W1186" s="792"/>
      <c r="X1186" s="480"/>
      <c r="Y1186" s="480"/>
      <c r="Z1186" s="480"/>
      <c r="AA1186" s="323"/>
      <c r="AB1186" s="220"/>
      <c r="AC1186" s="322"/>
      <c r="AD1186" s="323"/>
      <c r="AE1186" s="220"/>
      <c r="AF1186" s="324"/>
      <c r="AG1186" s="208"/>
      <c r="AH1186" s="208"/>
      <c r="AI1186" s="208"/>
      <c r="AJ1186" s="208"/>
      <c r="AK1186" s="208"/>
      <c r="AL1186" s="208"/>
      <c r="AM1186" s="208"/>
      <c r="AN1186" s="208"/>
      <c r="AO1186" s="208"/>
      <c r="AP1186" s="208"/>
      <c r="AQ1186" s="208"/>
      <c r="AR1186" s="208"/>
      <c r="AS1186" s="208"/>
      <c r="AT1186" s="208"/>
      <c r="AU1186" s="208"/>
      <c r="AV1186" s="208"/>
      <c r="AW1186" s="208"/>
      <c r="AX1186" s="208"/>
      <c r="AY1186" s="208"/>
      <c r="AZ1186" s="208"/>
      <c r="BA1186" s="208"/>
      <c r="BB1186" s="208"/>
      <c r="BC1186" s="208"/>
      <c r="BD1186" s="208"/>
      <c r="BE1186" s="208"/>
      <c r="BF1186" s="208"/>
      <c r="BG1186" s="208"/>
      <c r="BH1186" s="208"/>
      <c r="BI1186" s="323"/>
    </row>
    <row r="1187" spans="3:61" ht="15" customHeight="1">
      <c r="C1187" s="327"/>
      <c r="D1187" s="328"/>
      <c r="E1187" s="213"/>
      <c r="F1187" s="213"/>
      <c r="G1187" s="213"/>
      <c r="H1187" s="213"/>
      <c r="I1187" s="213"/>
      <c r="K1187" s="56"/>
      <c r="L1187" s="312"/>
      <c r="M1187" s="312"/>
      <c r="N1187" s="312"/>
      <c r="O1187" s="312"/>
      <c r="P1187" s="318" t="str">
        <f t="shared" si="56"/>
        <v/>
      </c>
      <c r="Q1187" s="205" t="str">
        <f t="shared" si="54"/>
        <v/>
      </c>
      <c r="R1187" s="176"/>
      <c r="S1187" s="319" t="str">
        <f t="shared" si="55"/>
        <v/>
      </c>
      <c r="U1187" s="318"/>
      <c r="V1187" s="794"/>
      <c r="W1187" s="795"/>
      <c r="X1187" s="482"/>
      <c r="Y1187" s="482"/>
      <c r="Z1187" s="482"/>
      <c r="AA1187" s="319"/>
      <c r="AB1187" s="220"/>
      <c r="AC1187" s="318"/>
      <c r="AD1187" s="319"/>
      <c r="AE1187" s="220"/>
      <c r="AF1187" s="320"/>
      <c r="AG1187" s="205"/>
      <c r="AH1187" s="205"/>
      <c r="AI1187" s="205"/>
      <c r="AJ1187" s="205"/>
      <c r="AK1187" s="205"/>
      <c r="AL1187" s="205"/>
      <c r="AM1187" s="205"/>
      <c r="AN1187" s="205"/>
      <c r="AO1187" s="205"/>
      <c r="AP1187" s="205"/>
      <c r="AQ1187" s="205"/>
      <c r="AR1187" s="205"/>
      <c r="AS1187" s="205"/>
      <c r="AT1187" s="205"/>
      <c r="AU1187" s="205"/>
      <c r="AV1187" s="205"/>
      <c r="AW1187" s="205"/>
      <c r="AX1187" s="205"/>
      <c r="AY1187" s="205"/>
      <c r="AZ1187" s="205"/>
      <c r="BA1187" s="205"/>
      <c r="BB1187" s="205"/>
      <c r="BC1187" s="205"/>
      <c r="BD1187" s="205"/>
      <c r="BE1187" s="205"/>
      <c r="BF1187" s="205"/>
      <c r="BG1187" s="205"/>
      <c r="BH1187" s="205"/>
      <c r="BI1187" s="319"/>
    </row>
    <row r="1188" spans="3:61" ht="15" customHeight="1">
      <c r="C1188" s="327"/>
      <c r="D1188" s="328"/>
      <c r="E1188" s="213"/>
      <c r="F1188" s="213"/>
      <c r="G1188" s="213"/>
      <c r="H1188" s="213"/>
      <c r="I1188" s="213"/>
      <c r="K1188" s="56"/>
      <c r="L1188" s="312"/>
      <c r="M1188" s="312"/>
      <c r="N1188" s="312"/>
      <c r="O1188" s="312"/>
      <c r="P1188" s="322" t="str">
        <f t="shared" si="56"/>
        <v/>
      </c>
      <c r="Q1188" s="208" t="str">
        <f t="shared" si="54"/>
        <v/>
      </c>
      <c r="R1188" s="175"/>
      <c r="S1188" s="323" t="str">
        <f t="shared" si="55"/>
        <v/>
      </c>
      <c r="U1188" s="322"/>
      <c r="V1188" s="791"/>
      <c r="W1188" s="792"/>
      <c r="X1188" s="480"/>
      <c r="Y1188" s="480"/>
      <c r="Z1188" s="480"/>
      <c r="AA1188" s="323"/>
      <c r="AB1188" s="220"/>
      <c r="AC1188" s="322"/>
      <c r="AD1188" s="323"/>
      <c r="AE1188" s="220"/>
      <c r="AF1188" s="324"/>
      <c r="AG1188" s="208"/>
      <c r="AH1188" s="208"/>
      <c r="AI1188" s="208"/>
      <c r="AJ1188" s="208"/>
      <c r="AK1188" s="208"/>
      <c r="AL1188" s="208"/>
      <c r="AM1188" s="208"/>
      <c r="AN1188" s="208"/>
      <c r="AO1188" s="208"/>
      <c r="AP1188" s="208"/>
      <c r="AQ1188" s="208"/>
      <c r="AR1188" s="208"/>
      <c r="AS1188" s="208"/>
      <c r="AT1188" s="208"/>
      <c r="AU1188" s="208"/>
      <c r="AV1188" s="208"/>
      <c r="AW1188" s="208"/>
      <c r="AX1188" s="208"/>
      <c r="AY1188" s="208"/>
      <c r="AZ1188" s="208"/>
      <c r="BA1188" s="208"/>
      <c r="BB1188" s="208"/>
      <c r="BC1188" s="208"/>
      <c r="BD1188" s="208"/>
      <c r="BE1188" s="208"/>
      <c r="BF1188" s="208"/>
      <c r="BG1188" s="208"/>
      <c r="BH1188" s="208"/>
      <c r="BI1188" s="323"/>
    </row>
    <row r="1189" spans="3:61" ht="15" customHeight="1">
      <c r="C1189" s="327"/>
      <c r="D1189" s="328"/>
      <c r="E1189" s="213"/>
      <c r="F1189" s="213"/>
      <c r="G1189" s="213"/>
      <c r="H1189" s="213"/>
      <c r="I1189" s="213"/>
      <c r="K1189" s="56"/>
      <c r="L1189" s="312"/>
      <c r="M1189" s="312"/>
      <c r="N1189" s="312"/>
      <c r="O1189" s="312"/>
      <c r="P1189" s="318" t="str">
        <f t="shared" si="56"/>
        <v/>
      </c>
      <c r="Q1189" s="205" t="str">
        <f t="shared" si="54"/>
        <v/>
      </c>
      <c r="R1189" s="176"/>
      <c r="S1189" s="319" t="str">
        <f t="shared" si="55"/>
        <v/>
      </c>
      <c r="U1189" s="318"/>
      <c r="V1189" s="794"/>
      <c r="W1189" s="795"/>
      <c r="X1189" s="482"/>
      <c r="Y1189" s="482"/>
      <c r="Z1189" s="482"/>
      <c r="AA1189" s="319"/>
      <c r="AB1189" s="220"/>
      <c r="AC1189" s="318"/>
      <c r="AD1189" s="319"/>
      <c r="AE1189" s="220"/>
      <c r="AF1189" s="320"/>
      <c r="AG1189" s="205"/>
      <c r="AH1189" s="205"/>
      <c r="AI1189" s="205"/>
      <c r="AJ1189" s="205"/>
      <c r="AK1189" s="205"/>
      <c r="AL1189" s="205"/>
      <c r="AM1189" s="205"/>
      <c r="AN1189" s="205"/>
      <c r="AO1189" s="205"/>
      <c r="AP1189" s="205"/>
      <c r="AQ1189" s="205"/>
      <c r="AR1189" s="205"/>
      <c r="AS1189" s="205"/>
      <c r="AT1189" s="205"/>
      <c r="AU1189" s="205"/>
      <c r="AV1189" s="205"/>
      <c r="AW1189" s="205"/>
      <c r="AX1189" s="205"/>
      <c r="AY1189" s="205"/>
      <c r="AZ1189" s="205"/>
      <c r="BA1189" s="205"/>
      <c r="BB1189" s="205"/>
      <c r="BC1189" s="205"/>
      <c r="BD1189" s="205"/>
      <c r="BE1189" s="205"/>
      <c r="BF1189" s="205"/>
      <c r="BG1189" s="205"/>
      <c r="BH1189" s="205"/>
      <c r="BI1189" s="319"/>
    </row>
    <row r="1190" spans="3:61" ht="15" customHeight="1">
      <c r="C1190" s="327"/>
      <c r="D1190" s="328"/>
      <c r="E1190" s="213"/>
      <c r="F1190" s="213"/>
      <c r="G1190" s="213"/>
      <c r="H1190" s="213"/>
      <c r="I1190" s="213"/>
      <c r="K1190" s="56"/>
      <c r="L1190" s="312"/>
      <c r="M1190" s="312"/>
      <c r="N1190" s="312"/>
      <c r="O1190" s="312"/>
      <c r="P1190" s="322" t="str">
        <f t="shared" si="56"/>
        <v/>
      </c>
      <c r="Q1190" s="208" t="str">
        <f t="shared" si="54"/>
        <v/>
      </c>
      <c r="R1190" s="175"/>
      <c r="S1190" s="323" t="str">
        <f t="shared" si="55"/>
        <v/>
      </c>
      <c r="U1190" s="322"/>
      <c r="V1190" s="791"/>
      <c r="W1190" s="792"/>
      <c r="X1190" s="480"/>
      <c r="Y1190" s="480"/>
      <c r="Z1190" s="480"/>
      <c r="AA1190" s="323"/>
      <c r="AB1190" s="220"/>
      <c r="AC1190" s="322"/>
      <c r="AD1190" s="323"/>
      <c r="AE1190" s="220"/>
      <c r="AF1190" s="324"/>
      <c r="AG1190" s="208"/>
      <c r="AH1190" s="208"/>
      <c r="AI1190" s="208"/>
      <c r="AJ1190" s="208"/>
      <c r="AK1190" s="208"/>
      <c r="AL1190" s="208"/>
      <c r="AM1190" s="208"/>
      <c r="AN1190" s="208"/>
      <c r="AO1190" s="208"/>
      <c r="AP1190" s="208"/>
      <c r="AQ1190" s="208"/>
      <c r="AR1190" s="208"/>
      <c r="AS1190" s="208"/>
      <c r="AT1190" s="208"/>
      <c r="AU1190" s="208"/>
      <c r="AV1190" s="208"/>
      <c r="AW1190" s="208"/>
      <c r="AX1190" s="208"/>
      <c r="AY1190" s="208"/>
      <c r="AZ1190" s="208"/>
      <c r="BA1190" s="208"/>
      <c r="BB1190" s="208"/>
      <c r="BC1190" s="208"/>
      <c r="BD1190" s="208"/>
      <c r="BE1190" s="208"/>
      <c r="BF1190" s="208"/>
      <c r="BG1190" s="208"/>
      <c r="BH1190" s="208"/>
      <c r="BI1190" s="323"/>
    </row>
    <row r="1191" spans="3:61" ht="15" customHeight="1">
      <c r="C1191" s="327"/>
      <c r="D1191" s="328"/>
      <c r="E1191" s="213"/>
      <c r="F1191" s="213"/>
      <c r="G1191" s="213"/>
      <c r="H1191" s="213"/>
      <c r="I1191" s="213"/>
      <c r="K1191" s="56"/>
      <c r="L1191" s="312"/>
      <c r="M1191" s="312"/>
      <c r="N1191" s="312"/>
      <c r="O1191" s="312"/>
      <c r="P1191" s="318" t="str">
        <f t="shared" si="56"/>
        <v/>
      </c>
      <c r="Q1191" s="205" t="str">
        <f t="shared" si="54"/>
        <v/>
      </c>
      <c r="R1191" s="176"/>
      <c r="S1191" s="319" t="str">
        <f t="shared" si="55"/>
        <v/>
      </c>
      <c r="U1191" s="318"/>
      <c r="V1191" s="794"/>
      <c r="W1191" s="795"/>
      <c r="X1191" s="482"/>
      <c r="Y1191" s="482"/>
      <c r="Z1191" s="482"/>
      <c r="AA1191" s="319"/>
      <c r="AB1191" s="220"/>
      <c r="AC1191" s="318"/>
      <c r="AD1191" s="319"/>
      <c r="AE1191" s="220"/>
      <c r="AF1191" s="320"/>
      <c r="AG1191" s="205"/>
      <c r="AH1191" s="205"/>
      <c r="AI1191" s="205"/>
      <c r="AJ1191" s="205"/>
      <c r="AK1191" s="205"/>
      <c r="AL1191" s="205"/>
      <c r="AM1191" s="205"/>
      <c r="AN1191" s="205"/>
      <c r="AO1191" s="205"/>
      <c r="AP1191" s="205"/>
      <c r="AQ1191" s="205"/>
      <c r="AR1191" s="205"/>
      <c r="AS1191" s="205"/>
      <c r="AT1191" s="205"/>
      <c r="AU1191" s="205"/>
      <c r="AV1191" s="205"/>
      <c r="AW1191" s="205"/>
      <c r="AX1191" s="205"/>
      <c r="AY1191" s="205"/>
      <c r="AZ1191" s="205"/>
      <c r="BA1191" s="205"/>
      <c r="BB1191" s="205"/>
      <c r="BC1191" s="205"/>
      <c r="BD1191" s="205"/>
      <c r="BE1191" s="205"/>
      <c r="BF1191" s="205"/>
      <c r="BG1191" s="205"/>
      <c r="BH1191" s="205"/>
      <c r="BI1191" s="319"/>
    </row>
    <row r="1192" spans="3:61" ht="15" customHeight="1">
      <c r="C1192" s="327"/>
      <c r="D1192" s="328"/>
      <c r="E1192" s="213"/>
      <c r="F1192" s="213"/>
      <c r="G1192" s="213"/>
      <c r="H1192" s="213"/>
      <c r="I1192" s="213"/>
      <c r="K1192" s="56"/>
      <c r="L1192" s="312"/>
      <c r="M1192" s="312"/>
      <c r="N1192" s="312"/>
      <c r="O1192" s="312"/>
      <c r="P1192" s="322" t="str">
        <f t="shared" si="56"/>
        <v/>
      </c>
      <c r="Q1192" s="208" t="str">
        <f t="shared" si="54"/>
        <v/>
      </c>
      <c r="R1192" s="175"/>
      <c r="S1192" s="323" t="str">
        <f t="shared" si="55"/>
        <v/>
      </c>
      <c r="U1192" s="322"/>
      <c r="V1192" s="791"/>
      <c r="W1192" s="792"/>
      <c r="X1192" s="480"/>
      <c r="Y1192" s="480"/>
      <c r="Z1192" s="480"/>
      <c r="AA1192" s="323"/>
      <c r="AB1192" s="220"/>
      <c r="AC1192" s="322"/>
      <c r="AD1192" s="323"/>
      <c r="AE1192" s="220"/>
      <c r="AF1192" s="324"/>
      <c r="AG1192" s="208"/>
      <c r="AH1192" s="208"/>
      <c r="AI1192" s="208"/>
      <c r="AJ1192" s="208"/>
      <c r="AK1192" s="208"/>
      <c r="AL1192" s="208"/>
      <c r="AM1192" s="208"/>
      <c r="AN1192" s="208"/>
      <c r="AO1192" s="208"/>
      <c r="AP1192" s="208"/>
      <c r="AQ1192" s="208"/>
      <c r="AR1192" s="208"/>
      <c r="AS1192" s="208"/>
      <c r="AT1192" s="208"/>
      <c r="AU1192" s="208"/>
      <c r="AV1192" s="208"/>
      <c r="AW1192" s="208"/>
      <c r="AX1192" s="208"/>
      <c r="AY1192" s="208"/>
      <c r="AZ1192" s="208"/>
      <c r="BA1192" s="208"/>
      <c r="BB1192" s="208"/>
      <c r="BC1192" s="208"/>
      <c r="BD1192" s="208"/>
      <c r="BE1192" s="208"/>
      <c r="BF1192" s="208"/>
      <c r="BG1192" s="208"/>
      <c r="BH1192" s="208"/>
      <c r="BI1192" s="323"/>
    </row>
    <row r="1193" spans="3:61" ht="15" customHeight="1">
      <c r="C1193" s="327"/>
      <c r="D1193" s="328"/>
      <c r="E1193" s="213"/>
      <c r="F1193" s="213"/>
      <c r="G1193" s="213"/>
      <c r="H1193" s="213"/>
      <c r="I1193" s="213"/>
      <c r="K1193" s="56"/>
      <c r="L1193" s="312"/>
      <c r="M1193" s="312"/>
      <c r="N1193" s="312"/>
      <c r="O1193" s="312"/>
      <c r="P1193" s="318" t="str">
        <f t="shared" si="56"/>
        <v/>
      </c>
      <c r="Q1193" s="205" t="str">
        <f t="shared" si="54"/>
        <v/>
      </c>
      <c r="R1193" s="176"/>
      <c r="S1193" s="319" t="str">
        <f t="shared" si="55"/>
        <v/>
      </c>
      <c r="U1193" s="318"/>
      <c r="V1193" s="794"/>
      <c r="W1193" s="795"/>
      <c r="X1193" s="482"/>
      <c r="Y1193" s="482"/>
      <c r="Z1193" s="482"/>
      <c r="AA1193" s="319"/>
      <c r="AB1193" s="220"/>
      <c r="AC1193" s="318"/>
      <c r="AD1193" s="319"/>
      <c r="AE1193" s="220"/>
      <c r="AF1193" s="320"/>
      <c r="AG1193" s="205"/>
      <c r="AH1193" s="205"/>
      <c r="AI1193" s="205"/>
      <c r="AJ1193" s="205"/>
      <c r="AK1193" s="205"/>
      <c r="AL1193" s="205"/>
      <c r="AM1193" s="205"/>
      <c r="AN1193" s="205"/>
      <c r="AO1193" s="205"/>
      <c r="AP1193" s="205"/>
      <c r="AQ1193" s="205"/>
      <c r="AR1193" s="205"/>
      <c r="AS1193" s="205"/>
      <c r="AT1193" s="205"/>
      <c r="AU1193" s="205"/>
      <c r="AV1193" s="205"/>
      <c r="AW1193" s="205"/>
      <c r="AX1193" s="205"/>
      <c r="AY1193" s="205"/>
      <c r="AZ1193" s="205"/>
      <c r="BA1193" s="205"/>
      <c r="BB1193" s="205"/>
      <c r="BC1193" s="205"/>
      <c r="BD1193" s="205"/>
      <c r="BE1193" s="205"/>
      <c r="BF1193" s="205"/>
      <c r="BG1193" s="205"/>
      <c r="BH1193" s="205"/>
      <c r="BI1193" s="319"/>
    </row>
    <row r="1194" spans="3:61" ht="15" customHeight="1">
      <c r="C1194" s="327"/>
      <c r="D1194" s="328"/>
      <c r="E1194" s="213"/>
      <c r="F1194" s="213"/>
      <c r="G1194" s="213"/>
      <c r="H1194" s="213"/>
      <c r="I1194" s="213"/>
      <c r="K1194" s="56"/>
      <c r="L1194" s="312"/>
      <c r="M1194" s="312"/>
      <c r="N1194" s="312"/>
      <c r="O1194" s="312"/>
      <c r="P1194" s="322" t="str">
        <f t="shared" si="56"/>
        <v/>
      </c>
      <c r="Q1194" s="208" t="str">
        <f t="shared" si="54"/>
        <v/>
      </c>
      <c r="R1194" s="175"/>
      <c r="S1194" s="323" t="str">
        <f t="shared" si="55"/>
        <v/>
      </c>
      <c r="U1194" s="322"/>
      <c r="V1194" s="791"/>
      <c r="W1194" s="792"/>
      <c r="X1194" s="480"/>
      <c r="Y1194" s="480"/>
      <c r="Z1194" s="480"/>
      <c r="AA1194" s="323"/>
      <c r="AB1194" s="220"/>
      <c r="AC1194" s="322"/>
      <c r="AD1194" s="323"/>
      <c r="AE1194" s="220"/>
      <c r="AF1194" s="324"/>
      <c r="AG1194" s="208"/>
      <c r="AH1194" s="208"/>
      <c r="AI1194" s="208"/>
      <c r="AJ1194" s="208"/>
      <c r="AK1194" s="208"/>
      <c r="AL1194" s="208"/>
      <c r="AM1194" s="208"/>
      <c r="AN1194" s="208"/>
      <c r="AO1194" s="208"/>
      <c r="AP1194" s="208"/>
      <c r="AQ1194" s="208"/>
      <c r="AR1194" s="208"/>
      <c r="AS1194" s="208"/>
      <c r="AT1194" s="208"/>
      <c r="AU1194" s="208"/>
      <c r="AV1194" s="208"/>
      <c r="AW1194" s="208"/>
      <c r="AX1194" s="208"/>
      <c r="AY1194" s="208"/>
      <c r="AZ1194" s="208"/>
      <c r="BA1194" s="208"/>
      <c r="BB1194" s="208"/>
      <c r="BC1194" s="208"/>
      <c r="BD1194" s="208"/>
      <c r="BE1194" s="208"/>
      <c r="BF1194" s="208"/>
      <c r="BG1194" s="208"/>
      <c r="BH1194" s="208"/>
      <c r="BI1194" s="323"/>
    </row>
    <row r="1195" spans="3:61" ht="15" customHeight="1">
      <c r="C1195" s="327"/>
      <c r="D1195" s="328"/>
      <c r="E1195" s="213"/>
      <c r="F1195" s="213"/>
      <c r="G1195" s="213"/>
      <c r="H1195" s="213"/>
      <c r="I1195" s="213"/>
      <c r="K1195" s="56"/>
      <c r="L1195" s="312"/>
      <c r="M1195" s="312"/>
      <c r="N1195" s="312"/>
      <c r="O1195" s="312"/>
      <c r="P1195" s="318" t="str">
        <f t="shared" si="56"/>
        <v/>
      </c>
      <c r="Q1195" s="205" t="str">
        <f t="shared" si="54"/>
        <v/>
      </c>
      <c r="R1195" s="176"/>
      <c r="S1195" s="319" t="str">
        <f t="shared" si="55"/>
        <v/>
      </c>
      <c r="U1195" s="318"/>
      <c r="V1195" s="794"/>
      <c r="W1195" s="795"/>
      <c r="X1195" s="482"/>
      <c r="Y1195" s="482"/>
      <c r="Z1195" s="482"/>
      <c r="AA1195" s="319"/>
      <c r="AB1195" s="220"/>
      <c r="AC1195" s="318"/>
      <c r="AD1195" s="319"/>
      <c r="AE1195" s="220"/>
      <c r="AF1195" s="320"/>
      <c r="AG1195" s="205"/>
      <c r="AH1195" s="205"/>
      <c r="AI1195" s="205"/>
      <c r="AJ1195" s="205"/>
      <c r="AK1195" s="205"/>
      <c r="AL1195" s="205"/>
      <c r="AM1195" s="205"/>
      <c r="AN1195" s="205"/>
      <c r="AO1195" s="205"/>
      <c r="AP1195" s="205"/>
      <c r="AQ1195" s="205"/>
      <c r="AR1195" s="205"/>
      <c r="AS1195" s="205"/>
      <c r="AT1195" s="205"/>
      <c r="AU1195" s="205"/>
      <c r="AV1195" s="205"/>
      <c r="AW1195" s="205"/>
      <c r="AX1195" s="205"/>
      <c r="AY1195" s="205"/>
      <c r="AZ1195" s="205"/>
      <c r="BA1195" s="205"/>
      <c r="BB1195" s="205"/>
      <c r="BC1195" s="205"/>
      <c r="BD1195" s="205"/>
      <c r="BE1195" s="205"/>
      <c r="BF1195" s="205"/>
      <c r="BG1195" s="205"/>
      <c r="BH1195" s="205"/>
      <c r="BI1195" s="319"/>
    </row>
    <row r="1196" spans="3:61" ht="15" customHeight="1">
      <c r="C1196" s="327"/>
      <c r="D1196" s="328"/>
      <c r="E1196" s="213"/>
      <c r="F1196" s="213"/>
      <c r="G1196" s="213"/>
      <c r="H1196" s="213"/>
      <c r="I1196" s="213"/>
      <c r="K1196" s="56"/>
      <c r="L1196" s="312"/>
      <c r="M1196" s="312"/>
      <c r="N1196" s="312"/>
      <c r="O1196" s="312"/>
      <c r="P1196" s="322" t="str">
        <f t="shared" si="56"/>
        <v/>
      </c>
      <c r="Q1196" s="208" t="str">
        <f t="shared" si="54"/>
        <v/>
      </c>
      <c r="R1196" s="175"/>
      <c r="S1196" s="323" t="str">
        <f t="shared" si="55"/>
        <v/>
      </c>
      <c r="U1196" s="322"/>
      <c r="V1196" s="791"/>
      <c r="W1196" s="792"/>
      <c r="X1196" s="480"/>
      <c r="Y1196" s="480"/>
      <c r="Z1196" s="480"/>
      <c r="AA1196" s="323"/>
      <c r="AB1196" s="220"/>
      <c r="AC1196" s="322"/>
      <c r="AD1196" s="323"/>
      <c r="AE1196" s="220"/>
      <c r="AF1196" s="324"/>
      <c r="AG1196" s="208"/>
      <c r="AH1196" s="208"/>
      <c r="AI1196" s="208"/>
      <c r="AJ1196" s="208"/>
      <c r="AK1196" s="208"/>
      <c r="AL1196" s="208"/>
      <c r="AM1196" s="208"/>
      <c r="AN1196" s="208"/>
      <c r="AO1196" s="208"/>
      <c r="AP1196" s="208"/>
      <c r="AQ1196" s="208"/>
      <c r="AR1196" s="208"/>
      <c r="AS1196" s="208"/>
      <c r="AT1196" s="208"/>
      <c r="AU1196" s="208"/>
      <c r="AV1196" s="208"/>
      <c r="AW1196" s="208"/>
      <c r="AX1196" s="208"/>
      <c r="AY1196" s="208"/>
      <c r="AZ1196" s="208"/>
      <c r="BA1196" s="208"/>
      <c r="BB1196" s="208"/>
      <c r="BC1196" s="208"/>
      <c r="BD1196" s="208"/>
      <c r="BE1196" s="208"/>
      <c r="BF1196" s="208"/>
      <c r="BG1196" s="208"/>
      <c r="BH1196" s="208"/>
      <c r="BI1196" s="323"/>
    </row>
    <row r="1197" spans="3:61" ht="15" customHeight="1">
      <c r="C1197" s="327"/>
      <c r="D1197" s="328"/>
      <c r="E1197" s="213"/>
      <c r="F1197" s="213"/>
      <c r="G1197" s="213"/>
      <c r="H1197" s="213"/>
      <c r="I1197" s="213"/>
      <c r="K1197" s="56"/>
      <c r="L1197" s="312"/>
      <c r="M1197" s="312"/>
      <c r="N1197" s="312"/>
      <c r="O1197" s="312"/>
      <c r="P1197" s="318" t="str">
        <f t="shared" si="56"/>
        <v/>
      </c>
      <c r="Q1197" s="205" t="str">
        <f t="shared" si="54"/>
        <v/>
      </c>
      <c r="R1197" s="176"/>
      <c r="S1197" s="319" t="str">
        <f t="shared" si="55"/>
        <v/>
      </c>
      <c r="U1197" s="318"/>
      <c r="V1197" s="794"/>
      <c r="W1197" s="795"/>
      <c r="X1197" s="482"/>
      <c r="Y1197" s="482"/>
      <c r="Z1197" s="482"/>
      <c r="AA1197" s="319"/>
      <c r="AB1197" s="220"/>
      <c r="AC1197" s="318"/>
      <c r="AD1197" s="319"/>
      <c r="AE1197" s="220"/>
      <c r="AF1197" s="320"/>
      <c r="AG1197" s="205"/>
      <c r="AH1197" s="205"/>
      <c r="AI1197" s="205"/>
      <c r="AJ1197" s="205"/>
      <c r="AK1197" s="205"/>
      <c r="AL1197" s="205"/>
      <c r="AM1197" s="205"/>
      <c r="AN1197" s="205"/>
      <c r="AO1197" s="205"/>
      <c r="AP1197" s="205"/>
      <c r="AQ1197" s="205"/>
      <c r="AR1197" s="205"/>
      <c r="AS1197" s="205"/>
      <c r="AT1197" s="205"/>
      <c r="AU1197" s="205"/>
      <c r="AV1197" s="205"/>
      <c r="AW1197" s="205"/>
      <c r="AX1197" s="205"/>
      <c r="AY1197" s="205"/>
      <c r="AZ1197" s="205"/>
      <c r="BA1197" s="205"/>
      <c r="BB1197" s="205"/>
      <c r="BC1197" s="205"/>
      <c r="BD1197" s="205"/>
      <c r="BE1197" s="205"/>
      <c r="BF1197" s="205"/>
      <c r="BG1197" s="205"/>
      <c r="BH1197" s="205"/>
      <c r="BI1197" s="319"/>
    </row>
    <row r="1198" spans="3:61" ht="15" customHeight="1">
      <c r="C1198" s="327"/>
      <c r="D1198" s="328"/>
      <c r="E1198" s="213"/>
      <c r="F1198" s="213"/>
      <c r="G1198" s="213"/>
      <c r="H1198" s="213"/>
      <c r="I1198" s="213"/>
      <c r="K1198" s="56"/>
      <c r="L1198" s="312"/>
      <c r="M1198" s="312"/>
      <c r="N1198" s="312"/>
      <c r="O1198" s="312"/>
      <c r="P1198" s="322" t="str">
        <f t="shared" si="56"/>
        <v/>
      </c>
      <c r="Q1198" s="208" t="str">
        <f t="shared" si="54"/>
        <v/>
      </c>
      <c r="R1198" s="175"/>
      <c r="S1198" s="323" t="str">
        <f t="shared" si="55"/>
        <v/>
      </c>
      <c r="U1198" s="322"/>
      <c r="V1198" s="791"/>
      <c r="W1198" s="792"/>
      <c r="X1198" s="480"/>
      <c r="Y1198" s="480"/>
      <c r="Z1198" s="480"/>
      <c r="AA1198" s="323"/>
      <c r="AB1198" s="220"/>
      <c r="AC1198" s="322"/>
      <c r="AD1198" s="323"/>
      <c r="AE1198" s="220"/>
      <c r="AF1198" s="324"/>
      <c r="AG1198" s="208"/>
      <c r="AH1198" s="208"/>
      <c r="AI1198" s="208"/>
      <c r="AJ1198" s="208"/>
      <c r="AK1198" s="208"/>
      <c r="AL1198" s="208"/>
      <c r="AM1198" s="208"/>
      <c r="AN1198" s="208"/>
      <c r="AO1198" s="208"/>
      <c r="AP1198" s="208"/>
      <c r="AQ1198" s="208"/>
      <c r="AR1198" s="208"/>
      <c r="AS1198" s="208"/>
      <c r="AT1198" s="208"/>
      <c r="AU1198" s="208"/>
      <c r="AV1198" s="208"/>
      <c r="AW1198" s="208"/>
      <c r="AX1198" s="208"/>
      <c r="AY1198" s="208"/>
      <c r="AZ1198" s="208"/>
      <c r="BA1198" s="208"/>
      <c r="BB1198" s="208"/>
      <c r="BC1198" s="208"/>
      <c r="BD1198" s="208"/>
      <c r="BE1198" s="208"/>
      <c r="BF1198" s="208"/>
      <c r="BG1198" s="208"/>
      <c r="BH1198" s="208"/>
      <c r="BI1198" s="323"/>
    </row>
    <row r="1199" spans="3:61" ht="15" customHeight="1">
      <c r="C1199" s="327"/>
      <c r="D1199" s="328"/>
      <c r="E1199" s="213"/>
      <c r="F1199" s="213"/>
      <c r="G1199" s="213"/>
      <c r="H1199" s="213"/>
      <c r="I1199" s="213"/>
      <c r="K1199" s="56"/>
      <c r="L1199" s="312"/>
      <c r="M1199" s="312"/>
      <c r="N1199" s="312"/>
      <c r="O1199" s="312"/>
      <c r="P1199" s="318" t="str">
        <f t="shared" si="56"/>
        <v/>
      </c>
      <c r="Q1199" s="205" t="str">
        <f t="shared" si="54"/>
        <v/>
      </c>
      <c r="R1199" s="176"/>
      <c r="S1199" s="319" t="str">
        <f t="shared" si="55"/>
        <v/>
      </c>
      <c r="U1199" s="318"/>
      <c r="V1199" s="794"/>
      <c r="W1199" s="795"/>
      <c r="X1199" s="482"/>
      <c r="Y1199" s="482"/>
      <c r="Z1199" s="482"/>
      <c r="AA1199" s="319"/>
      <c r="AB1199" s="220"/>
      <c r="AC1199" s="318"/>
      <c r="AD1199" s="319"/>
      <c r="AE1199" s="220"/>
      <c r="AF1199" s="320"/>
      <c r="AG1199" s="205"/>
      <c r="AH1199" s="205"/>
      <c r="AI1199" s="205"/>
      <c r="AJ1199" s="205"/>
      <c r="AK1199" s="205"/>
      <c r="AL1199" s="205"/>
      <c r="AM1199" s="205"/>
      <c r="AN1199" s="205"/>
      <c r="AO1199" s="205"/>
      <c r="AP1199" s="205"/>
      <c r="AQ1199" s="205"/>
      <c r="AR1199" s="205"/>
      <c r="AS1199" s="205"/>
      <c r="AT1199" s="205"/>
      <c r="AU1199" s="205"/>
      <c r="AV1199" s="205"/>
      <c r="AW1199" s="205"/>
      <c r="AX1199" s="205"/>
      <c r="AY1199" s="205"/>
      <c r="AZ1199" s="205"/>
      <c r="BA1199" s="205"/>
      <c r="BB1199" s="205"/>
      <c r="BC1199" s="205"/>
      <c r="BD1199" s="205"/>
      <c r="BE1199" s="205"/>
      <c r="BF1199" s="205"/>
      <c r="BG1199" s="205"/>
      <c r="BH1199" s="205"/>
      <c r="BI1199" s="319"/>
    </row>
    <row r="1200" spans="3:61" ht="15" customHeight="1">
      <c r="C1200" s="327"/>
      <c r="D1200" s="328"/>
      <c r="E1200" s="213"/>
      <c r="F1200" s="213"/>
      <c r="G1200" s="213"/>
      <c r="H1200" s="213"/>
      <c r="I1200" s="213"/>
      <c r="K1200" s="56"/>
      <c r="L1200" s="312"/>
      <c r="M1200" s="312"/>
      <c r="N1200" s="312"/>
      <c r="O1200" s="312"/>
      <c r="P1200" s="322" t="str">
        <f t="shared" si="56"/>
        <v/>
      </c>
      <c r="Q1200" s="208" t="str">
        <f t="shared" si="54"/>
        <v/>
      </c>
      <c r="R1200" s="175"/>
      <c r="S1200" s="323" t="str">
        <f t="shared" si="55"/>
        <v/>
      </c>
      <c r="U1200" s="322"/>
      <c r="V1200" s="791"/>
      <c r="W1200" s="792"/>
      <c r="X1200" s="480"/>
      <c r="Y1200" s="480"/>
      <c r="Z1200" s="480"/>
      <c r="AA1200" s="323"/>
      <c r="AB1200" s="220"/>
      <c r="AC1200" s="322"/>
      <c r="AD1200" s="323"/>
      <c r="AE1200" s="220"/>
      <c r="AF1200" s="324"/>
      <c r="AG1200" s="208"/>
      <c r="AH1200" s="208"/>
      <c r="AI1200" s="208"/>
      <c r="AJ1200" s="208"/>
      <c r="AK1200" s="208"/>
      <c r="AL1200" s="208"/>
      <c r="AM1200" s="208"/>
      <c r="AN1200" s="208"/>
      <c r="AO1200" s="208"/>
      <c r="AP1200" s="208"/>
      <c r="AQ1200" s="208"/>
      <c r="AR1200" s="208"/>
      <c r="AS1200" s="208"/>
      <c r="AT1200" s="208"/>
      <c r="AU1200" s="208"/>
      <c r="AV1200" s="208"/>
      <c r="AW1200" s="208"/>
      <c r="AX1200" s="208"/>
      <c r="AY1200" s="208"/>
      <c r="AZ1200" s="208"/>
      <c r="BA1200" s="208"/>
      <c r="BB1200" s="208"/>
      <c r="BC1200" s="208"/>
      <c r="BD1200" s="208"/>
      <c r="BE1200" s="208"/>
      <c r="BF1200" s="208"/>
      <c r="BG1200" s="208"/>
      <c r="BH1200" s="208"/>
      <c r="BI1200" s="323"/>
    </row>
    <row r="1201" spans="3:61" ht="15" customHeight="1">
      <c r="C1201" s="327"/>
      <c r="D1201" s="328"/>
      <c r="E1201" s="213"/>
      <c r="F1201" s="213"/>
      <c r="G1201" s="213"/>
      <c r="H1201" s="213"/>
      <c r="I1201" s="213"/>
      <c r="K1201" s="56"/>
      <c r="L1201" s="312"/>
      <c r="M1201" s="312"/>
      <c r="N1201" s="312"/>
      <c r="O1201" s="312"/>
      <c r="P1201" s="318" t="str">
        <f t="shared" si="56"/>
        <v/>
      </c>
      <c r="Q1201" s="205" t="str">
        <f t="shared" si="54"/>
        <v/>
      </c>
      <c r="R1201" s="176"/>
      <c r="S1201" s="319" t="str">
        <f t="shared" si="55"/>
        <v/>
      </c>
      <c r="U1201" s="318"/>
      <c r="V1201" s="794"/>
      <c r="W1201" s="795"/>
      <c r="X1201" s="482"/>
      <c r="Y1201" s="482"/>
      <c r="Z1201" s="482"/>
      <c r="AA1201" s="319"/>
      <c r="AB1201" s="220"/>
      <c r="AC1201" s="318"/>
      <c r="AD1201" s="319"/>
      <c r="AE1201" s="220"/>
      <c r="AF1201" s="320"/>
      <c r="AG1201" s="205"/>
      <c r="AH1201" s="205"/>
      <c r="AI1201" s="205"/>
      <c r="AJ1201" s="205"/>
      <c r="AK1201" s="205"/>
      <c r="AL1201" s="205"/>
      <c r="AM1201" s="205"/>
      <c r="AN1201" s="205"/>
      <c r="AO1201" s="205"/>
      <c r="AP1201" s="205"/>
      <c r="AQ1201" s="205"/>
      <c r="AR1201" s="205"/>
      <c r="AS1201" s="205"/>
      <c r="AT1201" s="205"/>
      <c r="AU1201" s="205"/>
      <c r="AV1201" s="205"/>
      <c r="AW1201" s="205"/>
      <c r="AX1201" s="205"/>
      <c r="AY1201" s="205"/>
      <c r="AZ1201" s="205"/>
      <c r="BA1201" s="205"/>
      <c r="BB1201" s="205"/>
      <c r="BC1201" s="205"/>
      <c r="BD1201" s="205"/>
      <c r="BE1201" s="205"/>
      <c r="BF1201" s="205"/>
      <c r="BG1201" s="205"/>
      <c r="BH1201" s="205"/>
      <c r="BI1201" s="319"/>
    </row>
    <row r="1202" spans="3:61" ht="15" customHeight="1">
      <c r="C1202" s="327"/>
      <c r="D1202" s="328"/>
      <c r="E1202" s="213"/>
      <c r="F1202" s="213"/>
      <c r="G1202" s="213"/>
      <c r="H1202" s="213"/>
      <c r="I1202" s="213"/>
      <c r="K1202" s="56"/>
      <c r="L1202" s="312"/>
      <c r="M1202" s="312"/>
      <c r="N1202" s="312"/>
      <c r="O1202" s="312"/>
      <c r="P1202" s="322" t="str">
        <f t="shared" si="56"/>
        <v/>
      </c>
      <c r="Q1202" s="208" t="str">
        <f t="shared" si="54"/>
        <v/>
      </c>
      <c r="R1202" s="175"/>
      <c r="S1202" s="323" t="str">
        <f t="shared" si="55"/>
        <v/>
      </c>
      <c r="U1202" s="322"/>
      <c r="V1202" s="791"/>
      <c r="W1202" s="792"/>
      <c r="X1202" s="480"/>
      <c r="Y1202" s="480"/>
      <c r="Z1202" s="480"/>
      <c r="AA1202" s="323"/>
      <c r="AB1202" s="220"/>
      <c r="AC1202" s="322"/>
      <c r="AD1202" s="323"/>
      <c r="AE1202" s="220"/>
      <c r="AF1202" s="324"/>
      <c r="AG1202" s="208"/>
      <c r="AH1202" s="208"/>
      <c r="AI1202" s="208"/>
      <c r="AJ1202" s="208"/>
      <c r="AK1202" s="208"/>
      <c r="AL1202" s="208"/>
      <c r="AM1202" s="208"/>
      <c r="AN1202" s="208"/>
      <c r="AO1202" s="208"/>
      <c r="AP1202" s="208"/>
      <c r="AQ1202" s="208"/>
      <c r="AR1202" s="208"/>
      <c r="AS1202" s="208"/>
      <c r="AT1202" s="208"/>
      <c r="AU1202" s="208"/>
      <c r="AV1202" s="208"/>
      <c r="AW1202" s="208"/>
      <c r="AX1202" s="208"/>
      <c r="AY1202" s="208"/>
      <c r="AZ1202" s="208"/>
      <c r="BA1202" s="208"/>
      <c r="BB1202" s="208"/>
      <c r="BC1202" s="208"/>
      <c r="BD1202" s="208"/>
      <c r="BE1202" s="208"/>
      <c r="BF1202" s="208"/>
      <c r="BG1202" s="208"/>
      <c r="BH1202" s="208"/>
      <c r="BI1202" s="323"/>
    </row>
    <row r="1203" spans="3:61" ht="15" customHeight="1">
      <c r="C1203" s="327"/>
      <c r="D1203" s="328"/>
      <c r="E1203" s="213"/>
      <c r="F1203" s="213"/>
      <c r="G1203" s="213"/>
      <c r="H1203" s="213"/>
      <c r="I1203" s="213"/>
      <c r="K1203" s="56"/>
      <c r="L1203" s="312"/>
      <c r="M1203" s="312"/>
      <c r="N1203" s="312"/>
      <c r="O1203" s="312"/>
      <c r="P1203" s="318" t="str">
        <f t="shared" si="56"/>
        <v/>
      </c>
      <c r="Q1203" s="205" t="str">
        <f t="shared" si="54"/>
        <v/>
      </c>
      <c r="R1203" s="176"/>
      <c r="S1203" s="319" t="str">
        <f t="shared" si="55"/>
        <v/>
      </c>
      <c r="U1203" s="318"/>
      <c r="V1203" s="794"/>
      <c r="W1203" s="795"/>
      <c r="X1203" s="482"/>
      <c r="Y1203" s="482"/>
      <c r="Z1203" s="482"/>
      <c r="AA1203" s="319"/>
      <c r="AB1203" s="220"/>
      <c r="AC1203" s="318"/>
      <c r="AD1203" s="319"/>
      <c r="AE1203" s="220"/>
      <c r="AF1203" s="320"/>
      <c r="AG1203" s="205"/>
      <c r="AH1203" s="205"/>
      <c r="AI1203" s="205"/>
      <c r="AJ1203" s="205"/>
      <c r="AK1203" s="205"/>
      <c r="AL1203" s="205"/>
      <c r="AM1203" s="205"/>
      <c r="AN1203" s="205"/>
      <c r="AO1203" s="205"/>
      <c r="AP1203" s="205"/>
      <c r="AQ1203" s="205"/>
      <c r="AR1203" s="205"/>
      <c r="AS1203" s="205"/>
      <c r="AT1203" s="205"/>
      <c r="AU1203" s="205"/>
      <c r="AV1203" s="205"/>
      <c r="AW1203" s="205"/>
      <c r="AX1203" s="205"/>
      <c r="AY1203" s="205"/>
      <c r="AZ1203" s="205"/>
      <c r="BA1203" s="205"/>
      <c r="BB1203" s="205"/>
      <c r="BC1203" s="205"/>
      <c r="BD1203" s="205"/>
      <c r="BE1203" s="205"/>
      <c r="BF1203" s="205"/>
      <c r="BG1203" s="205"/>
      <c r="BH1203" s="205"/>
      <c r="BI1203" s="319"/>
    </row>
    <row r="1204" spans="3:61" ht="15" customHeight="1">
      <c r="C1204" s="327"/>
      <c r="D1204" s="328"/>
      <c r="E1204" s="213"/>
      <c r="F1204" s="213"/>
      <c r="G1204" s="213"/>
      <c r="H1204" s="213"/>
      <c r="I1204" s="213"/>
      <c r="K1204" s="56"/>
      <c r="L1204" s="312"/>
      <c r="M1204" s="312"/>
      <c r="N1204" s="312"/>
      <c r="O1204" s="312"/>
      <c r="P1204" s="322" t="str">
        <f t="shared" si="56"/>
        <v/>
      </c>
      <c r="Q1204" s="208" t="str">
        <f t="shared" si="54"/>
        <v/>
      </c>
      <c r="R1204" s="175"/>
      <c r="S1204" s="323" t="str">
        <f t="shared" si="55"/>
        <v/>
      </c>
      <c r="U1204" s="322"/>
      <c r="V1204" s="791"/>
      <c r="W1204" s="792"/>
      <c r="X1204" s="480"/>
      <c r="Y1204" s="480"/>
      <c r="Z1204" s="480"/>
      <c r="AA1204" s="323"/>
      <c r="AB1204" s="220"/>
      <c r="AC1204" s="322"/>
      <c r="AD1204" s="323"/>
      <c r="AE1204" s="220"/>
      <c r="AF1204" s="324"/>
      <c r="AG1204" s="208"/>
      <c r="AH1204" s="208"/>
      <c r="AI1204" s="208"/>
      <c r="AJ1204" s="208"/>
      <c r="AK1204" s="208"/>
      <c r="AL1204" s="208"/>
      <c r="AM1204" s="208"/>
      <c r="AN1204" s="208"/>
      <c r="AO1204" s="208"/>
      <c r="AP1204" s="208"/>
      <c r="AQ1204" s="208"/>
      <c r="AR1204" s="208"/>
      <c r="AS1204" s="208"/>
      <c r="AT1204" s="208"/>
      <c r="AU1204" s="208"/>
      <c r="AV1204" s="208"/>
      <c r="AW1204" s="208"/>
      <c r="AX1204" s="208"/>
      <c r="AY1204" s="208"/>
      <c r="AZ1204" s="208"/>
      <c r="BA1204" s="208"/>
      <c r="BB1204" s="208"/>
      <c r="BC1204" s="208"/>
      <c r="BD1204" s="208"/>
      <c r="BE1204" s="208"/>
      <c r="BF1204" s="208"/>
      <c r="BG1204" s="208"/>
      <c r="BH1204" s="208"/>
      <c r="BI1204" s="323"/>
    </row>
    <row r="1205" spans="3:61" ht="15" customHeight="1">
      <c r="C1205" s="327"/>
      <c r="D1205" s="328"/>
      <c r="E1205" s="213"/>
      <c r="F1205" s="213"/>
      <c r="G1205" s="213"/>
      <c r="H1205" s="213"/>
      <c r="I1205" s="213"/>
      <c r="K1205" s="56"/>
      <c r="L1205" s="312"/>
      <c r="M1205" s="312"/>
      <c r="N1205" s="312"/>
      <c r="O1205" s="312"/>
      <c r="P1205" s="318" t="str">
        <f t="shared" si="56"/>
        <v/>
      </c>
      <c r="Q1205" s="205" t="str">
        <f t="shared" si="54"/>
        <v/>
      </c>
      <c r="R1205" s="176"/>
      <c r="S1205" s="319" t="str">
        <f t="shared" si="55"/>
        <v/>
      </c>
      <c r="U1205" s="318"/>
      <c r="V1205" s="794"/>
      <c r="W1205" s="795"/>
      <c r="X1205" s="482"/>
      <c r="Y1205" s="482"/>
      <c r="Z1205" s="482"/>
      <c r="AA1205" s="319"/>
      <c r="AB1205" s="220"/>
      <c r="AC1205" s="318"/>
      <c r="AD1205" s="319"/>
      <c r="AE1205" s="220"/>
      <c r="AF1205" s="320"/>
      <c r="AG1205" s="205"/>
      <c r="AH1205" s="205"/>
      <c r="AI1205" s="205"/>
      <c r="AJ1205" s="205"/>
      <c r="AK1205" s="205"/>
      <c r="AL1205" s="205"/>
      <c r="AM1205" s="205"/>
      <c r="AN1205" s="205"/>
      <c r="AO1205" s="205"/>
      <c r="AP1205" s="205"/>
      <c r="AQ1205" s="205"/>
      <c r="AR1205" s="205"/>
      <c r="AS1205" s="205"/>
      <c r="AT1205" s="205"/>
      <c r="AU1205" s="205"/>
      <c r="AV1205" s="205"/>
      <c r="AW1205" s="205"/>
      <c r="AX1205" s="205"/>
      <c r="AY1205" s="205"/>
      <c r="AZ1205" s="205"/>
      <c r="BA1205" s="205"/>
      <c r="BB1205" s="205"/>
      <c r="BC1205" s="205"/>
      <c r="BD1205" s="205"/>
      <c r="BE1205" s="205"/>
      <c r="BF1205" s="205"/>
      <c r="BG1205" s="205"/>
      <c r="BH1205" s="205"/>
      <c r="BI1205" s="319"/>
    </row>
    <row r="1206" spans="3:61" ht="15" customHeight="1">
      <c r="C1206" s="327"/>
      <c r="D1206" s="328"/>
      <c r="E1206" s="213"/>
      <c r="F1206" s="213"/>
      <c r="G1206" s="213"/>
      <c r="H1206" s="213"/>
      <c r="I1206" s="213"/>
      <c r="K1206" s="56"/>
      <c r="L1206" s="312"/>
      <c r="M1206" s="312"/>
      <c r="N1206" s="312"/>
      <c r="O1206" s="312"/>
      <c r="P1206" s="322" t="str">
        <f t="shared" si="56"/>
        <v/>
      </c>
      <c r="Q1206" s="208" t="str">
        <f t="shared" si="54"/>
        <v/>
      </c>
      <c r="R1206" s="175"/>
      <c r="S1206" s="323" t="str">
        <f t="shared" si="55"/>
        <v/>
      </c>
      <c r="U1206" s="322"/>
      <c r="V1206" s="791"/>
      <c r="W1206" s="792"/>
      <c r="X1206" s="480"/>
      <c r="Y1206" s="480"/>
      <c r="Z1206" s="480"/>
      <c r="AA1206" s="323"/>
      <c r="AB1206" s="220"/>
      <c r="AC1206" s="322"/>
      <c r="AD1206" s="323"/>
      <c r="AE1206" s="220"/>
      <c r="AF1206" s="324"/>
      <c r="AG1206" s="208"/>
      <c r="AH1206" s="208"/>
      <c r="AI1206" s="208"/>
      <c r="AJ1206" s="208"/>
      <c r="AK1206" s="208"/>
      <c r="AL1206" s="208"/>
      <c r="AM1206" s="208"/>
      <c r="AN1206" s="208"/>
      <c r="AO1206" s="208"/>
      <c r="AP1206" s="208"/>
      <c r="AQ1206" s="208"/>
      <c r="AR1206" s="208"/>
      <c r="AS1206" s="208"/>
      <c r="AT1206" s="208"/>
      <c r="AU1206" s="208"/>
      <c r="AV1206" s="208"/>
      <c r="AW1206" s="208"/>
      <c r="AX1206" s="208"/>
      <c r="AY1206" s="208"/>
      <c r="AZ1206" s="208"/>
      <c r="BA1206" s="208"/>
      <c r="BB1206" s="208"/>
      <c r="BC1206" s="208"/>
      <c r="BD1206" s="208"/>
      <c r="BE1206" s="208"/>
      <c r="BF1206" s="208"/>
      <c r="BG1206" s="208"/>
      <c r="BH1206" s="208"/>
      <c r="BI1206" s="323"/>
    </row>
    <row r="1207" spans="3:61" ht="15" customHeight="1">
      <c r="C1207" s="327"/>
      <c r="D1207" s="328"/>
      <c r="E1207" s="213"/>
      <c r="F1207" s="213"/>
      <c r="G1207" s="213"/>
      <c r="H1207" s="213"/>
      <c r="I1207" s="213"/>
      <c r="K1207" s="56"/>
      <c r="L1207" s="312"/>
      <c r="M1207" s="312"/>
      <c r="N1207" s="312"/>
      <c r="O1207" s="312"/>
      <c r="P1207" s="318" t="str">
        <f t="shared" si="56"/>
        <v/>
      </c>
      <c r="Q1207" s="205" t="str">
        <f t="shared" si="54"/>
        <v/>
      </c>
      <c r="R1207" s="176"/>
      <c r="S1207" s="319" t="str">
        <f t="shared" si="55"/>
        <v/>
      </c>
      <c r="U1207" s="318"/>
      <c r="V1207" s="794"/>
      <c r="W1207" s="795"/>
      <c r="X1207" s="482"/>
      <c r="Y1207" s="482"/>
      <c r="Z1207" s="482"/>
      <c r="AA1207" s="319"/>
      <c r="AB1207" s="220"/>
      <c r="AC1207" s="318"/>
      <c r="AD1207" s="319"/>
      <c r="AE1207" s="220"/>
      <c r="AF1207" s="320"/>
      <c r="AG1207" s="205"/>
      <c r="AH1207" s="205"/>
      <c r="AI1207" s="205"/>
      <c r="AJ1207" s="205"/>
      <c r="AK1207" s="205"/>
      <c r="AL1207" s="205"/>
      <c r="AM1207" s="205"/>
      <c r="AN1207" s="205"/>
      <c r="AO1207" s="205"/>
      <c r="AP1207" s="205"/>
      <c r="AQ1207" s="205"/>
      <c r="AR1207" s="205"/>
      <c r="AS1207" s="205"/>
      <c r="AT1207" s="205"/>
      <c r="AU1207" s="205"/>
      <c r="AV1207" s="205"/>
      <c r="AW1207" s="205"/>
      <c r="AX1207" s="205"/>
      <c r="AY1207" s="205"/>
      <c r="AZ1207" s="205"/>
      <c r="BA1207" s="205"/>
      <c r="BB1207" s="205"/>
      <c r="BC1207" s="205"/>
      <c r="BD1207" s="205"/>
      <c r="BE1207" s="205"/>
      <c r="BF1207" s="205"/>
      <c r="BG1207" s="205"/>
      <c r="BH1207" s="205"/>
      <c r="BI1207" s="319"/>
    </row>
    <row r="1208" spans="3:61" ht="15" customHeight="1">
      <c r="C1208" s="327"/>
      <c r="D1208" s="328"/>
      <c r="E1208" s="213"/>
      <c r="F1208" s="213"/>
      <c r="G1208" s="213"/>
      <c r="H1208" s="213"/>
      <c r="I1208" s="213"/>
      <c r="K1208" s="56"/>
      <c r="L1208" s="312"/>
      <c r="M1208" s="312"/>
      <c r="N1208" s="312"/>
      <c r="O1208" s="312"/>
      <c r="P1208" s="322" t="str">
        <f t="shared" si="56"/>
        <v/>
      </c>
      <c r="Q1208" s="208" t="str">
        <f t="shared" si="54"/>
        <v/>
      </c>
      <c r="R1208" s="175"/>
      <c r="S1208" s="323" t="str">
        <f t="shared" si="55"/>
        <v/>
      </c>
      <c r="U1208" s="322"/>
      <c r="V1208" s="791"/>
      <c r="W1208" s="792"/>
      <c r="X1208" s="480"/>
      <c r="Y1208" s="480"/>
      <c r="Z1208" s="480"/>
      <c r="AA1208" s="323"/>
      <c r="AB1208" s="220"/>
      <c r="AC1208" s="322"/>
      <c r="AD1208" s="323"/>
      <c r="AE1208" s="220"/>
      <c r="AF1208" s="324"/>
      <c r="AG1208" s="208"/>
      <c r="AH1208" s="208"/>
      <c r="AI1208" s="208"/>
      <c r="AJ1208" s="208"/>
      <c r="AK1208" s="208"/>
      <c r="AL1208" s="208"/>
      <c r="AM1208" s="208"/>
      <c r="AN1208" s="208"/>
      <c r="AO1208" s="208"/>
      <c r="AP1208" s="208"/>
      <c r="AQ1208" s="208"/>
      <c r="AR1208" s="208"/>
      <c r="AS1208" s="208"/>
      <c r="AT1208" s="208"/>
      <c r="AU1208" s="208"/>
      <c r="AV1208" s="208"/>
      <c r="AW1208" s="208"/>
      <c r="AX1208" s="208"/>
      <c r="AY1208" s="208"/>
      <c r="AZ1208" s="208"/>
      <c r="BA1208" s="208"/>
      <c r="BB1208" s="208"/>
      <c r="BC1208" s="208"/>
      <c r="BD1208" s="208"/>
      <c r="BE1208" s="208"/>
      <c r="BF1208" s="208"/>
      <c r="BG1208" s="208"/>
      <c r="BH1208" s="208"/>
      <c r="BI1208" s="323"/>
    </row>
    <row r="1209" spans="3:61" ht="15" customHeight="1">
      <c r="C1209" s="327"/>
      <c r="D1209" s="328"/>
      <c r="E1209" s="213"/>
      <c r="F1209" s="213"/>
      <c r="G1209" s="213"/>
      <c r="H1209" s="213"/>
      <c r="I1209" s="213"/>
      <c r="K1209" s="56"/>
      <c r="L1209" s="312"/>
      <c r="M1209" s="312"/>
      <c r="N1209" s="312"/>
      <c r="O1209" s="312"/>
      <c r="P1209" s="318" t="str">
        <f t="shared" si="56"/>
        <v/>
      </c>
      <c r="Q1209" s="205" t="str">
        <f t="shared" si="54"/>
        <v/>
      </c>
      <c r="R1209" s="176"/>
      <c r="S1209" s="319" t="str">
        <f t="shared" si="55"/>
        <v/>
      </c>
      <c r="U1209" s="318"/>
      <c r="V1209" s="794"/>
      <c r="W1209" s="795"/>
      <c r="X1209" s="482"/>
      <c r="Y1209" s="482"/>
      <c r="Z1209" s="482"/>
      <c r="AA1209" s="319"/>
      <c r="AB1209" s="220"/>
      <c r="AC1209" s="318"/>
      <c r="AD1209" s="319"/>
      <c r="AE1209" s="220"/>
      <c r="AF1209" s="320"/>
      <c r="AG1209" s="205"/>
      <c r="AH1209" s="205"/>
      <c r="AI1209" s="205"/>
      <c r="AJ1209" s="205"/>
      <c r="AK1209" s="205"/>
      <c r="AL1209" s="205"/>
      <c r="AM1209" s="205"/>
      <c r="AN1209" s="205"/>
      <c r="AO1209" s="205"/>
      <c r="AP1209" s="205"/>
      <c r="AQ1209" s="205"/>
      <c r="AR1209" s="205"/>
      <c r="AS1209" s="205"/>
      <c r="AT1209" s="205"/>
      <c r="AU1209" s="205"/>
      <c r="AV1209" s="205"/>
      <c r="AW1209" s="205"/>
      <c r="AX1209" s="205"/>
      <c r="AY1209" s="205"/>
      <c r="AZ1209" s="205"/>
      <c r="BA1209" s="205"/>
      <c r="BB1209" s="205"/>
      <c r="BC1209" s="205"/>
      <c r="BD1209" s="205"/>
      <c r="BE1209" s="205"/>
      <c r="BF1209" s="205"/>
      <c r="BG1209" s="205"/>
      <c r="BH1209" s="205"/>
      <c r="BI1209" s="319"/>
    </row>
    <row r="1210" spans="3:61" ht="15" customHeight="1">
      <c r="C1210" s="327"/>
      <c r="D1210" s="328"/>
      <c r="E1210" s="213"/>
      <c r="F1210" s="213"/>
      <c r="G1210" s="213"/>
      <c r="H1210" s="213"/>
      <c r="I1210" s="213"/>
      <c r="K1210" s="56"/>
      <c r="L1210" s="312"/>
      <c r="M1210" s="312"/>
      <c r="N1210" s="312"/>
      <c r="O1210" s="312"/>
      <c r="P1210" s="322" t="str">
        <f t="shared" si="56"/>
        <v/>
      </c>
      <c r="Q1210" s="208" t="str">
        <f t="shared" si="54"/>
        <v/>
      </c>
      <c r="R1210" s="175"/>
      <c r="S1210" s="323" t="str">
        <f t="shared" si="55"/>
        <v/>
      </c>
      <c r="U1210" s="322"/>
      <c r="V1210" s="791"/>
      <c r="W1210" s="792"/>
      <c r="X1210" s="480"/>
      <c r="Y1210" s="480"/>
      <c r="Z1210" s="480"/>
      <c r="AA1210" s="323"/>
      <c r="AB1210" s="220"/>
      <c r="AC1210" s="322"/>
      <c r="AD1210" s="323"/>
      <c r="AE1210" s="220"/>
      <c r="AF1210" s="324"/>
      <c r="AG1210" s="208"/>
      <c r="AH1210" s="208"/>
      <c r="AI1210" s="208"/>
      <c r="AJ1210" s="208"/>
      <c r="AK1210" s="208"/>
      <c r="AL1210" s="208"/>
      <c r="AM1210" s="208"/>
      <c r="AN1210" s="208"/>
      <c r="AO1210" s="208"/>
      <c r="AP1210" s="208"/>
      <c r="AQ1210" s="208"/>
      <c r="AR1210" s="208"/>
      <c r="AS1210" s="208"/>
      <c r="AT1210" s="208"/>
      <c r="AU1210" s="208"/>
      <c r="AV1210" s="208"/>
      <c r="AW1210" s="208"/>
      <c r="AX1210" s="208"/>
      <c r="AY1210" s="208"/>
      <c r="AZ1210" s="208"/>
      <c r="BA1210" s="208"/>
      <c r="BB1210" s="208"/>
      <c r="BC1210" s="208"/>
      <c r="BD1210" s="208"/>
      <c r="BE1210" s="208"/>
      <c r="BF1210" s="208"/>
      <c r="BG1210" s="208"/>
      <c r="BH1210" s="208"/>
      <c r="BI1210" s="323"/>
    </row>
    <row r="1211" spans="3:61" ht="15" customHeight="1">
      <c r="C1211" s="327"/>
      <c r="D1211" s="328"/>
      <c r="E1211" s="213"/>
      <c r="F1211" s="213"/>
      <c r="G1211" s="213"/>
      <c r="H1211" s="213"/>
      <c r="I1211" s="213"/>
      <c r="K1211" s="56"/>
      <c r="L1211" s="312"/>
      <c r="M1211" s="312"/>
      <c r="N1211" s="312"/>
      <c r="O1211" s="312"/>
      <c r="P1211" s="318" t="str">
        <f t="shared" si="56"/>
        <v/>
      </c>
      <c r="Q1211" s="205" t="str">
        <f t="shared" si="54"/>
        <v/>
      </c>
      <c r="R1211" s="176"/>
      <c r="S1211" s="319" t="str">
        <f t="shared" si="55"/>
        <v/>
      </c>
      <c r="U1211" s="318"/>
      <c r="V1211" s="794"/>
      <c r="W1211" s="795"/>
      <c r="X1211" s="482"/>
      <c r="Y1211" s="482"/>
      <c r="Z1211" s="482"/>
      <c r="AA1211" s="319"/>
      <c r="AB1211" s="220"/>
      <c r="AC1211" s="318"/>
      <c r="AD1211" s="319"/>
      <c r="AE1211" s="220"/>
      <c r="AF1211" s="320"/>
      <c r="AG1211" s="205"/>
      <c r="AH1211" s="205"/>
      <c r="AI1211" s="205"/>
      <c r="AJ1211" s="205"/>
      <c r="AK1211" s="205"/>
      <c r="AL1211" s="205"/>
      <c r="AM1211" s="205"/>
      <c r="AN1211" s="205"/>
      <c r="AO1211" s="205"/>
      <c r="AP1211" s="205"/>
      <c r="AQ1211" s="205"/>
      <c r="AR1211" s="205"/>
      <c r="AS1211" s="205"/>
      <c r="AT1211" s="205"/>
      <c r="AU1211" s="205"/>
      <c r="AV1211" s="205"/>
      <c r="AW1211" s="205"/>
      <c r="AX1211" s="205"/>
      <c r="AY1211" s="205"/>
      <c r="AZ1211" s="205"/>
      <c r="BA1211" s="205"/>
      <c r="BB1211" s="205"/>
      <c r="BC1211" s="205"/>
      <c r="BD1211" s="205"/>
      <c r="BE1211" s="205"/>
      <c r="BF1211" s="205"/>
      <c r="BG1211" s="205"/>
      <c r="BH1211" s="205"/>
      <c r="BI1211" s="319"/>
    </row>
    <row r="1212" spans="3:61" ht="15" customHeight="1">
      <c r="C1212" s="327"/>
      <c r="D1212" s="328"/>
      <c r="E1212" s="213"/>
      <c r="F1212" s="213"/>
      <c r="G1212" s="213"/>
      <c r="H1212" s="213"/>
      <c r="I1212" s="213"/>
      <c r="K1212" s="56"/>
      <c r="L1212" s="312"/>
      <c r="M1212" s="312"/>
      <c r="N1212" s="312"/>
      <c r="O1212" s="312"/>
      <c r="P1212" s="322" t="str">
        <f t="shared" si="56"/>
        <v/>
      </c>
      <c r="Q1212" s="208" t="str">
        <f t="shared" si="54"/>
        <v/>
      </c>
      <c r="R1212" s="175"/>
      <c r="S1212" s="323" t="str">
        <f t="shared" si="55"/>
        <v/>
      </c>
      <c r="U1212" s="322"/>
      <c r="V1212" s="791"/>
      <c r="W1212" s="792"/>
      <c r="X1212" s="480"/>
      <c r="Y1212" s="480"/>
      <c r="Z1212" s="480"/>
      <c r="AA1212" s="323"/>
      <c r="AB1212" s="220"/>
      <c r="AC1212" s="322"/>
      <c r="AD1212" s="323"/>
      <c r="AE1212" s="220"/>
      <c r="AF1212" s="324"/>
      <c r="AG1212" s="208"/>
      <c r="AH1212" s="208"/>
      <c r="AI1212" s="208"/>
      <c r="AJ1212" s="208"/>
      <c r="AK1212" s="208"/>
      <c r="AL1212" s="208"/>
      <c r="AM1212" s="208"/>
      <c r="AN1212" s="208"/>
      <c r="AO1212" s="208"/>
      <c r="AP1212" s="208"/>
      <c r="AQ1212" s="208"/>
      <c r="AR1212" s="208"/>
      <c r="AS1212" s="208"/>
      <c r="AT1212" s="208"/>
      <c r="AU1212" s="208"/>
      <c r="AV1212" s="208"/>
      <c r="AW1212" s="208"/>
      <c r="AX1212" s="208"/>
      <c r="AY1212" s="208"/>
      <c r="AZ1212" s="208"/>
      <c r="BA1212" s="208"/>
      <c r="BB1212" s="208"/>
      <c r="BC1212" s="208"/>
      <c r="BD1212" s="208"/>
      <c r="BE1212" s="208"/>
      <c r="BF1212" s="208"/>
      <c r="BG1212" s="208"/>
      <c r="BH1212" s="208"/>
      <c r="BI1212" s="323"/>
    </row>
    <row r="1213" spans="3:61" ht="15" customHeight="1">
      <c r="C1213" s="327"/>
      <c r="D1213" s="328"/>
      <c r="E1213" s="213"/>
      <c r="F1213" s="213"/>
      <c r="G1213" s="213"/>
      <c r="H1213" s="213"/>
      <c r="I1213" s="213"/>
      <c r="K1213" s="56"/>
      <c r="L1213" s="312"/>
      <c r="M1213" s="312"/>
      <c r="N1213" s="312"/>
      <c r="O1213" s="312"/>
      <c r="P1213" s="318" t="str">
        <f t="shared" si="56"/>
        <v/>
      </c>
      <c r="Q1213" s="205" t="str">
        <f t="shared" si="54"/>
        <v/>
      </c>
      <c r="R1213" s="176"/>
      <c r="S1213" s="319" t="str">
        <f t="shared" si="55"/>
        <v/>
      </c>
      <c r="U1213" s="318"/>
      <c r="V1213" s="794"/>
      <c r="W1213" s="795"/>
      <c r="X1213" s="482"/>
      <c r="Y1213" s="482"/>
      <c r="Z1213" s="482"/>
      <c r="AA1213" s="319"/>
      <c r="AB1213" s="220"/>
      <c r="AC1213" s="318"/>
      <c r="AD1213" s="319"/>
      <c r="AE1213" s="220"/>
      <c r="AF1213" s="320"/>
      <c r="AG1213" s="205"/>
      <c r="AH1213" s="205"/>
      <c r="AI1213" s="205"/>
      <c r="AJ1213" s="205"/>
      <c r="AK1213" s="205"/>
      <c r="AL1213" s="205"/>
      <c r="AM1213" s="205"/>
      <c r="AN1213" s="205"/>
      <c r="AO1213" s="205"/>
      <c r="AP1213" s="205"/>
      <c r="AQ1213" s="205"/>
      <c r="AR1213" s="205"/>
      <c r="AS1213" s="205"/>
      <c r="AT1213" s="205"/>
      <c r="AU1213" s="205"/>
      <c r="AV1213" s="205"/>
      <c r="AW1213" s="205"/>
      <c r="AX1213" s="205"/>
      <c r="AY1213" s="205"/>
      <c r="AZ1213" s="205"/>
      <c r="BA1213" s="205"/>
      <c r="BB1213" s="205"/>
      <c r="BC1213" s="205"/>
      <c r="BD1213" s="205"/>
      <c r="BE1213" s="205"/>
      <c r="BF1213" s="205"/>
      <c r="BG1213" s="205"/>
      <c r="BH1213" s="205"/>
      <c r="BI1213" s="319"/>
    </row>
    <row r="1214" spans="3:61" ht="15" customHeight="1">
      <c r="C1214" s="327"/>
      <c r="D1214" s="328"/>
      <c r="E1214" s="213"/>
      <c r="F1214" s="213"/>
      <c r="G1214" s="213"/>
      <c r="H1214" s="213"/>
      <c r="I1214" s="213"/>
      <c r="K1214" s="56"/>
      <c r="L1214" s="312"/>
      <c r="M1214" s="312"/>
      <c r="N1214" s="312"/>
      <c r="O1214" s="312"/>
      <c r="P1214" s="322" t="str">
        <f t="shared" si="56"/>
        <v/>
      </c>
      <c r="Q1214" s="208" t="str">
        <f t="shared" si="54"/>
        <v/>
      </c>
      <c r="R1214" s="175"/>
      <c r="S1214" s="323" t="str">
        <f t="shared" si="55"/>
        <v/>
      </c>
      <c r="U1214" s="322"/>
      <c r="V1214" s="791"/>
      <c r="W1214" s="792"/>
      <c r="X1214" s="480"/>
      <c r="Y1214" s="480"/>
      <c r="Z1214" s="480"/>
      <c r="AA1214" s="323"/>
      <c r="AB1214" s="220"/>
      <c r="AC1214" s="322"/>
      <c r="AD1214" s="323"/>
      <c r="AE1214" s="220"/>
      <c r="AF1214" s="324"/>
      <c r="AG1214" s="208"/>
      <c r="AH1214" s="208"/>
      <c r="AI1214" s="208"/>
      <c r="AJ1214" s="208"/>
      <c r="AK1214" s="208"/>
      <c r="AL1214" s="208"/>
      <c r="AM1214" s="208"/>
      <c r="AN1214" s="208"/>
      <c r="AO1214" s="208"/>
      <c r="AP1214" s="208"/>
      <c r="AQ1214" s="208"/>
      <c r="AR1214" s="208"/>
      <c r="AS1214" s="208"/>
      <c r="AT1214" s="208"/>
      <c r="AU1214" s="208"/>
      <c r="AV1214" s="208"/>
      <c r="AW1214" s="208"/>
      <c r="AX1214" s="208"/>
      <c r="AY1214" s="208"/>
      <c r="AZ1214" s="208"/>
      <c r="BA1214" s="208"/>
      <c r="BB1214" s="208"/>
      <c r="BC1214" s="208"/>
      <c r="BD1214" s="208"/>
      <c r="BE1214" s="208"/>
      <c r="BF1214" s="208"/>
      <c r="BG1214" s="208"/>
      <c r="BH1214" s="208"/>
      <c r="BI1214" s="323"/>
    </row>
    <row r="1215" spans="3:61" ht="15" customHeight="1">
      <c r="C1215" s="327"/>
      <c r="D1215" s="328"/>
      <c r="E1215" s="213"/>
      <c r="F1215" s="213"/>
      <c r="G1215" s="213"/>
      <c r="H1215" s="213"/>
      <c r="I1215" s="213"/>
      <c r="K1215" s="56"/>
      <c r="L1215" s="312"/>
      <c r="M1215" s="312"/>
      <c r="N1215" s="312"/>
      <c r="O1215" s="312"/>
      <c r="P1215" s="318" t="str">
        <f t="shared" si="56"/>
        <v/>
      </c>
      <c r="Q1215" s="205" t="str">
        <f t="shared" si="54"/>
        <v/>
      </c>
      <c r="R1215" s="176"/>
      <c r="S1215" s="319" t="str">
        <f t="shared" si="55"/>
        <v/>
      </c>
      <c r="U1215" s="318"/>
      <c r="V1215" s="794"/>
      <c r="W1215" s="795"/>
      <c r="X1215" s="482"/>
      <c r="Y1215" s="482"/>
      <c r="Z1215" s="482"/>
      <c r="AA1215" s="319"/>
      <c r="AB1215" s="220"/>
      <c r="AC1215" s="318"/>
      <c r="AD1215" s="319"/>
      <c r="AE1215" s="220"/>
      <c r="AF1215" s="320"/>
      <c r="AG1215" s="205"/>
      <c r="AH1215" s="205"/>
      <c r="AI1215" s="205"/>
      <c r="AJ1215" s="205"/>
      <c r="AK1215" s="205"/>
      <c r="AL1215" s="205"/>
      <c r="AM1215" s="205"/>
      <c r="AN1215" s="205"/>
      <c r="AO1215" s="205"/>
      <c r="AP1215" s="205"/>
      <c r="AQ1215" s="205"/>
      <c r="AR1215" s="205"/>
      <c r="AS1215" s="205"/>
      <c r="AT1215" s="205"/>
      <c r="AU1215" s="205"/>
      <c r="AV1215" s="205"/>
      <c r="AW1215" s="205"/>
      <c r="AX1215" s="205"/>
      <c r="AY1215" s="205"/>
      <c r="AZ1215" s="205"/>
      <c r="BA1215" s="205"/>
      <c r="BB1215" s="205"/>
      <c r="BC1215" s="205"/>
      <c r="BD1215" s="205"/>
      <c r="BE1215" s="205"/>
      <c r="BF1215" s="205"/>
      <c r="BG1215" s="205"/>
      <c r="BH1215" s="205"/>
      <c r="BI1215" s="319"/>
    </row>
    <row r="1216" spans="3:61" ht="15" customHeight="1">
      <c r="C1216" s="327"/>
      <c r="D1216" s="328"/>
      <c r="E1216" s="213"/>
      <c r="F1216" s="213"/>
      <c r="G1216" s="213"/>
      <c r="H1216" s="213"/>
      <c r="I1216" s="213"/>
      <c r="K1216" s="56"/>
      <c r="L1216" s="312"/>
      <c r="M1216" s="312"/>
      <c r="N1216" s="312"/>
      <c r="O1216" s="312"/>
      <c r="P1216" s="322" t="str">
        <f t="shared" si="56"/>
        <v/>
      </c>
      <c r="Q1216" s="208" t="str">
        <f t="shared" si="54"/>
        <v/>
      </c>
      <c r="R1216" s="175"/>
      <c r="S1216" s="323" t="str">
        <f t="shared" si="55"/>
        <v/>
      </c>
      <c r="U1216" s="322"/>
      <c r="V1216" s="791"/>
      <c r="W1216" s="792"/>
      <c r="X1216" s="480"/>
      <c r="Y1216" s="480"/>
      <c r="Z1216" s="480"/>
      <c r="AA1216" s="323"/>
      <c r="AB1216" s="220"/>
      <c r="AC1216" s="322"/>
      <c r="AD1216" s="323"/>
      <c r="AE1216" s="220"/>
      <c r="AF1216" s="324"/>
      <c r="AG1216" s="208"/>
      <c r="AH1216" s="208"/>
      <c r="AI1216" s="208"/>
      <c r="AJ1216" s="208"/>
      <c r="AK1216" s="208"/>
      <c r="AL1216" s="208"/>
      <c r="AM1216" s="208"/>
      <c r="AN1216" s="208"/>
      <c r="AO1216" s="208"/>
      <c r="AP1216" s="208"/>
      <c r="AQ1216" s="208"/>
      <c r="AR1216" s="208"/>
      <c r="AS1216" s="208"/>
      <c r="AT1216" s="208"/>
      <c r="AU1216" s="208"/>
      <c r="AV1216" s="208"/>
      <c r="AW1216" s="208"/>
      <c r="AX1216" s="208"/>
      <c r="AY1216" s="208"/>
      <c r="AZ1216" s="208"/>
      <c r="BA1216" s="208"/>
      <c r="BB1216" s="208"/>
      <c r="BC1216" s="208"/>
      <c r="BD1216" s="208"/>
      <c r="BE1216" s="208"/>
      <c r="BF1216" s="208"/>
      <c r="BG1216" s="208"/>
      <c r="BH1216" s="208"/>
      <c r="BI1216" s="323"/>
    </row>
    <row r="1217" spans="3:61" ht="15" customHeight="1">
      <c r="C1217" s="327"/>
      <c r="D1217" s="328"/>
      <c r="E1217" s="213"/>
      <c r="F1217" s="213"/>
      <c r="G1217" s="213"/>
      <c r="H1217" s="213"/>
      <c r="I1217" s="213"/>
      <c r="K1217" s="56"/>
      <c r="L1217" s="312"/>
      <c r="M1217" s="312"/>
      <c r="N1217" s="312"/>
      <c r="O1217" s="312"/>
      <c r="P1217" s="318" t="str">
        <f t="shared" si="56"/>
        <v/>
      </c>
      <c r="Q1217" s="205" t="str">
        <f t="shared" si="54"/>
        <v/>
      </c>
      <c r="R1217" s="176"/>
      <c r="S1217" s="319" t="str">
        <f t="shared" si="55"/>
        <v/>
      </c>
      <c r="U1217" s="318"/>
      <c r="V1217" s="794"/>
      <c r="W1217" s="795"/>
      <c r="X1217" s="482"/>
      <c r="Y1217" s="482"/>
      <c r="Z1217" s="482"/>
      <c r="AA1217" s="319"/>
      <c r="AB1217" s="220"/>
      <c r="AC1217" s="318"/>
      <c r="AD1217" s="319"/>
      <c r="AE1217" s="220"/>
      <c r="AF1217" s="320"/>
      <c r="AG1217" s="205"/>
      <c r="AH1217" s="205"/>
      <c r="AI1217" s="205"/>
      <c r="AJ1217" s="205"/>
      <c r="AK1217" s="205"/>
      <c r="AL1217" s="205"/>
      <c r="AM1217" s="205"/>
      <c r="AN1217" s="205"/>
      <c r="AO1217" s="205"/>
      <c r="AP1217" s="205"/>
      <c r="AQ1217" s="205"/>
      <c r="AR1217" s="205"/>
      <c r="AS1217" s="205"/>
      <c r="AT1217" s="205"/>
      <c r="AU1217" s="205"/>
      <c r="AV1217" s="205"/>
      <c r="AW1217" s="205"/>
      <c r="AX1217" s="205"/>
      <c r="AY1217" s="205"/>
      <c r="AZ1217" s="205"/>
      <c r="BA1217" s="205"/>
      <c r="BB1217" s="205"/>
      <c r="BC1217" s="205"/>
      <c r="BD1217" s="205"/>
      <c r="BE1217" s="205"/>
      <c r="BF1217" s="205"/>
      <c r="BG1217" s="205"/>
      <c r="BH1217" s="205"/>
      <c r="BI1217" s="319"/>
    </row>
    <row r="1218" spans="3:61" ht="15" customHeight="1">
      <c r="C1218" s="327"/>
      <c r="D1218" s="328"/>
      <c r="E1218" s="213"/>
      <c r="F1218" s="213"/>
      <c r="G1218" s="213"/>
      <c r="H1218" s="213"/>
      <c r="I1218" s="213"/>
      <c r="K1218" s="56"/>
      <c r="L1218" s="312"/>
      <c r="M1218" s="312"/>
      <c r="N1218" s="312"/>
      <c r="O1218" s="312"/>
      <c r="P1218" s="322" t="str">
        <f t="shared" si="56"/>
        <v/>
      </c>
      <c r="Q1218" s="208" t="str">
        <f t="shared" si="54"/>
        <v/>
      </c>
      <c r="R1218" s="175"/>
      <c r="S1218" s="323" t="str">
        <f t="shared" si="55"/>
        <v/>
      </c>
      <c r="U1218" s="322"/>
      <c r="V1218" s="791"/>
      <c r="W1218" s="792"/>
      <c r="X1218" s="480"/>
      <c r="Y1218" s="480"/>
      <c r="Z1218" s="480"/>
      <c r="AA1218" s="323"/>
      <c r="AB1218" s="220"/>
      <c r="AC1218" s="322"/>
      <c r="AD1218" s="323"/>
      <c r="AE1218" s="220"/>
      <c r="AF1218" s="324"/>
      <c r="AG1218" s="208"/>
      <c r="AH1218" s="208"/>
      <c r="AI1218" s="208"/>
      <c r="AJ1218" s="208"/>
      <c r="AK1218" s="208"/>
      <c r="AL1218" s="208"/>
      <c r="AM1218" s="208"/>
      <c r="AN1218" s="208"/>
      <c r="AO1218" s="208"/>
      <c r="AP1218" s="208"/>
      <c r="AQ1218" s="208"/>
      <c r="AR1218" s="208"/>
      <c r="AS1218" s="208"/>
      <c r="AT1218" s="208"/>
      <c r="AU1218" s="208"/>
      <c r="AV1218" s="208"/>
      <c r="AW1218" s="208"/>
      <c r="AX1218" s="208"/>
      <c r="AY1218" s="208"/>
      <c r="AZ1218" s="208"/>
      <c r="BA1218" s="208"/>
      <c r="BB1218" s="208"/>
      <c r="BC1218" s="208"/>
      <c r="BD1218" s="208"/>
      <c r="BE1218" s="208"/>
      <c r="BF1218" s="208"/>
      <c r="BG1218" s="208"/>
      <c r="BH1218" s="208"/>
      <c r="BI1218" s="323"/>
    </row>
    <row r="1219" spans="3:61" ht="15" customHeight="1">
      <c r="C1219" s="327"/>
      <c r="D1219" s="328"/>
      <c r="E1219" s="213"/>
      <c r="F1219" s="213"/>
      <c r="G1219" s="213"/>
      <c r="H1219" s="213"/>
      <c r="I1219" s="213"/>
      <c r="K1219" s="56"/>
      <c r="L1219" s="312"/>
      <c r="M1219" s="312"/>
      <c r="N1219" s="312"/>
      <c r="O1219" s="312"/>
      <c r="P1219" s="318" t="str">
        <f t="shared" si="56"/>
        <v/>
      </c>
      <c r="Q1219" s="205" t="str">
        <f t="shared" si="54"/>
        <v/>
      </c>
      <c r="R1219" s="176"/>
      <c r="S1219" s="319" t="str">
        <f t="shared" si="55"/>
        <v/>
      </c>
      <c r="U1219" s="318"/>
      <c r="V1219" s="794"/>
      <c r="W1219" s="795"/>
      <c r="X1219" s="482"/>
      <c r="Y1219" s="482"/>
      <c r="Z1219" s="482"/>
      <c r="AA1219" s="319"/>
      <c r="AB1219" s="220"/>
      <c r="AC1219" s="318"/>
      <c r="AD1219" s="319"/>
      <c r="AE1219" s="220"/>
      <c r="AF1219" s="320"/>
      <c r="AG1219" s="205"/>
      <c r="AH1219" s="205"/>
      <c r="AI1219" s="205"/>
      <c r="AJ1219" s="205"/>
      <c r="AK1219" s="205"/>
      <c r="AL1219" s="205"/>
      <c r="AM1219" s="205"/>
      <c r="AN1219" s="205"/>
      <c r="AO1219" s="205"/>
      <c r="AP1219" s="205"/>
      <c r="AQ1219" s="205"/>
      <c r="AR1219" s="205"/>
      <c r="AS1219" s="205"/>
      <c r="AT1219" s="205"/>
      <c r="AU1219" s="205"/>
      <c r="AV1219" s="205"/>
      <c r="AW1219" s="205"/>
      <c r="AX1219" s="205"/>
      <c r="AY1219" s="205"/>
      <c r="AZ1219" s="205"/>
      <c r="BA1219" s="205"/>
      <c r="BB1219" s="205"/>
      <c r="BC1219" s="205"/>
      <c r="BD1219" s="205"/>
      <c r="BE1219" s="205"/>
      <c r="BF1219" s="205"/>
      <c r="BG1219" s="205"/>
      <c r="BH1219" s="205"/>
      <c r="BI1219" s="319"/>
    </row>
    <row r="1220" spans="3:61" ht="15" customHeight="1">
      <c r="C1220" s="327"/>
      <c r="D1220" s="328"/>
      <c r="E1220" s="213"/>
      <c r="F1220" s="213"/>
      <c r="G1220" s="213"/>
      <c r="H1220" s="213"/>
      <c r="I1220" s="213"/>
      <c r="K1220" s="56"/>
      <c r="L1220" s="312"/>
      <c r="M1220" s="312"/>
      <c r="N1220" s="312"/>
      <c r="O1220" s="312"/>
      <c r="P1220" s="322" t="str">
        <f t="shared" si="56"/>
        <v/>
      </c>
      <c r="Q1220" s="208" t="str">
        <f t="shared" si="54"/>
        <v/>
      </c>
      <c r="R1220" s="175"/>
      <c r="S1220" s="323" t="str">
        <f t="shared" si="55"/>
        <v/>
      </c>
      <c r="U1220" s="322"/>
      <c r="V1220" s="791"/>
      <c r="W1220" s="792"/>
      <c r="X1220" s="480"/>
      <c r="Y1220" s="480"/>
      <c r="Z1220" s="480"/>
      <c r="AA1220" s="323"/>
      <c r="AB1220" s="220"/>
      <c r="AC1220" s="322"/>
      <c r="AD1220" s="323"/>
      <c r="AE1220" s="220"/>
      <c r="AF1220" s="324"/>
      <c r="AG1220" s="208"/>
      <c r="AH1220" s="208"/>
      <c r="AI1220" s="208"/>
      <c r="AJ1220" s="208"/>
      <c r="AK1220" s="208"/>
      <c r="AL1220" s="208"/>
      <c r="AM1220" s="208"/>
      <c r="AN1220" s="208"/>
      <c r="AO1220" s="208"/>
      <c r="AP1220" s="208"/>
      <c r="AQ1220" s="208"/>
      <c r="AR1220" s="208"/>
      <c r="AS1220" s="208"/>
      <c r="AT1220" s="208"/>
      <c r="AU1220" s="208"/>
      <c r="AV1220" s="208"/>
      <c r="AW1220" s="208"/>
      <c r="AX1220" s="208"/>
      <c r="AY1220" s="208"/>
      <c r="AZ1220" s="208"/>
      <c r="BA1220" s="208"/>
      <c r="BB1220" s="208"/>
      <c r="BC1220" s="208"/>
      <c r="BD1220" s="208"/>
      <c r="BE1220" s="208"/>
      <c r="BF1220" s="208"/>
      <c r="BG1220" s="208"/>
      <c r="BH1220" s="208"/>
      <c r="BI1220" s="323"/>
    </row>
    <row r="1221" spans="3:61" ht="15" customHeight="1">
      <c r="C1221" s="327"/>
      <c r="D1221" s="328"/>
      <c r="E1221" s="213"/>
      <c r="F1221" s="213"/>
      <c r="G1221" s="213"/>
      <c r="H1221" s="213"/>
      <c r="I1221" s="213"/>
      <c r="K1221" s="56"/>
      <c r="L1221" s="312"/>
      <c r="M1221" s="312"/>
      <c r="N1221" s="312"/>
      <c r="O1221" s="312"/>
      <c r="P1221" s="318" t="str">
        <f t="shared" si="56"/>
        <v/>
      </c>
      <c r="Q1221" s="205" t="str">
        <f t="shared" si="54"/>
        <v/>
      </c>
      <c r="R1221" s="176"/>
      <c r="S1221" s="319" t="str">
        <f t="shared" si="55"/>
        <v/>
      </c>
      <c r="U1221" s="318"/>
      <c r="V1221" s="794"/>
      <c r="W1221" s="795"/>
      <c r="X1221" s="482"/>
      <c r="Y1221" s="482"/>
      <c r="Z1221" s="482"/>
      <c r="AA1221" s="319"/>
      <c r="AB1221" s="220"/>
      <c r="AC1221" s="318"/>
      <c r="AD1221" s="319"/>
      <c r="AE1221" s="220"/>
      <c r="AF1221" s="320"/>
      <c r="AG1221" s="205"/>
      <c r="AH1221" s="205"/>
      <c r="AI1221" s="205"/>
      <c r="AJ1221" s="205"/>
      <c r="AK1221" s="205"/>
      <c r="AL1221" s="205"/>
      <c r="AM1221" s="205"/>
      <c r="AN1221" s="205"/>
      <c r="AO1221" s="205"/>
      <c r="AP1221" s="205"/>
      <c r="AQ1221" s="205"/>
      <c r="AR1221" s="205"/>
      <c r="AS1221" s="205"/>
      <c r="AT1221" s="205"/>
      <c r="AU1221" s="205"/>
      <c r="AV1221" s="205"/>
      <c r="AW1221" s="205"/>
      <c r="AX1221" s="205"/>
      <c r="AY1221" s="205"/>
      <c r="AZ1221" s="205"/>
      <c r="BA1221" s="205"/>
      <c r="BB1221" s="205"/>
      <c r="BC1221" s="205"/>
      <c r="BD1221" s="205"/>
      <c r="BE1221" s="205"/>
      <c r="BF1221" s="205"/>
      <c r="BG1221" s="205"/>
      <c r="BH1221" s="205"/>
      <c r="BI1221" s="319"/>
    </row>
    <row r="1222" spans="3:61" ht="15" customHeight="1">
      <c r="C1222" s="327"/>
      <c r="D1222" s="328"/>
      <c r="E1222" s="213"/>
      <c r="F1222" s="213"/>
      <c r="G1222" s="213"/>
      <c r="H1222" s="213"/>
      <c r="I1222" s="213"/>
      <c r="K1222" s="56"/>
      <c r="L1222" s="312"/>
      <c r="M1222" s="312"/>
      <c r="N1222" s="312"/>
      <c r="O1222" s="312"/>
      <c r="P1222" s="322" t="str">
        <f t="shared" si="56"/>
        <v/>
      </c>
      <c r="Q1222" s="208" t="str">
        <f t="shared" si="54"/>
        <v/>
      </c>
      <c r="R1222" s="175"/>
      <c r="S1222" s="323" t="str">
        <f t="shared" si="55"/>
        <v/>
      </c>
      <c r="U1222" s="322"/>
      <c r="V1222" s="791"/>
      <c r="W1222" s="792"/>
      <c r="X1222" s="480"/>
      <c r="Y1222" s="480"/>
      <c r="Z1222" s="480"/>
      <c r="AA1222" s="323"/>
      <c r="AB1222" s="220"/>
      <c r="AC1222" s="322"/>
      <c r="AD1222" s="323"/>
      <c r="AE1222" s="220"/>
      <c r="AF1222" s="324"/>
      <c r="AG1222" s="208"/>
      <c r="AH1222" s="208"/>
      <c r="AI1222" s="208"/>
      <c r="AJ1222" s="208"/>
      <c r="AK1222" s="208"/>
      <c r="AL1222" s="208"/>
      <c r="AM1222" s="208"/>
      <c r="AN1222" s="208"/>
      <c r="AO1222" s="208"/>
      <c r="AP1222" s="208"/>
      <c r="AQ1222" s="208"/>
      <c r="AR1222" s="208"/>
      <c r="AS1222" s="208"/>
      <c r="AT1222" s="208"/>
      <c r="AU1222" s="208"/>
      <c r="AV1222" s="208"/>
      <c r="AW1222" s="208"/>
      <c r="AX1222" s="208"/>
      <c r="AY1222" s="208"/>
      <c r="AZ1222" s="208"/>
      <c r="BA1222" s="208"/>
      <c r="BB1222" s="208"/>
      <c r="BC1222" s="208"/>
      <c r="BD1222" s="208"/>
      <c r="BE1222" s="208"/>
      <c r="BF1222" s="208"/>
      <c r="BG1222" s="208"/>
      <c r="BH1222" s="208"/>
      <c r="BI1222" s="323"/>
    </row>
    <row r="1223" spans="3:61" ht="15" customHeight="1">
      <c r="C1223" s="327"/>
      <c r="D1223" s="328"/>
      <c r="E1223" s="213"/>
      <c r="F1223" s="213"/>
      <c r="G1223" s="213"/>
      <c r="H1223" s="213"/>
      <c r="I1223" s="213"/>
      <c r="K1223" s="56"/>
      <c r="L1223" s="312"/>
      <c r="M1223" s="312"/>
      <c r="N1223" s="312"/>
      <c r="O1223" s="312"/>
      <c r="P1223" s="318" t="str">
        <f t="shared" si="56"/>
        <v/>
      </c>
      <c r="Q1223" s="205" t="str">
        <f t="shared" si="54"/>
        <v/>
      </c>
      <c r="R1223" s="176"/>
      <c r="S1223" s="319" t="str">
        <f t="shared" si="55"/>
        <v/>
      </c>
      <c r="U1223" s="318"/>
      <c r="V1223" s="794"/>
      <c r="W1223" s="795"/>
      <c r="X1223" s="482"/>
      <c r="Y1223" s="482"/>
      <c r="Z1223" s="482"/>
      <c r="AA1223" s="319"/>
      <c r="AB1223" s="220"/>
      <c r="AC1223" s="318"/>
      <c r="AD1223" s="319"/>
      <c r="AE1223" s="220"/>
      <c r="AF1223" s="320"/>
      <c r="AG1223" s="205"/>
      <c r="AH1223" s="205"/>
      <c r="AI1223" s="205"/>
      <c r="AJ1223" s="205"/>
      <c r="AK1223" s="205"/>
      <c r="AL1223" s="205"/>
      <c r="AM1223" s="205"/>
      <c r="AN1223" s="205"/>
      <c r="AO1223" s="205"/>
      <c r="AP1223" s="205"/>
      <c r="AQ1223" s="205"/>
      <c r="AR1223" s="205"/>
      <c r="AS1223" s="205"/>
      <c r="AT1223" s="205"/>
      <c r="AU1223" s="205"/>
      <c r="AV1223" s="205"/>
      <c r="AW1223" s="205"/>
      <c r="AX1223" s="205"/>
      <c r="AY1223" s="205"/>
      <c r="AZ1223" s="205"/>
      <c r="BA1223" s="205"/>
      <c r="BB1223" s="205"/>
      <c r="BC1223" s="205"/>
      <c r="BD1223" s="205"/>
      <c r="BE1223" s="205"/>
      <c r="BF1223" s="205"/>
      <c r="BG1223" s="205"/>
      <c r="BH1223" s="205"/>
      <c r="BI1223" s="319"/>
    </row>
    <row r="1224" spans="3:61" ht="15" customHeight="1">
      <c r="C1224" s="327"/>
      <c r="D1224" s="328"/>
      <c r="E1224" s="213"/>
      <c r="F1224" s="213"/>
      <c r="G1224" s="213"/>
      <c r="H1224" s="213"/>
      <c r="I1224" s="213"/>
      <c r="K1224" s="56"/>
      <c r="L1224" s="312"/>
      <c r="M1224" s="312"/>
      <c r="N1224" s="312"/>
      <c r="O1224" s="312"/>
      <c r="P1224" s="322" t="str">
        <f t="shared" si="56"/>
        <v/>
      </c>
      <c r="Q1224" s="208" t="str">
        <f t="shared" si="54"/>
        <v/>
      </c>
      <c r="R1224" s="175"/>
      <c r="S1224" s="323" t="str">
        <f t="shared" si="55"/>
        <v/>
      </c>
      <c r="U1224" s="322"/>
      <c r="V1224" s="791"/>
      <c r="W1224" s="792"/>
      <c r="X1224" s="480"/>
      <c r="Y1224" s="480"/>
      <c r="Z1224" s="480"/>
      <c r="AA1224" s="323"/>
      <c r="AB1224" s="220"/>
      <c r="AC1224" s="322"/>
      <c r="AD1224" s="323"/>
      <c r="AE1224" s="220"/>
      <c r="AF1224" s="324"/>
      <c r="AG1224" s="208"/>
      <c r="AH1224" s="208"/>
      <c r="AI1224" s="208"/>
      <c r="AJ1224" s="208"/>
      <c r="AK1224" s="208"/>
      <c r="AL1224" s="208"/>
      <c r="AM1224" s="208"/>
      <c r="AN1224" s="208"/>
      <c r="AO1224" s="208"/>
      <c r="AP1224" s="208"/>
      <c r="AQ1224" s="208"/>
      <c r="AR1224" s="208"/>
      <c r="AS1224" s="208"/>
      <c r="AT1224" s="208"/>
      <c r="AU1224" s="208"/>
      <c r="AV1224" s="208"/>
      <c r="AW1224" s="208"/>
      <c r="AX1224" s="208"/>
      <c r="AY1224" s="208"/>
      <c r="AZ1224" s="208"/>
      <c r="BA1224" s="208"/>
      <c r="BB1224" s="208"/>
      <c r="BC1224" s="208"/>
      <c r="BD1224" s="208"/>
      <c r="BE1224" s="208"/>
      <c r="BF1224" s="208"/>
      <c r="BG1224" s="208"/>
      <c r="BH1224" s="208"/>
      <c r="BI1224" s="323"/>
    </row>
    <row r="1225" spans="3:61" ht="15" customHeight="1">
      <c r="C1225" s="327"/>
      <c r="D1225" s="328"/>
      <c r="E1225" s="213"/>
      <c r="F1225" s="213"/>
      <c r="G1225" s="213"/>
      <c r="H1225" s="213"/>
      <c r="I1225" s="213"/>
      <c r="K1225" s="56"/>
      <c r="L1225" s="312"/>
      <c r="M1225" s="312"/>
      <c r="N1225" s="312"/>
      <c r="O1225" s="312"/>
      <c r="P1225" s="318" t="str">
        <f t="shared" si="56"/>
        <v/>
      </c>
      <c r="Q1225" s="205" t="str">
        <f t="shared" si="54"/>
        <v/>
      </c>
      <c r="R1225" s="176"/>
      <c r="S1225" s="319" t="str">
        <f t="shared" si="55"/>
        <v/>
      </c>
      <c r="U1225" s="318"/>
      <c r="V1225" s="794"/>
      <c r="W1225" s="795"/>
      <c r="X1225" s="482"/>
      <c r="Y1225" s="482"/>
      <c r="Z1225" s="482"/>
      <c r="AA1225" s="319"/>
      <c r="AB1225" s="220"/>
      <c r="AC1225" s="318"/>
      <c r="AD1225" s="319"/>
      <c r="AE1225" s="220"/>
      <c r="AF1225" s="320"/>
      <c r="AG1225" s="205"/>
      <c r="AH1225" s="205"/>
      <c r="AI1225" s="205"/>
      <c r="AJ1225" s="205"/>
      <c r="AK1225" s="205"/>
      <c r="AL1225" s="205"/>
      <c r="AM1225" s="205"/>
      <c r="AN1225" s="205"/>
      <c r="AO1225" s="205"/>
      <c r="AP1225" s="205"/>
      <c r="AQ1225" s="205"/>
      <c r="AR1225" s="205"/>
      <c r="AS1225" s="205"/>
      <c r="AT1225" s="205"/>
      <c r="AU1225" s="205"/>
      <c r="AV1225" s="205"/>
      <c r="AW1225" s="205"/>
      <c r="AX1225" s="205"/>
      <c r="AY1225" s="205"/>
      <c r="AZ1225" s="205"/>
      <c r="BA1225" s="205"/>
      <c r="BB1225" s="205"/>
      <c r="BC1225" s="205"/>
      <c r="BD1225" s="205"/>
      <c r="BE1225" s="205"/>
      <c r="BF1225" s="205"/>
      <c r="BG1225" s="205"/>
      <c r="BH1225" s="205"/>
      <c r="BI1225" s="319"/>
    </row>
    <row r="1226" spans="3:61" ht="15" customHeight="1">
      <c r="C1226" s="327"/>
      <c r="D1226" s="328"/>
      <c r="E1226" s="213"/>
      <c r="F1226" s="213"/>
      <c r="G1226" s="213"/>
      <c r="H1226" s="213"/>
      <c r="I1226" s="213"/>
      <c r="K1226" s="56"/>
      <c r="L1226" s="312"/>
      <c r="M1226" s="312"/>
      <c r="N1226" s="312"/>
      <c r="O1226" s="312"/>
      <c r="P1226" s="322" t="str">
        <f t="shared" si="56"/>
        <v/>
      </c>
      <c r="Q1226" s="208" t="str">
        <f t="shared" si="54"/>
        <v/>
      </c>
      <c r="R1226" s="175"/>
      <c r="S1226" s="323" t="str">
        <f t="shared" si="55"/>
        <v/>
      </c>
      <c r="U1226" s="322"/>
      <c r="V1226" s="791"/>
      <c r="W1226" s="792"/>
      <c r="X1226" s="480"/>
      <c r="Y1226" s="480"/>
      <c r="Z1226" s="480"/>
      <c r="AA1226" s="323"/>
      <c r="AB1226" s="220"/>
      <c r="AC1226" s="322"/>
      <c r="AD1226" s="323"/>
      <c r="AE1226" s="220"/>
      <c r="AF1226" s="324"/>
      <c r="AG1226" s="208"/>
      <c r="AH1226" s="208"/>
      <c r="AI1226" s="208"/>
      <c r="AJ1226" s="208"/>
      <c r="AK1226" s="208"/>
      <c r="AL1226" s="208"/>
      <c r="AM1226" s="208"/>
      <c r="AN1226" s="208"/>
      <c r="AO1226" s="208"/>
      <c r="AP1226" s="208"/>
      <c r="AQ1226" s="208"/>
      <c r="AR1226" s="208"/>
      <c r="AS1226" s="208"/>
      <c r="AT1226" s="208"/>
      <c r="AU1226" s="208"/>
      <c r="AV1226" s="208"/>
      <c r="AW1226" s="208"/>
      <c r="AX1226" s="208"/>
      <c r="AY1226" s="208"/>
      <c r="AZ1226" s="208"/>
      <c r="BA1226" s="208"/>
      <c r="BB1226" s="208"/>
      <c r="BC1226" s="208"/>
      <c r="BD1226" s="208"/>
      <c r="BE1226" s="208"/>
      <c r="BF1226" s="208"/>
      <c r="BG1226" s="208"/>
      <c r="BH1226" s="208"/>
      <c r="BI1226" s="323"/>
    </row>
    <row r="1227" spans="3:61" ht="15" customHeight="1">
      <c r="C1227" s="327"/>
      <c r="D1227" s="328"/>
      <c r="E1227" s="213"/>
      <c r="F1227" s="213"/>
      <c r="G1227" s="213"/>
      <c r="H1227" s="213"/>
      <c r="I1227" s="213"/>
      <c r="K1227" s="56"/>
      <c r="L1227" s="312"/>
      <c r="M1227" s="312"/>
      <c r="N1227" s="312"/>
      <c r="O1227" s="312"/>
      <c r="P1227" s="318" t="str">
        <f t="shared" si="56"/>
        <v/>
      </c>
      <c r="Q1227" s="205" t="str">
        <f t="shared" ref="Q1227:Q1252" si="57">IF($AA1227 = "", "", $AA1227/$AA$10*100)</f>
        <v/>
      </c>
      <c r="R1227" s="176"/>
      <c r="S1227" s="319" t="str">
        <f t="shared" ref="S1227:S1252" si="58">IF($AD1227 = "", "", $AD1227/$AD$10*100)</f>
        <v/>
      </c>
      <c r="U1227" s="318"/>
      <c r="V1227" s="794"/>
      <c r="W1227" s="795"/>
      <c r="X1227" s="482"/>
      <c r="Y1227" s="482"/>
      <c r="Z1227" s="482"/>
      <c r="AA1227" s="319"/>
      <c r="AB1227" s="220"/>
      <c r="AC1227" s="318"/>
      <c r="AD1227" s="319"/>
      <c r="AE1227" s="220"/>
      <c r="AF1227" s="320"/>
      <c r="AG1227" s="205"/>
      <c r="AH1227" s="205"/>
      <c r="AI1227" s="205"/>
      <c r="AJ1227" s="205"/>
      <c r="AK1227" s="205"/>
      <c r="AL1227" s="205"/>
      <c r="AM1227" s="205"/>
      <c r="AN1227" s="205"/>
      <c r="AO1227" s="205"/>
      <c r="AP1227" s="205"/>
      <c r="AQ1227" s="205"/>
      <c r="AR1227" s="205"/>
      <c r="AS1227" s="205"/>
      <c r="AT1227" s="205"/>
      <c r="AU1227" s="205"/>
      <c r="AV1227" s="205"/>
      <c r="AW1227" s="205"/>
      <c r="AX1227" s="205"/>
      <c r="AY1227" s="205"/>
      <c r="AZ1227" s="205"/>
      <c r="BA1227" s="205"/>
      <c r="BB1227" s="205"/>
      <c r="BC1227" s="205"/>
      <c r="BD1227" s="205"/>
      <c r="BE1227" s="205"/>
      <c r="BF1227" s="205"/>
      <c r="BG1227" s="205"/>
      <c r="BH1227" s="205"/>
      <c r="BI1227" s="319"/>
    </row>
    <row r="1228" spans="3:61" ht="15" customHeight="1">
      <c r="C1228" s="327"/>
      <c r="D1228" s="328"/>
      <c r="E1228" s="213"/>
      <c r="F1228" s="213"/>
      <c r="G1228" s="213"/>
      <c r="H1228" s="213"/>
      <c r="I1228" s="213"/>
      <c r="K1228" s="56"/>
      <c r="L1228" s="312"/>
      <c r="M1228" s="312"/>
      <c r="N1228" s="312"/>
      <c r="O1228" s="312"/>
      <c r="P1228" s="322" t="str">
        <f t="shared" ref="P1228:P1252" si="59">IF(U1228="", "", U1228)</f>
        <v/>
      </c>
      <c r="Q1228" s="208" t="str">
        <f t="shared" si="57"/>
        <v/>
      </c>
      <c r="R1228" s="175"/>
      <c r="S1228" s="323" t="str">
        <f t="shared" si="58"/>
        <v/>
      </c>
      <c r="U1228" s="322"/>
      <c r="V1228" s="791"/>
      <c r="W1228" s="792"/>
      <c r="X1228" s="480"/>
      <c r="Y1228" s="480"/>
      <c r="Z1228" s="480"/>
      <c r="AA1228" s="323"/>
      <c r="AB1228" s="220"/>
      <c r="AC1228" s="322"/>
      <c r="AD1228" s="323"/>
      <c r="AE1228" s="220"/>
      <c r="AF1228" s="324"/>
      <c r="AG1228" s="208"/>
      <c r="AH1228" s="208"/>
      <c r="AI1228" s="208"/>
      <c r="AJ1228" s="208"/>
      <c r="AK1228" s="208"/>
      <c r="AL1228" s="208"/>
      <c r="AM1228" s="208"/>
      <c r="AN1228" s="208"/>
      <c r="AO1228" s="208"/>
      <c r="AP1228" s="208"/>
      <c r="AQ1228" s="208"/>
      <c r="AR1228" s="208"/>
      <c r="AS1228" s="208"/>
      <c r="AT1228" s="208"/>
      <c r="AU1228" s="208"/>
      <c r="AV1228" s="208"/>
      <c r="AW1228" s="208"/>
      <c r="AX1228" s="208"/>
      <c r="AY1228" s="208"/>
      <c r="AZ1228" s="208"/>
      <c r="BA1228" s="208"/>
      <c r="BB1228" s="208"/>
      <c r="BC1228" s="208"/>
      <c r="BD1228" s="208"/>
      <c r="BE1228" s="208"/>
      <c r="BF1228" s="208"/>
      <c r="BG1228" s="208"/>
      <c r="BH1228" s="208"/>
      <c r="BI1228" s="323"/>
    </row>
    <row r="1229" spans="3:61" ht="15" customHeight="1">
      <c r="C1229" s="327"/>
      <c r="D1229" s="328"/>
      <c r="E1229" s="213"/>
      <c r="F1229" s="213"/>
      <c r="G1229" s="213"/>
      <c r="H1229" s="213"/>
      <c r="I1229" s="213"/>
      <c r="K1229" s="56"/>
      <c r="L1229" s="312"/>
      <c r="M1229" s="312"/>
      <c r="N1229" s="312"/>
      <c r="O1229" s="312"/>
      <c r="P1229" s="318" t="str">
        <f t="shared" si="59"/>
        <v/>
      </c>
      <c r="Q1229" s="205" t="str">
        <f t="shared" si="57"/>
        <v/>
      </c>
      <c r="R1229" s="176"/>
      <c r="S1229" s="319" t="str">
        <f t="shared" si="58"/>
        <v/>
      </c>
      <c r="U1229" s="318"/>
      <c r="V1229" s="794"/>
      <c r="W1229" s="795"/>
      <c r="X1229" s="482"/>
      <c r="Y1229" s="482"/>
      <c r="Z1229" s="482"/>
      <c r="AA1229" s="319"/>
      <c r="AB1229" s="220"/>
      <c r="AC1229" s="318"/>
      <c r="AD1229" s="319"/>
      <c r="AE1229" s="220"/>
      <c r="AF1229" s="320"/>
      <c r="AG1229" s="205"/>
      <c r="AH1229" s="205"/>
      <c r="AI1229" s="205"/>
      <c r="AJ1229" s="205"/>
      <c r="AK1229" s="205"/>
      <c r="AL1229" s="205"/>
      <c r="AM1229" s="205"/>
      <c r="AN1229" s="205"/>
      <c r="AO1229" s="205"/>
      <c r="AP1229" s="205"/>
      <c r="AQ1229" s="205"/>
      <c r="AR1229" s="205"/>
      <c r="AS1229" s="205"/>
      <c r="AT1229" s="205"/>
      <c r="AU1229" s="205"/>
      <c r="AV1229" s="205"/>
      <c r="AW1229" s="205"/>
      <c r="AX1229" s="205"/>
      <c r="AY1229" s="205"/>
      <c r="AZ1229" s="205"/>
      <c r="BA1229" s="205"/>
      <c r="BB1229" s="205"/>
      <c r="BC1229" s="205"/>
      <c r="BD1229" s="205"/>
      <c r="BE1229" s="205"/>
      <c r="BF1229" s="205"/>
      <c r="BG1229" s="205"/>
      <c r="BH1229" s="205"/>
      <c r="BI1229" s="319"/>
    </row>
    <row r="1230" spans="3:61" ht="15" customHeight="1">
      <c r="C1230" s="327"/>
      <c r="D1230" s="328"/>
      <c r="E1230" s="213"/>
      <c r="F1230" s="213"/>
      <c r="G1230" s="213"/>
      <c r="H1230" s="213"/>
      <c r="I1230" s="213"/>
      <c r="K1230" s="56"/>
      <c r="L1230" s="312"/>
      <c r="M1230" s="312"/>
      <c r="N1230" s="312"/>
      <c r="O1230" s="312"/>
      <c r="P1230" s="322" t="str">
        <f t="shared" si="59"/>
        <v/>
      </c>
      <c r="Q1230" s="208" t="str">
        <f t="shared" si="57"/>
        <v/>
      </c>
      <c r="R1230" s="175"/>
      <c r="S1230" s="323" t="str">
        <f t="shared" si="58"/>
        <v/>
      </c>
      <c r="U1230" s="322"/>
      <c r="V1230" s="791"/>
      <c r="W1230" s="792"/>
      <c r="X1230" s="480"/>
      <c r="Y1230" s="480"/>
      <c r="Z1230" s="480"/>
      <c r="AA1230" s="323"/>
      <c r="AB1230" s="220"/>
      <c r="AC1230" s="322"/>
      <c r="AD1230" s="323"/>
      <c r="AE1230" s="220"/>
      <c r="AF1230" s="324"/>
      <c r="AG1230" s="208"/>
      <c r="AH1230" s="208"/>
      <c r="AI1230" s="208"/>
      <c r="AJ1230" s="208"/>
      <c r="AK1230" s="208"/>
      <c r="AL1230" s="208"/>
      <c r="AM1230" s="208"/>
      <c r="AN1230" s="208"/>
      <c r="AO1230" s="208"/>
      <c r="AP1230" s="208"/>
      <c r="AQ1230" s="208"/>
      <c r="AR1230" s="208"/>
      <c r="AS1230" s="208"/>
      <c r="AT1230" s="208"/>
      <c r="AU1230" s="208"/>
      <c r="AV1230" s="208"/>
      <c r="AW1230" s="208"/>
      <c r="AX1230" s="208"/>
      <c r="AY1230" s="208"/>
      <c r="AZ1230" s="208"/>
      <c r="BA1230" s="208"/>
      <c r="BB1230" s="208"/>
      <c r="BC1230" s="208"/>
      <c r="BD1230" s="208"/>
      <c r="BE1230" s="208"/>
      <c r="BF1230" s="208"/>
      <c r="BG1230" s="208"/>
      <c r="BH1230" s="208"/>
      <c r="BI1230" s="323"/>
    </row>
    <row r="1231" spans="3:61" ht="15" customHeight="1">
      <c r="C1231" s="327"/>
      <c r="D1231" s="328"/>
      <c r="E1231" s="213"/>
      <c r="F1231" s="213"/>
      <c r="G1231" s="213"/>
      <c r="H1231" s="213"/>
      <c r="I1231" s="213"/>
      <c r="K1231" s="56"/>
      <c r="L1231" s="312"/>
      <c r="M1231" s="312"/>
      <c r="N1231" s="312"/>
      <c r="O1231" s="312"/>
      <c r="P1231" s="318" t="str">
        <f t="shared" si="59"/>
        <v/>
      </c>
      <c r="Q1231" s="205" t="str">
        <f t="shared" si="57"/>
        <v/>
      </c>
      <c r="R1231" s="176"/>
      <c r="S1231" s="319" t="str">
        <f t="shared" si="58"/>
        <v/>
      </c>
      <c r="U1231" s="318"/>
      <c r="V1231" s="794"/>
      <c r="W1231" s="795"/>
      <c r="X1231" s="482"/>
      <c r="Y1231" s="482"/>
      <c r="Z1231" s="482"/>
      <c r="AA1231" s="319"/>
      <c r="AB1231" s="220"/>
      <c r="AC1231" s="318"/>
      <c r="AD1231" s="319"/>
      <c r="AE1231" s="220"/>
      <c r="AF1231" s="320"/>
      <c r="AG1231" s="205"/>
      <c r="AH1231" s="205"/>
      <c r="AI1231" s="205"/>
      <c r="AJ1231" s="205"/>
      <c r="AK1231" s="205"/>
      <c r="AL1231" s="205"/>
      <c r="AM1231" s="205"/>
      <c r="AN1231" s="205"/>
      <c r="AO1231" s="205"/>
      <c r="AP1231" s="205"/>
      <c r="AQ1231" s="205"/>
      <c r="AR1231" s="205"/>
      <c r="AS1231" s="205"/>
      <c r="AT1231" s="205"/>
      <c r="AU1231" s="205"/>
      <c r="AV1231" s="205"/>
      <c r="AW1231" s="205"/>
      <c r="AX1231" s="205"/>
      <c r="AY1231" s="205"/>
      <c r="AZ1231" s="205"/>
      <c r="BA1231" s="205"/>
      <c r="BB1231" s="205"/>
      <c r="BC1231" s="205"/>
      <c r="BD1231" s="205"/>
      <c r="BE1231" s="205"/>
      <c r="BF1231" s="205"/>
      <c r="BG1231" s="205"/>
      <c r="BH1231" s="205"/>
      <c r="BI1231" s="319"/>
    </row>
    <row r="1232" spans="3:61" ht="15" customHeight="1">
      <c r="C1232" s="327"/>
      <c r="D1232" s="328"/>
      <c r="E1232" s="213"/>
      <c r="F1232" s="213"/>
      <c r="G1232" s="213"/>
      <c r="H1232" s="213"/>
      <c r="I1232" s="213"/>
      <c r="K1232" s="56"/>
      <c r="L1232" s="312"/>
      <c r="M1232" s="312"/>
      <c r="N1232" s="312"/>
      <c r="O1232" s="312"/>
      <c r="P1232" s="322" t="str">
        <f t="shared" si="59"/>
        <v/>
      </c>
      <c r="Q1232" s="208" t="str">
        <f t="shared" si="57"/>
        <v/>
      </c>
      <c r="R1232" s="175"/>
      <c r="S1232" s="323" t="str">
        <f t="shared" si="58"/>
        <v/>
      </c>
      <c r="U1232" s="322"/>
      <c r="V1232" s="791"/>
      <c r="W1232" s="792"/>
      <c r="X1232" s="480"/>
      <c r="Y1232" s="480"/>
      <c r="Z1232" s="480"/>
      <c r="AA1232" s="323"/>
      <c r="AB1232" s="220"/>
      <c r="AC1232" s="322"/>
      <c r="AD1232" s="323"/>
      <c r="AE1232" s="220"/>
      <c r="AF1232" s="324"/>
      <c r="AG1232" s="208"/>
      <c r="AH1232" s="208"/>
      <c r="AI1232" s="208"/>
      <c r="AJ1232" s="208"/>
      <c r="AK1232" s="208"/>
      <c r="AL1232" s="208"/>
      <c r="AM1232" s="208"/>
      <c r="AN1232" s="208"/>
      <c r="AO1232" s="208"/>
      <c r="AP1232" s="208"/>
      <c r="AQ1232" s="208"/>
      <c r="AR1232" s="208"/>
      <c r="AS1232" s="208"/>
      <c r="AT1232" s="208"/>
      <c r="AU1232" s="208"/>
      <c r="AV1232" s="208"/>
      <c r="AW1232" s="208"/>
      <c r="AX1232" s="208"/>
      <c r="AY1232" s="208"/>
      <c r="AZ1232" s="208"/>
      <c r="BA1232" s="208"/>
      <c r="BB1232" s="208"/>
      <c r="BC1232" s="208"/>
      <c r="BD1232" s="208"/>
      <c r="BE1232" s="208"/>
      <c r="BF1232" s="208"/>
      <c r="BG1232" s="208"/>
      <c r="BH1232" s="208"/>
      <c r="BI1232" s="323"/>
    </row>
    <row r="1233" spans="3:61" ht="15" customHeight="1">
      <c r="C1233" s="327"/>
      <c r="D1233" s="328"/>
      <c r="E1233" s="213"/>
      <c r="F1233" s="213"/>
      <c r="G1233" s="213"/>
      <c r="H1233" s="213"/>
      <c r="I1233" s="213"/>
      <c r="K1233" s="56"/>
      <c r="L1233" s="312"/>
      <c r="M1233" s="312"/>
      <c r="N1233" s="312"/>
      <c r="O1233" s="312"/>
      <c r="P1233" s="318" t="str">
        <f t="shared" si="59"/>
        <v/>
      </c>
      <c r="Q1233" s="205" t="str">
        <f t="shared" si="57"/>
        <v/>
      </c>
      <c r="R1233" s="176"/>
      <c r="S1233" s="319" t="str">
        <f t="shared" si="58"/>
        <v/>
      </c>
      <c r="U1233" s="318"/>
      <c r="V1233" s="794"/>
      <c r="W1233" s="795"/>
      <c r="X1233" s="482"/>
      <c r="Y1233" s="482"/>
      <c r="Z1233" s="482"/>
      <c r="AA1233" s="319"/>
      <c r="AB1233" s="220"/>
      <c r="AC1233" s="318"/>
      <c r="AD1233" s="319"/>
      <c r="AE1233" s="220"/>
      <c r="AF1233" s="320"/>
      <c r="AG1233" s="205"/>
      <c r="AH1233" s="205"/>
      <c r="AI1233" s="205"/>
      <c r="AJ1233" s="205"/>
      <c r="AK1233" s="205"/>
      <c r="AL1233" s="205"/>
      <c r="AM1233" s="205"/>
      <c r="AN1233" s="205"/>
      <c r="AO1233" s="205"/>
      <c r="AP1233" s="205"/>
      <c r="AQ1233" s="205"/>
      <c r="AR1233" s="205"/>
      <c r="AS1233" s="205"/>
      <c r="AT1233" s="205"/>
      <c r="AU1233" s="205"/>
      <c r="AV1233" s="205"/>
      <c r="AW1233" s="205"/>
      <c r="AX1233" s="205"/>
      <c r="AY1233" s="205"/>
      <c r="AZ1233" s="205"/>
      <c r="BA1233" s="205"/>
      <c r="BB1233" s="205"/>
      <c r="BC1233" s="205"/>
      <c r="BD1233" s="205"/>
      <c r="BE1233" s="205"/>
      <c r="BF1233" s="205"/>
      <c r="BG1233" s="205"/>
      <c r="BH1233" s="205"/>
      <c r="BI1233" s="319"/>
    </row>
    <row r="1234" spans="3:61" ht="15" customHeight="1">
      <c r="C1234" s="327"/>
      <c r="D1234" s="328"/>
      <c r="E1234" s="213"/>
      <c r="F1234" s="213"/>
      <c r="G1234" s="213"/>
      <c r="H1234" s="213"/>
      <c r="I1234" s="213"/>
      <c r="K1234" s="56"/>
      <c r="L1234" s="312"/>
      <c r="M1234" s="312"/>
      <c r="N1234" s="312"/>
      <c r="O1234" s="312"/>
      <c r="P1234" s="322" t="str">
        <f t="shared" si="59"/>
        <v/>
      </c>
      <c r="Q1234" s="208" t="str">
        <f t="shared" si="57"/>
        <v/>
      </c>
      <c r="R1234" s="175"/>
      <c r="S1234" s="323" t="str">
        <f t="shared" si="58"/>
        <v/>
      </c>
      <c r="U1234" s="322"/>
      <c r="V1234" s="791"/>
      <c r="W1234" s="792"/>
      <c r="X1234" s="480"/>
      <c r="Y1234" s="480"/>
      <c r="Z1234" s="480"/>
      <c r="AA1234" s="323"/>
      <c r="AB1234" s="220"/>
      <c r="AC1234" s="322"/>
      <c r="AD1234" s="323"/>
      <c r="AE1234" s="220"/>
      <c r="AF1234" s="324"/>
      <c r="AG1234" s="208"/>
      <c r="AH1234" s="208"/>
      <c r="AI1234" s="208"/>
      <c r="AJ1234" s="208"/>
      <c r="AK1234" s="208"/>
      <c r="AL1234" s="208"/>
      <c r="AM1234" s="208"/>
      <c r="AN1234" s="208"/>
      <c r="AO1234" s="208"/>
      <c r="AP1234" s="208"/>
      <c r="AQ1234" s="208"/>
      <c r="AR1234" s="208"/>
      <c r="AS1234" s="208"/>
      <c r="AT1234" s="208"/>
      <c r="AU1234" s="208"/>
      <c r="AV1234" s="208"/>
      <c r="AW1234" s="208"/>
      <c r="AX1234" s="208"/>
      <c r="AY1234" s="208"/>
      <c r="AZ1234" s="208"/>
      <c r="BA1234" s="208"/>
      <c r="BB1234" s="208"/>
      <c r="BC1234" s="208"/>
      <c r="BD1234" s="208"/>
      <c r="BE1234" s="208"/>
      <c r="BF1234" s="208"/>
      <c r="BG1234" s="208"/>
      <c r="BH1234" s="208"/>
      <c r="BI1234" s="323"/>
    </row>
    <row r="1235" spans="3:61" ht="15" customHeight="1">
      <c r="C1235" s="327"/>
      <c r="D1235" s="328"/>
      <c r="E1235" s="213"/>
      <c r="F1235" s="213"/>
      <c r="G1235" s="213"/>
      <c r="H1235" s="213"/>
      <c r="I1235" s="213"/>
      <c r="K1235" s="56"/>
      <c r="L1235" s="312"/>
      <c r="M1235" s="312"/>
      <c r="N1235" s="312"/>
      <c r="O1235" s="312"/>
      <c r="P1235" s="318" t="str">
        <f t="shared" si="59"/>
        <v/>
      </c>
      <c r="Q1235" s="205" t="str">
        <f t="shared" si="57"/>
        <v/>
      </c>
      <c r="R1235" s="176"/>
      <c r="S1235" s="319" t="str">
        <f t="shared" si="58"/>
        <v/>
      </c>
      <c r="U1235" s="318"/>
      <c r="V1235" s="794"/>
      <c r="W1235" s="795"/>
      <c r="X1235" s="482"/>
      <c r="Y1235" s="482"/>
      <c r="Z1235" s="482"/>
      <c r="AA1235" s="319"/>
      <c r="AB1235" s="220"/>
      <c r="AC1235" s="318"/>
      <c r="AD1235" s="319"/>
      <c r="AE1235" s="220"/>
      <c r="AF1235" s="320"/>
      <c r="AG1235" s="205"/>
      <c r="AH1235" s="205"/>
      <c r="AI1235" s="205"/>
      <c r="AJ1235" s="205"/>
      <c r="AK1235" s="205"/>
      <c r="AL1235" s="205"/>
      <c r="AM1235" s="205"/>
      <c r="AN1235" s="205"/>
      <c r="AO1235" s="205"/>
      <c r="AP1235" s="205"/>
      <c r="AQ1235" s="205"/>
      <c r="AR1235" s="205"/>
      <c r="AS1235" s="205"/>
      <c r="AT1235" s="205"/>
      <c r="AU1235" s="205"/>
      <c r="AV1235" s="205"/>
      <c r="AW1235" s="205"/>
      <c r="AX1235" s="205"/>
      <c r="AY1235" s="205"/>
      <c r="AZ1235" s="205"/>
      <c r="BA1235" s="205"/>
      <c r="BB1235" s="205"/>
      <c r="BC1235" s="205"/>
      <c r="BD1235" s="205"/>
      <c r="BE1235" s="205"/>
      <c r="BF1235" s="205"/>
      <c r="BG1235" s="205"/>
      <c r="BH1235" s="205"/>
      <c r="BI1235" s="319"/>
    </row>
    <row r="1236" spans="3:61" ht="15" customHeight="1">
      <c r="C1236" s="327"/>
      <c r="D1236" s="328"/>
      <c r="E1236" s="213"/>
      <c r="F1236" s="213"/>
      <c r="G1236" s="213"/>
      <c r="H1236" s="213"/>
      <c r="I1236" s="213"/>
      <c r="K1236" s="56"/>
      <c r="L1236" s="312"/>
      <c r="M1236" s="312"/>
      <c r="N1236" s="312"/>
      <c r="O1236" s="312"/>
      <c r="P1236" s="322" t="str">
        <f t="shared" si="59"/>
        <v/>
      </c>
      <c r="Q1236" s="208" t="str">
        <f t="shared" si="57"/>
        <v/>
      </c>
      <c r="R1236" s="175"/>
      <c r="S1236" s="323" t="str">
        <f t="shared" si="58"/>
        <v/>
      </c>
      <c r="U1236" s="322"/>
      <c r="V1236" s="791"/>
      <c r="W1236" s="792"/>
      <c r="X1236" s="480"/>
      <c r="Y1236" s="480"/>
      <c r="Z1236" s="480"/>
      <c r="AA1236" s="323"/>
      <c r="AB1236" s="220"/>
      <c r="AC1236" s="322"/>
      <c r="AD1236" s="323"/>
      <c r="AE1236" s="220"/>
      <c r="AF1236" s="324"/>
      <c r="AG1236" s="208"/>
      <c r="AH1236" s="208"/>
      <c r="AI1236" s="208"/>
      <c r="AJ1236" s="208"/>
      <c r="AK1236" s="208"/>
      <c r="AL1236" s="208"/>
      <c r="AM1236" s="208"/>
      <c r="AN1236" s="208"/>
      <c r="AO1236" s="208"/>
      <c r="AP1236" s="208"/>
      <c r="AQ1236" s="208"/>
      <c r="AR1236" s="208"/>
      <c r="AS1236" s="208"/>
      <c r="AT1236" s="208"/>
      <c r="AU1236" s="208"/>
      <c r="AV1236" s="208"/>
      <c r="AW1236" s="208"/>
      <c r="AX1236" s="208"/>
      <c r="AY1236" s="208"/>
      <c r="AZ1236" s="208"/>
      <c r="BA1236" s="208"/>
      <c r="BB1236" s="208"/>
      <c r="BC1236" s="208"/>
      <c r="BD1236" s="208"/>
      <c r="BE1236" s="208"/>
      <c r="BF1236" s="208"/>
      <c r="BG1236" s="208"/>
      <c r="BH1236" s="208"/>
      <c r="BI1236" s="323"/>
    </row>
    <row r="1237" spans="3:61" ht="15" customHeight="1">
      <c r="C1237" s="327"/>
      <c r="D1237" s="328"/>
      <c r="E1237" s="213"/>
      <c r="F1237" s="213"/>
      <c r="G1237" s="213"/>
      <c r="H1237" s="213"/>
      <c r="I1237" s="213"/>
      <c r="K1237" s="56"/>
      <c r="L1237" s="312"/>
      <c r="M1237" s="312"/>
      <c r="N1237" s="312"/>
      <c r="O1237" s="312"/>
      <c r="P1237" s="318" t="str">
        <f t="shared" si="59"/>
        <v/>
      </c>
      <c r="Q1237" s="205" t="str">
        <f t="shared" si="57"/>
        <v/>
      </c>
      <c r="R1237" s="176"/>
      <c r="S1237" s="319" t="str">
        <f t="shared" si="58"/>
        <v/>
      </c>
      <c r="U1237" s="318"/>
      <c r="V1237" s="794"/>
      <c r="W1237" s="795"/>
      <c r="X1237" s="482"/>
      <c r="Y1237" s="482"/>
      <c r="Z1237" s="482"/>
      <c r="AA1237" s="319"/>
      <c r="AB1237" s="220"/>
      <c r="AC1237" s="318"/>
      <c r="AD1237" s="319"/>
      <c r="AE1237" s="220"/>
      <c r="AF1237" s="320"/>
      <c r="AG1237" s="205"/>
      <c r="AH1237" s="205"/>
      <c r="AI1237" s="205"/>
      <c r="AJ1237" s="205"/>
      <c r="AK1237" s="205"/>
      <c r="AL1237" s="205"/>
      <c r="AM1237" s="205"/>
      <c r="AN1237" s="205"/>
      <c r="AO1237" s="205"/>
      <c r="AP1237" s="205"/>
      <c r="AQ1237" s="205"/>
      <c r="AR1237" s="205"/>
      <c r="AS1237" s="205"/>
      <c r="AT1237" s="205"/>
      <c r="AU1237" s="205"/>
      <c r="AV1237" s="205"/>
      <c r="AW1237" s="205"/>
      <c r="AX1237" s="205"/>
      <c r="AY1237" s="205"/>
      <c r="AZ1237" s="205"/>
      <c r="BA1237" s="205"/>
      <c r="BB1237" s="205"/>
      <c r="BC1237" s="205"/>
      <c r="BD1237" s="205"/>
      <c r="BE1237" s="205"/>
      <c r="BF1237" s="205"/>
      <c r="BG1237" s="205"/>
      <c r="BH1237" s="205"/>
      <c r="BI1237" s="319"/>
    </row>
    <row r="1238" spans="3:61" ht="15" customHeight="1">
      <c r="C1238" s="327"/>
      <c r="D1238" s="328"/>
      <c r="E1238" s="213"/>
      <c r="F1238" s="213"/>
      <c r="G1238" s="213"/>
      <c r="H1238" s="213"/>
      <c r="I1238" s="213"/>
      <c r="K1238" s="56"/>
      <c r="L1238" s="312"/>
      <c r="M1238" s="312"/>
      <c r="N1238" s="312"/>
      <c r="O1238" s="312"/>
      <c r="P1238" s="322" t="str">
        <f t="shared" si="59"/>
        <v/>
      </c>
      <c r="Q1238" s="208" t="str">
        <f t="shared" si="57"/>
        <v/>
      </c>
      <c r="R1238" s="175"/>
      <c r="S1238" s="323" t="str">
        <f t="shared" si="58"/>
        <v/>
      </c>
      <c r="U1238" s="322"/>
      <c r="V1238" s="791"/>
      <c r="W1238" s="792"/>
      <c r="X1238" s="480"/>
      <c r="Y1238" s="480"/>
      <c r="Z1238" s="480"/>
      <c r="AA1238" s="323"/>
      <c r="AB1238" s="220"/>
      <c r="AC1238" s="322"/>
      <c r="AD1238" s="323"/>
      <c r="AE1238" s="220"/>
      <c r="AF1238" s="324"/>
      <c r="AG1238" s="208"/>
      <c r="AH1238" s="208"/>
      <c r="AI1238" s="208"/>
      <c r="AJ1238" s="208"/>
      <c r="AK1238" s="208"/>
      <c r="AL1238" s="208"/>
      <c r="AM1238" s="208"/>
      <c r="AN1238" s="208"/>
      <c r="AO1238" s="208"/>
      <c r="AP1238" s="208"/>
      <c r="AQ1238" s="208"/>
      <c r="AR1238" s="208"/>
      <c r="AS1238" s="208"/>
      <c r="AT1238" s="208"/>
      <c r="AU1238" s="208"/>
      <c r="AV1238" s="208"/>
      <c r="AW1238" s="208"/>
      <c r="AX1238" s="208"/>
      <c r="AY1238" s="208"/>
      <c r="AZ1238" s="208"/>
      <c r="BA1238" s="208"/>
      <c r="BB1238" s="208"/>
      <c r="BC1238" s="208"/>
      <c r="BD1238" s="208"/>
      <c r="BE1238" s="208"/>
      <c r="BF1238" s="208"/>
      <c r="BG1238" s="208"/>
      <c r="BH1238" s="208"/>
      <c r="BI1238" s="323"/>
    </row>
    <row r="1239" spans="3:61" ht="15" customHeight="1">
      <c r="C1239" s="327"/>
      <c r="D1239" s="328"/>
      <c r="E1239" s="213"/>
      <c r="F1239" s="213"/>
      <c r="G1239" s="213"/>
      <c r="H1239" s="213"/>
      <c r="I1239" s="213"/>
      <c r="K1239" s="56"/>
      <c r="L1239" s="312"/>
      <c r="M1239" s="312"/>
      <c r="N1239" s="312"/>
      <c r="O1239" s="312"/>
      <c r="P1239" s="318" t="str">
        <f t="shared" si="59"/>
        <v/>
      </c>
      <c r="Q1239" s="205" t="str">
        <f t="shared" si="57"/>
        <v/>
      </c>
      <c r="R1239" s="176"/>
      <c r="S1239" s="319" t="str">
        <f t="shared" si="58"/>
        <v/>
      </c>
      <c r="U1239" s="318"/>
      <c r="V1239" s="794"/>
      <c r="W1239" s="795"/>
      <c r="X1239" s="482"/>
      <c r="Y1239" s="482"/>
      <c r="Z1239" s="482"/>
      <c r="AA1239" s="319"/>
      <c r="AB1239" s="220"/>
      <c r="AC1239" s="318"/>
      <c r="AD1239" s="319"/>
      <c r="AE1239" s="220"/>
      <c r="AF1239" s="320"/>
      <c r="AG1239" s="205"/>
      <c r="AH1239" s="205"/>
      <c r="AI1239" s="205"/>
      <c r="AJ1239" s="205"/>
      <c r="AK1239" s="205"/>
      <c r="AL1239" s="205"/>
      <c r="AM1239" s="205"/>
      <c r="AN1239" s="205"/>
      <c r="AO1239" s="205"/>
      <c r="AP1239" s="205"/>
      <c r="AQ1239" s="205"/>
      <c r="AR1239" s="205"/>
      <c r="AS1239" s="205"/>
      <c r="AT1239" s="205"/>
      <c r="AU1239" s="205"/>
      <c r="AV1239" s="205"/>
      <c r="AW1239" s="205"/>
      <c r="AX1239" s="205"/>
      <c r="AY1239" s="205"/>
      <c r="AZ1239" s="205"/>
      <c r="BA1239" s="205"/>
      <c r="BB1239" s="205"/>
      <c r="BC1239" s="205"/>
      <c r="BD1239" s="205"/>
      <c r="BE1239" s="205"/>
      <c r="BF1239" s="205"/>
      <c r="BG1239" s="205"/>
      <c r="BH1239" s="205"/>
      <c r="BI1239" s="319"/>
    </row>
    <row r="1240" spans="3:61" ht="15" customHeight="1">
      <c r="C1240" s="327"/>
      <c r="D1240" s="328"/>
      <c r="E1240" s="213"/>
      <c r="F1240" s="213"/>
      <c r="G1240" s="213"/>
      <c r="H1240" s="213"/>
      <c r="I1240" s="213"/>
      <c r="K1240" s="56"/>
      <c r="L1240" s="312"/>
      <c r="M1240" s="312"/>
      <c r="N1240" s="312"/>
      <c r="O1240" s="312"/>
      <c r="P1240" s="322" t="str">
        <f t="shared" si="59"/>
        <v/>
      </c>
      <c r="Q1240" s="208" t="str">
        <f t="shared" si="57"/>
        <v/>
      </c>
      <c r="R1240" s="175"/>
      <c r="S1240" s="323" t="str">
        <f t="shared" si="58"/>
        <v/>
      </c>
      <c r="U1240" s="322"/>
      <c r="V1240" s="791"/>
      <c r="W1240" s="792"/>
      <c r="X1240" s="480"/>
      <c r="Y1240" s="480"/>
      <c r="Z1240" s="480"/>
      <c r="AA1240" s="323"/>
      <c r="AB1240" s="220"/>
      <c r="AC1240" s="322"/>
      <c r="AD1240" s="323"/>
      <c r="AE1240" s="220"/>
      <c r="AF1240" s="324"/>
      <c r="AG1240" s="208"/>
      <c r="AH1240" s="208"/>
      <c r="AI1240" s="208"/>
      <c r="AJ1240" s="208"/>
      <c r="AK1240" s="208"/>
      <c r="AL1240" s="208"/>
      <c r="AM1240" s="208"/>
      <c r="AN1240" s="208"/>
      <c r="AO1240" s="208"/>
      <c r="AP1240" s="208"/>
      <c r="AQ1240" s="208"/>
      <c r="AR1240" s="208"/>
      <c r="AS1240" s="208"/>
      <c r="AT1240" s="208"/>
      <c r="AU1240" s="208"/>
      <c r="AV1240" s="208"/>
      <c r="AW1240" s="208"/>
      <c r="AX1240" s="208"/>
      <c r="AY1240" s="208"/>
      <c r="AZ1240" s="208"/>
      <c r="BA1240" s="208"/>
      <c r="BB1240" s="208"/>
      <c r="BC1240" s="208"/>
      <c r="BD1240" s="208"/>
      <c r="BE1240" s="208"/>
      <c r="BF1240" s="208"/>
      <c r="BG1240" s="208"/>
      <c r="BH1240" s="208"/>
      <c r="BI1240" s="323"/>
    </row>
    <row r="1241" spans="3:61" ht="15" customHeight="1">
      <c r="C1241" s="327"/>
      <c r="D1241" s="328"/>
      <c r="E1241" s="213"/>
      <c r="F1241" s="213"/>
      <c r="G1241" s="213"/>
      <c r="H1241" s="213"/>
      <c r="I1241" s="213"/>
      <c r="K1241" s="56"/>
      <c r="L1241" s="312"/>
      <c r="M1241" s="312"/>
      <c r="N1241" s="312"/>
      <c r="O1241" s="312"/>
      <c r="P1241" s="318" t="str">
        <f t="shared" si="59"/>
        <v/>
      </c>
      <c r="Q1241" s="205" t="str">
        <f t="shared" si="57"/>
        <v/>
      </c>
      <c r="R1241" s="176"/>
      <c r="S1241" s="319" t="str">
        <f t="shared" si="58"/>
        <v/>
      </c>
      <c r="U1241" s="318"/>
      <c r="V1241" s="794"/>
      <c r="W1241" s="795"/>
      <c r="X1241" s="482"/>
      <c r="Y1241" s="482"/>
      <c r="Z1241" s="482"/>
      <c r="AA1241" s="319"/>
      <c r="AB1241" s="220"/>
      <c r="AC1241" s="318"/>
      <c r="AD1241" s="319"/>
      <c r="AE1241" s="220"/>
      <c r="AF1241" s="320"/>
      <c r="AG1241" s="205"/>
      <c r="AH1241" s="205"/>
      <c r="AI1241" s="205"/>
      <c r="AJ1241" s="205"/>
      <c r="AK1241" s="205"/>
      <c r="AL1241" s="205"/>
      <c r="AM1241" s="205"/>
      <c r="AN1241" s="205"/>
      <c r="AO1241" s="205"/>
      <c r="AP1241" s="205"/>
      <c r="AQ1241" s="205"/>
      <c r="AR1241" s="205"/>
      <c r="AS1241" s="205"/>
      <c r="AT1241" s="205"/>
      <c r="AU1241" s="205"/>
      <c r="AV1241" s="205"/>
      <c r="AW1241" s="205"/>
      <c r="AX1241" s="205"/>
      <c r="AY1241" s="205"/>
      <c r="AZ1241" s="205"/>
      <c r="BA1241" s="205"/>
      <c r="BB1241" s="205"/>
      <c r="BC1241" s="205"/>
      <c r="BD1241" s="205"/>
      <c r="BE1241" s="205"/>
      <c r="BF1241" s="205"/>
      <c r="BG1241" s="205"/>
      <c r="BH1241" s="205"/>
      <c r="BI1241" s="319"/>
    </row>
    <row r="1242" spans="3:61" ht="15" customHeight="1">
      <c r="C1242" s="327"/>
      <c r="D1242" s="328"/>
      <c r="E1242" s="213"/>
      <c r="F1242" s="213"/>
      <c r="G1242" s="213"/>
      <c r="H1242" s="213"/>
      <c r="I1242" s="213"/>
      <c r="K1242" s="56"/>
      <c r="L1242" s="312"/>
      <c r="M1242" s="312"/>
      <c r="N1242" s="312"/>
      <c r="O1242" s="312"/>
      <c r="P1242" s="322" t="str">
        <f t="shared" si="59"/>
        <v/>
      </c>
      <c r="Q1242" s="208" t="str">
        <f t="shared" si="57"/>
        <v/>
      </c>
      <c r="R1242" s="175"/>
      <c r="S1242" s="323" t="str">
        <f t="shared" si="58"/>
        <v/>
      </c>
      <c r="U1242" s="322"/>
      <c r="V1242" s="791"/>
      <c r="W1242" s="792"/>
      <c r="X1242" s="480"/>
      <c r="Y1242" s="480"/>
      <c r="Z1242" s="480"/>
      <c r="AA1242" s="323"/>
      <c r="AB1242" s="220"/>
      <c r="AC1242" s="322"/>
      <c r="AD1242" s="323"/>
      <c r="AE1242" s="220"/>
      <c r="AF1242" s="324"/>
      <c r="AG1242" s="208"/>
      <c r="AH1242" s="208"/>
      <c r="AI1242" s="208"/>
      <c r="AJ1242" s="208"/>
      <c r="AK1242" s="208"/>
      <c r="AL1242" s="208"/>
      <c r="AM1242" s="208"/>
      <c r="AN1242" s="208"/>
      <c r="AO1242" s="208"/>
      <c r="AP1242" s="208"/>
      <c r="AQ1242" s="208"/>
      <c r="AR1242" s="208"/>
      <c r="AS1242" s="208"/>
      <c r="AT1242" s="208"/>
      <c r="AU1242" s="208"/>
      <c r="AV1242" s="208"/>
      <c r="AW1242" s="208"/>
      <c r="AX1242" s="208"/>
      <c r="AY1242" s="208"/>
      <c r="AZ1242" s="208"/>
      <c r="BA1242" s="208"/>
      <c r="BB1242" s="208"/>
      <c r="BC1242" s="208"/>
      <c r="BD1242" s="208"/>
      <c r="BE1242" s="208"/>
      <c r="BF1242" s="208"/>
      <c r="BG1242" s="208"/>
      <c r="BH1242" s="208"/>
      <c r="BI1242" s="323"/>
    </row>
    <row r="1243" spans="3:61" ht="15" customHeight="1">
      <c r="C1243" s="327"/>
      <c r="D1243" s="328"/>
      <c r="E1243" s="213"/>
      <c r="F1243" s="213"/>
      <c r="G1243" s="213"/>
      <c r="H1243" s="213"/>
      <c r="I1243" s="213"/>
      <c r="K1243" s="56"/>
      <c r="L1243" s="312"/>
      <c r="M1243" s="312"/>
      <c r="N1243" s="312"/>
      <c r="O1243" s="312"/>
      <c r="P1243" s="318" t="str">
        <f t="shared" si="59"/>
        <v/>
      </c>
      <c r="Q1243" s="205" t="str">
        <f t="shared" si="57"/>
        <v/>
      </c>
      <c r="R1243" s="176"/>
      <c r="S1243" s="319" t="str">
        <f t="shared" si="58"/>
        <v/>
      </c>
      <c r="U1243" s="318"/>
      <c r="V1243" s="794"/>
      <c r="W1243" s="795"/>
      <c r="X1243" s="482"/>
      <c r="Y1243" s="482"/>
      <c r="Z1243" s="482"/>
      <c r="AA1243" s="319"/>
      <c r="AB1243" s="220"/>
      <c r="AC1243" s="318"/>
      <c r="AD1243" s="319"/>
      <c r="AE1243" s="220"/>
      <c r="AF1243" s="320"/>
      <c r="AG1243" s="205"/>
      <c r="AH1243" s="205"/>
      <c r="AI1243" s="205"/>
      <c r="AJ1243" s="205"/>
      <c r="AK1243" s="205"/>
      <c r="AL1243" s="205"/>
      <c r="AM1243" s="205"/>
      <c r="AN1243" s="205"/>
      <c r="AO1243" s="205"/>
      <c r="AP1243" s="205"/>
      <c r="AQ1243" s="205"/>
      <c r="AR1243" s="205"/>
      <c r="AS1243" s="205"/>
      <c r="AT1243" s="205"/>
      <c r="AU1243" s="205"/>
      <c r="AV1243" s="205"/>
      <c r="AW1243" s="205"/>
      <c r="AX1243" s="205"/>
      <c r="AY1243" s="205"/>
      <c r="AZ1243" s="205"/>
      <c r="BA1243" s="205"/>
      <c r="BB1243" s="205"/>
      <c r="BC1243" s="205"/>
      <c r="BD1243" s="205"/>
      <c r="BE1243" s="205"/>
      <c r="BF1243" s="205"/>
      <c r="BG1243" s="205"/>
      <c r="BH1243" s="205"/>
      <c r="BI1243" s="319"/>
    </row>
    <row r="1244" spans="3:61" ht="15" customHeight="1">
      <c r="C1244" s="327"/>
      <c r="D1244" s="328"/>
      <c r="E1244" s="213"/>
      <c r="F1244" s="213"/>
      <c r="G1244" s="213"/>
      <c r="H1244" s="213"/>
      <c r="I1244" s="213"/>
      <c r="K1244" s="56"/>
      <c r="L1244" s="312"/>
      <c r="M1244" s="312"/>
      <c r="N1244" s="312"/>
      <c r="O1244" s="312"/>
      <c r="P1244" s="322" t="str">
        <f t="shared" si="59"/>
        <v/>
      </c>
      <c r="Q1244" s="208" t="str">
        <f t="shared" si="57"/>
        <v/>
      </c>
      <c r="R1244" s="175"/>
      <c r="S1244" s="323" t="str">
        <f t="shared" si="58"/>
        <v/>
      </c>
      <c r="U1244" s="322"/>
      <c r="V1244" s="791"/>
      <c r="W1244" s="792"/>
      <c r="X1244" s="480"/>
      <c r="Y1244" s="480"/>
      <c r="Z1244" s="480"/>
      <c r="AA1244" s="323"/>
      <c r="AB1244" s="220"/>
      <c r="AC1244" s="322"/>
      <c r="AD1244" s="323"/>
      <c r="AE1244" s="220"/>
      <c r="AF1244" s="324"/>
      <c r="AG1244" s="208"/>
      <c r="AH1244" s="208"/>
      <c r="AI1244" s="208"/>
      <c r="AJ1244" s="208"/>
      <c r="AK1244" s="208"/>
      <c r="AL1244" s="208"/>
      <c r="AM1244" s="208"/>
      <c r="AN1244" s="208"/>
      <c r="AO1244" s="208"/>
      <c r="AP1244" s="208"/>
      <c r="AQ1244" s="208"/>
      <c r="AR1244" s="208"/>
      <c r="AS1244" s="208"/>
      <c r="AT1244" s="208"/>
      <c r="AU1244" s="208"/>
      <c r="AV1244" s="208"/>
      <c r="AW1244" s="208"/>
      <c r="AX1244" s="208"/>
      <c r="AY1244" s="208"/>
      <c r="AZ1244" s="208"/>
      <c r="BA1244" s="208"/>
      <c r="BB1244" s="208"/>
      <c r="BC1244" s="208"/>
      <c r="BD1244" s="208"/>
      <c r="BE1244" s="208"/>
      <c r="BF1244" s="208"/>
      <c r="BG1244" s="208"/>
      <c r="BH1244" s="208"/>
      <c r="BI1244" s="323"/>
    </row>
    <row r="1245" spans="3:61" ht="15" customHeight="1">
      <c r="C1245" s="327"/>
      <c r="D1245" s="328"/>
      <c r="E1245" s="213"/>
      <c r="F1245" s="213"/>
      <c r="G1245" s="213"/>
      <c r="H1245" s="213"/>
      <c r="I1245" s="213"/>
      <c r="K1245" s="56"/>
      <c r="L1245" s="312"/>
      <c r="M1245" s="312"/>
      <c r="N1245" s="312"/>
      <c r="O1245" s="312"/>
      <c r="P1245" s="318" t="str">
        <f t="shared" si="59"/>
        <v/>
      </c>
      <c r="Q1245" s="205" t="str">
        <f t="shared" si="57"/>
        <v/>
      </c>
      <c r="R1245" s="176"/>
      <c r="S1245" s="319" t="str">
        <f t="shared" si="58"/>
        <v/>
      </c>
      <c r="U1245" s="318"/>
      <c r="V1245" s="794"/>
      <c r="W1245" s="795"/>
      <c r="X1245" s="482"/>
      <c r="Y1245" s="482"/>
      <c r="Z1245" s="482"/>
      <c r="AA1245" s="319"/>
      <c r="AB1245" s="220"/>
      <c r="AC1245" s="318"/>
      <c r="AD1245" s="319"/>
      <c r="AE1245" s="220"/>
      <c r="AF1245" s="320"/>
      <c r="AG1245" s="205"/>
      <c r="AH1245" s="205"/>
      <c r="AI1245" s="205"/>
      <c r="AJ1245" s="205"/>
      <c r="AK1245" s="205"/>
      <c r="AL1245" s="205"/>
      <c r="AM1245" s="205"/>
      <c r="AN1245" s="205"/>
      <c r="AO1245" s="205"/>
      <c r="AP1245" s="205"/>
      <c r="AQ1245" s="205"/>
      <c r="AR1245" s="205"/>
      <c r="AS1245" s="205"/>
      <c r="AT1245" s="205"/>
      <c r="AU1245" s="205"/>
      <c r="AV1245" s="205"/>
      <c r="AW1245" s="205"/>
      <c r="AX1245" s="205"/>
      <c r="AY1245" s="205"/>
      <c r="AZ1245" s="205"/>
      <c r="BA1245" s="205"/>
      <c r="BB1245" s="205"/>
      <c r="BC1245" s="205"/>
      <c r="BD1245" s="205"/>
      <c r="BE1245" s="205"/>
      <c r="BF1245" s="205"/>
      <c r="BG1245" s="205"/>
      <c r="BH1245" s="205"/>
      <c r="BI1245" s="319"/>
    </row>
    <row r="1246" spans="3:61" ht="15" customHeight="1">
      <c r="C1246" s="327"/>
      <c r="D1246" s="328"/>
      <c r="E1246" s="213"/>
      <c r="F1246" s="213"/>
      <c r="G1246" s="213"/>
      <c r="H1246" s="213"/>
      <c r="I1246" s="213"/>
      <c r="K1246" s="56"/>
      <c r="L1246" s="312"/>
      <c r="M1246" s="312"/>
      <c r="N1246" s="312"/>
      <c r="O1246" s="312"/>
      <c r="P1246" s="322" t="str">
        <f t="shared" si="59"/>
        <v/>
      </c>
      <c r="Q1246" s="208" t="str">
        <f t="shared" si="57"/>
        <v/>
      </c>
      <c r="R1246" s="175"/>
      <c r="S1246" s="323" t="str">
        <f t="shared" si="58"/>
        <v/>
      </c>
      <c r="U1246" s="322"/>
      <c r="V1246" s="791"/>
      <c r="W1246" s="792"/>
      <c r="X1246" s="480"/>
      <c r="Y1246" s="480"/>
      <c r="Z1246" s="480"/>
      <c r="AA1246" s="323"/>
      <c r="AB1246" s="220"/>
      <c r="AC1246" s="322"/>
      <c r="AD1246" s="323"/>
      <c r="AE1246" s="220"/>
      <c r="AF1246" s="324"/>
      <c r="AG1246" s="208"/>
      <c r="AH1246" s="208"/>
      <c r="AI1246" s="208"/>
      <c r="AJ1246" s="208"/>
      <c r="AK1246" s="208"/>
      <c r="AL1246" s="208"/>
      <c r="AM1246" s="208"/>
      <c r="AN1246" s="208"/>
      <c r="AO1246" s="208"/>
      <c r="AP1246" s="208"/>
      <c r="AQ1246" s="208"/>
      <c r="AR1246" s="208"/>
      <c r="AS1246" s="208"/>
      <c r="AT1246" s="208"/>
      <c r="AU1246" s="208"/>
      <c r="AV1246" s="208"/>
      <c r="AW1246" s="208"/>
      <c r="AX1246" s="208"/>
      <c r="AY1246" s="208"/>
      <c r="AZ1246" s="208"/>
      <c r="BA1246" s="208"/>
      <c r="BB1246" s="208"/>
      <c r="BC1246" s="208"/>
      <c r="BD1246" s="208"/>
      <c r="BE1246" s="208"/>
      <c r="BF1246" s="208"/>
      <c r="BG1246" s="208"/>
      <c r="BH1246" s="208"/>
      <c r="BI1246" s="323"/>
    </row>
    <row r="1247" spans="3:61" ht="15" customHeight="1">
      <c r="C1247" s="327"/>
      <c r="D1247" s="328"/>
      <c r="E1247" s="213"/>
      <c r="F1247" s="213"/>
      <c r="G1247" s="213"/>
      <c r="H1247" s="213"/>
      <c r="I1247" s="213"/>
      <c r="K1247" s="56"/>
      <c r="L1247" s="312"/>
      <c r="M1247" s="312"/>
      <c r="N1247" s="312"/>
      <c r="O1247" s="312"/>
      <c r="P1247" s="318" t="str">
        <f t="shared" si="59"/>
        <v/>
      </c>
      <c r="Q1247" s="205" t="str">
        <f t="shared" si="57"/>
        <v/>
      </c>
      <c r="R1247" s="176"/>
      <c r="S1247" s="319" t="str">
        <f t="shared" si="58"/>
        <v/>
      </c>
      <c r="U1247" s="318"/>
      <c r="V1247" s="794"/>
      <c r="W1247" s="795"/>
      <c r="X1247" s="482"/>
      <c r="Y1247" s="482"/>
      <c r="Z1247" s="482"/>
      <c r="AA1247" s="319"/>
      <c r="AB1247" s="220"/>
      <c r="AC1247" s="318"/>
      <c r="AD1247" s="319"/>
      <c r="AE1247" s="220"/>
      <c r="AF1247" s="320"/>
      <c r="AG1247" s="205"/>
      <c r="AH1247" s="205"/>
      <c r="AI1247" s="205"/>
      <c r="AJ1247" s="205"/>
      <c r="AK1247" s="205"/>
      <c r="AL1247" s="205"/>
      <c r="AM1247" s="205"/>
      <c r="AN1247" s="205"/>
      <c r="AO1247" s="205"/>
      <c r="AP1247" s="205"/>
      <c r="AQ1247" s="205"/>
      <c r="AR1247" s="205"/>
      <c r="AS1247" s="205"/>
      <c r="AT1247" s="205"/>
      <c r="AU1247" s="205"/>
      <c r="AV1247" s="205"/>
      <c r="AW1247" s="205"/>
      <c r="AX1247" s="205"/>
      <c r="AY1247" s="205"/>
      <c r="AZ1247" s="205"/>
      <c r="BA1247" s="205"/>
      <c r="BB1247" s="205"/>
      <c r="BC1247" s="205"/>
      <c r="BD1247" s="205"/>
      <c r="BE1247" s="205"/>
      <c r="BF1247" s="205"/>
      <c r="BG1247" s="205"/>
      <c r="BH1247" s="205"/>
      <c r="BI1247" s="319"/>
    </row>
    <row r="1248" spans="3:61" ht="15" customHeight="1">
      <c r="C1248" s="327"/>
      <c r="D1248" s="328"/>
      <c r="E1248" s="213"/>
      <c r="F1248" s="213"/>
      <c r="G1248" s="213"/>
      <c r="H1248" s="213"/>
      <c r="I1248" s="213"/>
      <c r="K1248" s="56"/>
      <c r="L1248" s="312"/>
      <c r="M1248" s="312"/>
      <c r="N1248" s="312"/>
      <c r="O1248" s="312"/>
      <c r="P1248" s="322" t="str">
        <f t="shared" si="59"/>
        <v/>
      </c>
      <c r="Q1248" s="208" t="str">
        <f t="shared" si="57"/>
        <v/>
      </c>
      <c r="R1248" s="175"/>
      <c r="S1248" s="323" t="str">
        <f t="shared" si="58"/>
        <v/>
      </c>
      <c r="U1248" s="322"/>
      <c r="V1248" s="791"/>
      <c r="W1248" s="792"/>
      <c r="X1248" s="480"/>
      <c r="Y1248" s="480"/>
      <c r="Z1248" s="480"/>
      <c r="AA1248" s="323"/>
      <c r="AB1248" s="220"/>
      <c r="AC1248" s="322"/>
      <c r="AD1248" s="323"/>
      <c r="AE1248" s="220"/>
      <c r="AF1248" s="324"/>
      <c r="AG1248" s="208"/>
      <c r="AH1248" s="208"/>
      <c r="AI1248" s="208"/>
      <c r="AJ1248" s="208"/>
      <c r="AK1248" s="208"/>
      <c r="AL1248" s="208"/>
      <c r="AM1248" s="208"/>
      <c r="AN1248" s="208"/>
      <c r="AO1248" s="208"/>
      <c r="AP1248" s="208"/>
      <c r="AQ1248" s="208"/>
      <c r="AR1248" s="208"/>
      <c r="AS1248" s="208"/>
      <c r="AT1248" s="208"/>
      <c r="AU1248" s="208"/>
      <c r="AV1248" s="208"/>
      <c r="AW1248" s="208"/>
      <c r="AX1248" s="208"/>
      <c r="AY1248" s="208"/>
      <c r="AZ1248" s="208"/>
      <c r="BA1248" s="208"/>
      <c r="BB1248" s="208"/>
      <c r="BC1248" s="208"/>
      <c r="BD1248" s="208"/>
      <c r="BE1248" s="208"/>
      <c r="BF1248" s="208"/>
      <c r="BG1248" s="208"/>
      <c r="BH1248" s="208"/>
      <c r="BI1248" s="323"/>
    </row>
    <row r="1249" spans="3:61" ht="15" customHeight="1">
      <c r="C1249" s="327"/>
      <c r="D1249" s="328"/>
      <c r="E1249" s="213"/>
      <c r="F1249" s="213"/>
      <c r="G1249" s="213"/>
      <c r="H1249" s="213"/>
      <c r="I1249" s="213"/>
      <c r="K1249" s="56"/>
      <c r="L1249" s="312"/>
      <c r="M1249" s="312"/>
      <c r="N1249" s="312"/>
      <c r="O1249" s="312"/>
      <c r="P1249" s="318" t="str">
        <f t="shared" si="59"/>
        <v/>
      </c>
      <c r="Q1249" s="205" t="str">
        <f t="shared" si="57"/>
        <v/>
      </c>
      <c r="R1249" s="176"/>
      <c r="S1249" s="319" t="str">
        <f t="shared" si="58"/>
        <v/>
      </c>
      <c r="U1249" s="318"/>
      <c r="V1249" s="794"/>
      <c r="W1249" s="795"/>
      <c r="X1249" s="482"/>
      <c r="Y1249" s="482"/>
      <c r="Z1249" s="482"/>
      <c r="AA1249" s="319"/>
      <c r="AB1249" s="220"/>
      <c r="AC1249" s="318"/>
      <c r="AD1249" s="319"/>
      <c r="AE1249" s="220"/>
      <c r="AF1249" s="320"/>
      <c r="AG1249" s="205"/>
      <c r="AH1249" s="205"/>
      <c r="AI1249" s="205"/>
      <c r="AJ1249" s="205"/>
      <c r="AK1249" s="205"/>
      <c r="AL1249" s="205"/>
      <c r="AM1249" s="205"/>
      <c r="AN1249" s="205"/>
      <c r="AO1249" s="205"/>
      <c r="AP1249" s="205"/>
      <c r="AQ1249" s="205"/>
      <c r="AR1249" s="205"/>
      <c r="AS1249" s="205"/>
      <c r="AT1249" s="205"/>
      <c r="AU1249" s="205"/>
      <c r="AV1249" s="205"/>
      <c r="AW1249" s="205"/>
      <c r="AX1249" s="205"/>
      <c r="AY1249" s="205"/>
      <c r="AZ1249" s="205"/>
      <c r="BA1249" s="205"/>
      <c r="BB1249" s="205"/>
      <c r="BC1249" s="205"/>
      <c r="BD1249" s="205"/>
      <c r="BE1249" s="205"/>
      <c r="BF1249" s="205"/>
      <c r="BG1249" s="205"/>
      <c r="BH1249" s="205"/>
      <c r="BI1249" s="319"/>
    </row>
    <row r="1250" spans="3:61" ht="15" customHeight="1">
      <c r="C1250" s="327"/>
      <c r="D1250" s="328"/>
      <c r="E1250" s="213"/>
      <c r="F1250" s="213"/>
      <c r="G1250" s="213"/>
      <c r="H1250" s="213"/>
      <c r="I1250" s="213"/>
      <c r="K1250" s="56"/>
      <c r="L1250" s="312"/>
      <c r="M1250" s="312"/>
      <c r="N1250" s="312"/>
      <c r="O1250" s="312"/>
      <c r="P1250" s="322" t="str">
        <f t="shared" si="59"/>
        <v/>
      </c>
      <c r="Q1250" s="208" t="str">
        <f t="shared" si="57"/>
        <v/>
      </c>
      <c r="R1250" s="175"/>
      <c r="S1250" s="323" t="str">
        <f t="shared" si="58"/>
        <v/>
      </c>
      <c r="U1250" s="322"/>
      <c r="V1250" s="791"/>
      <c r="W1250" s="792"/>
      <c r="X1250" s="480"/>
      <c r="Y1250" s="480"/>
      <c r="Z1250" s="480"/>
      <c r="AA1250" s="323"/>
      <c r="AB1250" s="220"/>
      <c r="AC1250" s="322"/>
      <c r="AD1250" s="323"/>
      <c r="AE1250" s="220"/>
      <c r="AF1250" s="324"/>
      <c r="AG1250" s="208"/>
      <c r="AH1250" s="208"/>
      <c r="AI1250" s="208"/>
      <c r="AJ1250" s="208"/>
      <c r="AK1250" s="208"/>
      <c r="AL1250" s="208"/>
      <c r="AM1250" s="208"/>
      <c r="AN1250" s="208"/>
      <c r="AO1250" s="208"/>
      <c r="AP1250" s="208"/>
      <c r="AQ1250" s="208"/>
      <c r="AR1250" s="208"/>
      <c r="AS1250" s="208"/>
      <c r="AT1250" s="208"/>
      <c r="AU1250" s="208"/>
      <c r="AV1250" s="208"/>
      <c r="AW1250" s="208"/>
      <c r="AX1250" s="208"/>
      <c r="AY1250" s="208"/>
      <c r="AZ1250" s="208"/>
      <c r="BA1250" s="208"/>
      <c r="BB1250" s="208"/>
      <c r="BC1250" s="208"/>
      <c r="BD1250" s="208"/>
      <c r="BE1250" s="208"/>
      <c r="BF1250" s="208"/>
      <c r="BG1250" s="208"/>
      <c r="BH1250" s="208"/>
      <c r="BI1250" s="323"/>
    </row>
    <row r="1251" spans="3:61" ht="15" customHeight="1">
      <c r="C1251" s="327"/>
      <c r="D1251" s="328"/>
      <c r="E1251" s="213"/>
      <c r="F1251" s="213"/>
      <c r="G1251" s="213"/>
      <c r="H1251" s="213"/>
      <c r="I1251" s="213"/>
      <c r="K1251" s="56"/>
      <c r="L1251" s="312"/>
      <c r="M1251" s="312"/>
      <c r="N1251" s="312"/>
      <c r="O1251" s="312"/>
      <c r="P1251" s="318" t="str">
        <f t="shared" si="59"/>
        <v/>
      </c>
      <c r="Q1251" s="205" t="str">
        <f t="shared" si="57"/>
        <v/>
      </c>
      <c r="R1251" s="176"/>
      <c r="S1251" s="319" t="str">
        <f t="shared" si="58"/>
        <v/>
      </c>
      <c r="U1251" s="318"/>
      <c r="V1251" s="794"/>
      <c r="W1251" s="795"/>
      <c r="X1251" s="482"/>
      <c r="Y1251" s="482"/>
      <c r="Z1251" s="482"/>
      <c r="AA1251" s="319"/>
      <c r="AB1251" s="220"/>
      <c r="AC1251" s="318"/>
      <c r="AD1251" s="319"/>
      <c r="AE1251" s="220"/>
      <c r="AF1251" s="320"/>
      <c r="AG1251" s="205"/>
      <c r="AH1251" s="205"/>
      <c r="AI1251" s="205"/>
      <c r="AJ1251" s="205"/>
      <c r="AK1251" s="205"/>
      <c r="AL1251" s="205"/>
      <c r="AM1251" s="205"/>
      <c r="AN1251" s="205"/>
      <c r="AO1251" s="205"/>
      <c r="AP1251" s="205"/>
      <c r="AQ1251" s="205"/>
      <c r="AR1251" s="205"/>
      <c r="AS1251" s="205"/>
      <c r="AT1251" s="205"/>
      <c r="AU1251" s="205"/>
      <c r="AV1251" s="205"/>
      <c r="AW1251" s="205"/>
      <c r="AX1251" s="205"/>
      <c r="AY1251" s="205"/>
      <c r="AZ1251" s="205"/>
      <c r="BA1251" s="205"/>
      <c r="BB1251" s="205"/>
      <c r="BC1251" s="205"/>
      <c r="BD1251" s="205"/>
      <c r="BE1251" s="205"/>
      <c r="BF1251" s="205"/>
      <c r="BG1251" s="205"/>
      <c r="BH1251" s="205"/>
      <c r="BI1251" s="319"/>
    </row>
    <row r="1252" spans="3:61" ht="15" customHeight="1">
      <c r="C1252" s="327"/>
      <c r="D1252" s="328"/>
      <c r="E1252" s="213"/>
      <c r="F1252" s="213"/>
      <c r="G1252" s="213"/>
      <c r="H1252" s="213"/>
      <c r="I1252" s="213"/>
      <c r="K1252" s="56"/>
      <c r="L1252" s="312"/>
      <c r="M1252" s="312"/>
      <c r="N1252" s="312"/>
      <c r="O1252" s="312"/>
      <c r="P1252" s="331" t="str">
        <f t="shared" si="59"/>
        <v/>
      </c>
      <c r="Q1252" s="209" t="str">
        <f t="shared" si="57"/>
        <v/>
      </c>
      <c r="R1252" s="177"/>
      <c r="S1252" s="332" t="str">
        <f t="shared" si="58"/>
        <v/>
      </c>
      <c r="U1252" s="331"/>
      <c r="V1252" s="839"/>
      <c r="W1252" s="840"/>
      <c r="X1252" s="481"/>
      <c r="Y1252" s="481"/>
      <c r="Z1252" s="481"/>
      <c r="AA1252" s="332"/>
      <c r="AB1252" s="220"/>
      <c r="AC1252" s="331"/>
      <c r="AD1252" s="332"/>
      <c r="AE1252" s="220"/>
      <c r="AF1252" s="334"/>
      <c r="AG1252" s="209"/>
      <c r="AH1252" s="209"/>
      <c r="AI1252" s="209"/>
      <c r="AJ1252" s="209"/>
      <c r="AK1252" s="209"/>
      <c r="AL1252" s="209"/>
      <c r="AM1252" s="209"/>
      <c r="AN1252" s="209"/>
      <c r="AO1252" s="209"/>
      <c r="AP1252" s="209"/>
      <c r="AQ1252" s="209"/>
      <c r="AR1252" s="209"/>
      <c r="AS1252" s="209"/>
      <c r="AT1252" s="209"/>
      <c r="AU1252" s="209"/>
      <c r="AV1252" s="209"/>
      <c r="AW1252" s="209"/>
      <c r="AX1252" s="209"/>
      <c r="AY1252" s="209"/>
      <c r="AZ1252" s="209"/>
      <c r="BA1252" s="209"/>
      <c r="BB1252" s="209"/>
      <c r="BC1252" s="209"/>
      <c r="BD1252" s="209"/>
      <c r="BE1252" s="209"/>
      <c r="BF1252" s="209"/>
      <c r="BG1252" s="209"/>
      <c r="BH1252" s="209"/>
      <c r="BI1252" s="332"/>
    </row>
  </sheetData>
  <mergeCells count="1345">
    <mergeCell ref="V1237:W1237"/>
    <mergeCell ref="V1238:W1238"/>
    <mergeCell ref="V1180:W1180"/>
    <mergeCell ref="V1181:W1181"/>
    <mergeCell ref="V1249:W1249"/>
    <mergeCell ref="V1250:W1250"/>
    <mergeCell ref="V1239:W1239"/>
    <mergeCell ref="V1240:W1240"/>
    <mergeCell ref="V1241:W1241"/>
    <mergeCell ref="V1242:W1242"/>
    <mergeCell ref="V1252:W1252"/>
    <mergeCell ref="V1243:W1243"/>
    <mergeCell ref="V1244:W1244"/>
    <mergeCell ref="V1245:W1245"/>
    <mergeCell ref="V1246:W1246"/>
    <mergeCell ref="V1247:W1247"/>
    <mergeCell ref="V1248:W1248"/>
    <mergeCell ref="V1251:W1251"/>
    <mergeCell ref="V1231:W1231"/>
    <mergeCell ref="V1232:W1232"/>
    <mergeCell ref="V1233:W1233"/>
    <mergeCell ref="V1234:W1234"/>
    <mergeCell ref="V1235:W1235"/>
    <mergeCell ref="V1236:W1236"/>
    <mergeCell ref="V1228:W1228"/>
    <mergeCell ref="V1229:W1229"/>
    <mergeCell ref="V1230:W1230"/>
    <mergeCell ref="V1222:W1222"/>
    <mergeCell ref="V1223:W1223"/>
    <mergeCell ref="V1224:W1224"/>
    <mergeCell ref="V1226:W1226"/>
    <mergeCell ref="V1192:W1192"/>
    <mergeCell ref="V1212:W1212"/>
    <mergeCell ref="V1213:W1213"/>
    <mergeCell ref="V1214:W1214"/>
    <mergeCell ref="V1182:W1182"/>
    <mergeCell ref="V1227:W1227"/>
    <mergeCell ref="V1220:W1220"/>
    <mergeCell ref="V1185:W1185"/>
    <mergeCell ref="V1186:W1186"/>
    <mergeCell ref="V1203:W1203"/>
    <mergeCell ref="V1221:W1221"/>
    <mergeCell ref="V1216:W1216"/>
    <mergeCell ref="V1217:W1217"/>
    <mergeCell ref="V1218:W1218"/>
    <mergeCell ref="V1219:W1219"/>
    <mergeCell ref="V1187:W1187"/>
    <mergeCell ref="V1188:W1188"/>
    <mergeCell ref="V1189:W1189"/>
    <mergeCell ref="V1190:W1190"/>
    <mergeCell ref="V1191:W1191"/>
    <mergeCell ref="V1225:W1225"/>
    <mergeCell ref="V1207:W1207"/>
    <mergeCell ref="V1208:W1208"/>
    <mergeCell ref="V1215:W1215"/>
    <mergeCell ref="V1209:W1209"/>
    <mergeCell ref="V1210:W1210"/>
    <mergeCell ref="V1211:W1211"/>
    <mergeCell ref="P8:S8"/>
    <mergeCell ref="V1183:W1183"/>
    <mergeCell ref="V1184:W1184"/>
    <mergeCell ref="D39:F39"/>
    <mergeCell ref="B19:C19"/>
    <mergeCell ref="D40:F40"/>
    <mergeCell ref="D41:F41"/>
    <mergeCell ref="D42:F42"/>
    <mergeCell ref="D33:F33"/>
    <mergeCell ref="D34:F34"/>
    <mergeCell ref="B25:C25"/>
    <mergeCell ref="D35:F35"/>
    <mergeCell ref="B29:C29"/>
    <mergeCell ref="V1204:W1204"/>
    <mergeCell ref="V1205:W1205"/>
    <mergeCell ref="V1206:W1206"/>
    <mergeCell ref="V1179:W1179"/>
    <mergeCell ref="B9:C9"/>
    <mergeCell ref="B10:C10"/>
    <mergeCell ref="B11:C11"/>
    <mergeCell ref="D9:E9"/>
    <mergeCell ref="D10:E10"/>
    <mergeCell ref="B14:C14"/>
    <mergeCell ref="B13:F13"/>
    <mergeCell ref="D11:E11"/>
    <mergeCell ref="D14:F14"/>
    <mergeCell ref="V1173:W1173"/>
    <mergeCell ref="V1174:W1174"/>
    <mergeCell ref="V1175:W1175"/>
    <mergeCell ref="V1176:W1176"/>
    <mergeCell ref="V1177:W1177"/>
    <mergeCell ref="V1178:W1178"/>
    <mergeCell ref="B30:C30"/>
    <mergeCell ref="B32:C32"/>
    <mergeCell ref="B31:C31"/>
    <mergeCell ref="D27:F27"/>
    <mergeCell ref="I7:L10"/>
    <mergeCell ref="V1162:W1162"/>
    <mergeCell ref="V1163:W1163"/>
    <mergeCell ref="V1164:W1164"/>
    <mergeCell ref="B37:C37"/>
    <mergeCell ref="D20:F20"/>
    <mergeCell ref="B33:C33"/>
    <mergeCell ref="B34:C34"/>
    <mergeCell ref="B35:C35"/>
    <mergeCell ref="B36:C36"/>
    <mergeCell ref="D36:F36"/>
    <mergeCell ref="D37:F37"/>
    <mergeCell ref="D28:F28"/>
    <mergeCell ref="D29:F29"/>
    <mergeCell ref="B38:C38"/>
    <mergeCell ref="B22:C22"/>
    <mergeCell ref="B23:C23"/>
    <mergeCell ref="B24:C24"/>
    <mergeCell ref="D21:F21"/>
    <mergeCell ref="V1155:W1155"/>
    <mergeCell ref="V1156:W1156"/>
    <mergeCell ref="V1157:W1157"/>
    <mergeCell ref="V1158:W1158"/>
    <mergeCell ref="V1153:W1153"/>
    <mergeCell ref="V1154:W1154"/>
    <mergeCell ref="V1152:W1152"/>
    <mergeCell ref="V1137:W1137"/>
    <mergeCell ref="B39:C39"/>
    <mergeCell ref="V1165:W1165"/>
    <mergeCell ref="V1166:W1166"/>
    <mergeCell ref="V1167:W1167"/>
    <mergeCell ref="V1168:W1168"/>
    <mergeCell ref="V1169:W1169"/>
    <mergeCell ref="V1170:W1170"/>
    <mergeCell ref="V1202:W1202"/>
    <mergeCell ref="V1159:W1159"/>
    <mergeCell ref="V1160:W1160"/>
    <mergeCell ref="B40:C40"/>
    <mergeCell ref="B41:C41"/>
    <mergeCell ref="B42:C42"/>
    <mergeCell ref="B43:C43"/>
    <mergeCell ref="D43:F43"/>
    <mergeCell ref="V1171:W1171"/>
    <mergeCell ref="V1172:W1172"/>
    <mergeCell ref="V1196:W1196"/>
    <mergeCell ref="V1197:W1197"/>
    <mergeCell ref="V1198:W1198"/>
    <mergeCell ref="V1199:W1199"/>
    <mergeCell ref="V1200:W1200"/>
    <mergeCell ref="V1201:W1201"/>
    <mergeCell ref="V1193:W1193"/>
    <mergeCell ref="V1194:W1194"/>
    <mergeCell ref="V1195:W1195"/>
    <mergeCell ref="V1161:W1161"/>
    <mergeCell ref="V1130:W1130"/>
    <mergeCell ref="V1131:W1131"/>
    <mergeCell ref="V1132:W1132"/>
    <mergeCell ref="V1149:W1149"/>
    <mergeCell ref="V1150:W1150"/>
    <mergeCell ref="V1151:W1151"/>
    <mergeCell ref="D30:F30"/>
    <mergeCell ref="D31:F31"/>
    <mergeCell ref="D32:F32"/>
    <mergeCell ref="D22:F22"/>
    <mergeCell ref="D23:F23"/>
    <mergeCell ref="D24:F24"/>
    <mergeCell ref="D25:F25"/>
    <mergeCell ref="D26:F26"/>
    <mergeCell ref="D38:F38"/>
    <mergeCell ref="B15:C15"/>
    <mergeCell ref="B16:C16"/>
    <mergeCell ref="B17:C17"/>
    <mergeCell ref="B18:C18"/>
    <mergeCell ref="B20:C20"/>
    <mergeCell ref="B21:C21"/>
    <mergeCell ref="V1143:W1143"/>
    <mergeCell ref="B26:C26"/>
    <mergeCell ref="B27:C27"/>
    <mergeCell ref="B28:C28"/>
    <mergeCell ref="D15:F15"/>
    <mergeCell ref="D16:F16"/>
    <mergeCell ref="D17:F17"/>
    <mergeCell ref="D18:F18"/>
    <mergeCell ref="D19:F19"/>
    <mergeCell ref="V1135:W1135"/>
    <mergeCell ref="V1136:W1136"/>
    <mergeCell ref="V1125:W1125"/>
    <mergeCell ref="V1126:W1126"/>
    <mergeCell ref="V1127:W1127"/>
    <mergeCell ref="V1128:W1128"/>
    <mergeCell ref="V1129:W1129"/>
    <mergeCell ref="V1138:W1138"/>
    <mergeCell ref="V1139:W1139"/>
    <mergeCell ref="V1140:W1140"/>
    <mergeCell ref="V1141:W1141"/>
    <mergeCell ref="V1142:W1142"/>
    <mergeCell ref="V1144:W1144"/>
    <mergeCell ref="V1145:W1145"/>
    <mergeCell ref="V1146:W1146"/>
    <mergeCell ref="V1147:W1147"/>
    <mergeCell ref="V1148:W1148"/>
    <mergeCell ref="V1117:W1117"/>
    <mergeCell ref="V1118:W1118"/>
    <mergeCell ref="V1107:W1107"/>
    <mergeCell ref="V1108:W1108"/>
    <mergeCell ref="V1109:W1109"/>
    <mergeCell ref="V1110:W1110"/>
    <mergeCell ref="V1111:W1111"/>
    <mergeCell ref="V1112:W1112"/>
    <mergeCell ref="V1113:W1113"/>
    <mergeCell ref="V1114:W1114"/>
    <mergeCell ref="V1133:W1133"/>
    <mergeCell ref="V1134:W1134"/>
    <mergeCell ref="V1119:W1119"/>
    <mergeCell ref="V1120:W1120"/>
    <mergeCell ref="V1121:W1121"/>
    <mergeCell ref="V1122:W1122"/>
    <mergeCell ref="V1123:W1123"/>
    <mergeCell ref="V1124:W1124"/>
    <mergeCell ref="V1099:W1099"/>
    <mergeCell ref="V1100:W1100"/>
    <mergeCell ref="V1089:W1089"/>
    <mergeCell ref="V1090:W1090"/>
    <mergeCell ref="V1091:W1091"/>
    <mergeCell ref="V1092:W1092"/>
    <mergeCell ref="V1093:W1093"/>
    <mergeCell ref="V1094:W1094"/>
    <mergeCell ref="V1095:W1095"/>
    <mergeCell ref="V1096:W1096"/>
    <mergeCell ref="V1115:W1115"/>
    <mergeCell ref="V1116:W1116"/>
    <mergeCell ref="V1101:W1101"/>
    <mergeCell ref="V1102:W1102"/>
    <mergeCell ref="V1103:W1103"/>
    <mergeCell ref="V1104:W1104"/>
    <mergeCell ref="V1105:W1105"/>
    <mergeCell ref="V1106:W1106"/>
    <mergeCell ref="V1081:W1081"/>
    <mergeCell ref="V1082:W1082"/>
    <mergeCell ref="V1071:W1071"/>
    <mergeCell ref="V1072:W1072"/>
    <mergeCell ref="V1073:W1073"/>
    <mergeCell ref="V1074:W1074"/>
    <mergeCell ref="V1075:W1075"/>
    <mergeCell ref="V1076:W1076"/>
    <mergeCell ref="V1077:W1077"/>
    <mergeCell ref="V1078:W1078"/>
    <mergeCell ref="V1097:W1097"/>
    <mergeCell ref="V1098:W1098"/>
    <mergeCell ref="V1083:W1083"/>
    <mergeCell ref="V1084:W1084"/>
    <mergeCell ref="V1085:W1085"/>
    <mergeCell ref="V1086:W1086"/>
    <mergeCell ref="V1087:W1087"/>
    <mergeCell ref="V1088:W1088"/>
    <mergeCell ref="V1063:W1063"/>
    <mergeCell ref="V1064:W1064"/>
    <mergeCell ref="V1053:W1053"/>
    <mergeCell ref="V1054:W1054"/>
    <mergeCell ref="V1055:W1055"/>
    <mergeCell ref="V1056:W1056"/>
    <mergeCell ref="V1057:W1057"/>
    <mergeCell ref="V1058:W1058"/>
    <mergeCell ref="V1059:W1059"/>
    <mergeCell ref="V1060:W1060"/>
    <mergeCell ref="V1079:W1079"/>
    <mergeCell ref="V1080:W1080"/>
    <mergeCell ref="V1065:W1065"/>
    <mergeCell ref="V1066:W1066"/>
    <mergeCell ref="V1067:W1067"/>
    <mergeCell ref="V1068:W1068"/>
    <mergeCell ref="V1069:W1069"/>
    <mergeCell ref="V1070:W1070"/>
    <mergeCell ref="V1045:W1045"/>
    <mergeCell ref="V1046:W1046"/>
    <mergeCell ref="V1035:W1035"/>
    <mergeCell ref="V1036:W1036"/>
    <mergeCell ref="V1037:W1037"/>
    <mergeCell ref="V1038:W1038"/>
    <mergeCell ref="V1039:W1039"/>
    <mergeCell ref="V1040:W1040"/>
    <mergeCell ref="V1041:W1041"/>
    <mergeCell ref="V1042:W1042"/>
    <mergeCell ref="V1061:W1061"/>
    <mergeCell ref="V1062:W1062"/>
    <mergeCell ref="V1047:W1047"/>
    <mergeCell ref="V1048:W1048"/>
    <mergeCell ref="V1049:W1049"/>
    <mergeCell ref="V1050:W1050"/>
    <mergeCell ref="V1051:W1051"/>
    <mergeCell ref="V1052:W1052"/>
    <mergeCell ref="V1027:W1027"/>
    <mergeCell ref="V1028:W1028"/>
    <mergeCell ref="V1017:W1017"/>
    <mergeCell ref="V1018:W1018"/>
    <mergeCell ref="V1019:W1019"/>
    <mergeCell ref="V1020:W1020"/>
    <mergeCell ref="V1021:W1021"/>
    <mergeCell ref="V1022:W1022"/>
    <mergeCell ref="V1023:W1023"/>
    <mergeCell ref="V1024:W1024"/>
    <mergeCell ref="V1043:W1043"/>
    <mergeCell ref="V1044:W1044"/>
    <mergeCell ref="V1029:W1029"/>
    <mergeCell ref="V1030:W1030"/>
    <mergeCell ref="V1031:W1031"/>
    <mergeCell ref="V1032:W1032"/>
    <mergeCell ref="V1033:W1033"/>
    <mergeCell ref="V1034:W1034"/>
    <mergeCell ref="V1009:W1009"/>
    <mergeCell ref="V1010:W1010"/>
    <mergeCell ref="V999:W999"/>
    <mergeCell ref="V1000:W1000"/>
    <mergeCell ref="V1001:W1001"/>
    <mergeCell ref="V1002:W1002"/>
    <mergeCell ref="V1003:W1003"/>
    <mergeCell ref="V1004:W1004"/>
    <mergeCell ref="V1005:W1005"/>
    <mergeCell ref="V1006:W1006"/>
    <mergeCell ref="V1025:W1025"/>
    <mergeCell ref="V1026:W1026"/>
    <mergeCell ref="V1011:W1011"/>
    <mergeCell ref="V1012:W1012"/>
    <mergeCell ref="V1013:W1013"/>
    <mergeCell ref="V1014:W1014"/>
    <mergeCell ref="V1015:W1015"/>
    <mergeCell ref="V1016:W1016"/>
    <mergeCell ref="V991:W991"/>
    <mergeCell ref="V992:W992"/>
    <mergeCell ref="V981:W981"/>
    <mergeCell ref="V982:W982"/>
    <mergeCell ref="V983:W983"/>
    <mergeCell ref="V984:W984"/>
    <mergeCell ref="V985:W985"/>
    <mergeCell ref="V986:W986"/>
    <mergeCell ref="V987:W987"/>
    <mergeCell ref="V988:W988"/>
    <mergeCell ref="V1007:W1007"/>
    <mergeCell ref="V1008:W1008"/>
    <mergeCell ref="V993:W993"/>
    <mergeCell ref="V994:W994"/>
    <mergeCell ref="V995:W995"/>
    <mergeCell ref="V996:W996"/>
    <mergeCell ref="V997:W997"/>
    <mergeCell ref="V998:W998"/>
    <mergeCell ref="V973:W973"/>
    <mergeCell ref="V974:W974"/>
    <mergeCell ref="V963:W963"/>
    <mergeCell ref="V964:W964"/>
    <mergeCell ref="V965:W965"/>
    <mergeCell ref="V966:W966"/>
    <mergeCell ref="V967:W967"/>
    <mergeCell ref="V968:W968"/>
    <mergeCell ref="V969:W969"/>
    <mergeCell ref="V970:W970"/>
    <mergeCell ref="V989:W989"/>
    <mergeCell ref="V990:W990"/>
    <mergeCell ref="V975:W975"/>
    <mergeCell ref="V976:W976"/>
    <mergeCell ref="V977:W977"/>
    <mergeCell ref="V978:W978"/>
    <mergeCell ref="V979:W979"/>
    <mergeCell ref="V980:W980"/>
    <mergeCell ref="V955:W955"/>
    <mergeCell ref="V956:W956"/>
    <mergeCell ref="V945:W945"/>
    <mergeCell ref="V946:W946"/>
    <mergeCell ref="V947:W947"/>
    <mergeCell ref="V948:W948"/>
    <mergeCell ref="V949:W949"/>
    <mergeCell ref="V950:W950"/>
    <mergeCell ref="V951:W951"/>
    <mergeCell ref="V952:W952"/>
    <mergeCell ref="V971:W971"/>
    <mergeCell ref="V972:W972"/>
    <mergeCell ref="V957:W957"/>
    <mergeCell ref="V958:W958"/>
    <mergeCell ref="V959:W959"/>
    <mergeCell ref="V960:W960"/>
    <mergeCell ref="V961:W961"/>
    <mergeCell ref="V962:W962"/>
    <mergeCell ref="V937:W937"/>
    <mergeCell ref="V938:W938"/>
    <mergeCell ref="V927:W927"/>
    <mergeCell ref="V928:W928"/>
    <mergeCell ref="V929:W929"/>
    <mergeCell ref="V930:W930"/>
    <mergeCell ref="V931:W931"/>
    <mergeCell ref="V932:W932"/>
    <mergeCell ref="V933:W933"/>
    <mergeCell ref="V934:W934"/>
    <mergeCell ref="V953:W953"/>
    <mergeCell ref="V954:W954"/>
    <mergeCell ref="V939:W939"/>
    <mergeCell ref="V940:W940"/>
    <mergeCell ref="V941:W941"/>
    <mergeCell ref="V942:W942"/>
    <mergeCell ref="V943:W943"/>
    <mergeCell ref="V944:W944"/>
    <mergeCell ref="V919:W919"/>
    <mergeCell ref="V920:W920"/>
    <mergeCell ref="V909:W909"/>
    <mergeCell ref="V910:W910"/>
    <mergeCell ref="V911:W911"/>
    <mergeCell ref="V912:W912"/>
    <mergeCell ref="V913:W913"/>
    <mergeCell ref="V914:W914"/>
    <mergeCell ref="V915:W915"/>
    <mergeCell ref="V916:W916"/>
    <mergeCell ref="V935:W935"/>
    <mergeCell ref="V936:W936"/>
    <mergeCell ref="V921:W921"/>
    <mergeCell ref="V922:W922"/>
    <mergeCell ref="V923:W923"/>
    <mergeCell ref="V924:W924"/>
    <mergeCell ref="V925:W925"/>
    <mergeCell ref="V926:W926"/>
    <mergeCell ref="V901:W901"/>
    <mergeCell ref="V902:W902"/>
    <mergeCell ref="V891:W891"/>
    <mergeCell ref="V892:W892"/>
    <mergeCell ref="V893:W893"/>
    <mergeCell ref="V894:W894"/>
    <mergeCell ref="V895:W895"/>
    <mergeCell ref="V896:W896"/>
    <mergeCell ref="V897:W897"/>
    <mergeCell ref="V898:W898"/>
    <mergeCell ref="V917:W917"/>
    <mergeCell ref="V918:W918"/>
    <mergeCell ref="V903:W903"/>
    <mergeCell ref="V904:W904"/>
    <mergeCell ref="V905:W905"/>
    <mergeCell ref="V906:W906"/>
    <mergeCell ref="V907:W907"/>
    <mergeCell ref="V908:W908"/>
    <mergeCell ref="V883:W883"/>
    <mergeCell ref="V884:W884"/>
    <mergeCell ref="V873:W873"/>
    <mergeCell ref="V874:W874"/>
    <mergeCell ref="V875:W875"/>
    <mergeCell ref="V876:W876"/>
    <mergeCell ref="V877:W877"/>
    <mergeCell ref="V878:W878"/>
    <mergeCell ref="V879:W879"/>
    <mergeCell ref="V880:W880"/>
    <mergeCell ref="V899:W899"/>
    <mergeCell ref="V900:W900"/>
    <mergeCell ref="V885:W885"/>
    <mergeCell ref="V886:W886"/>
    <mergeCell ref="V887:W887"/>
    <mergeCell ref="V888:W888"/>
    <mergeCell ref="V889:W889"/>
    <mergeCell ref="V890:W890"/>
    <mergeCell ref="V865:W865"/>
    <mergeCell ref="V866:W866"/>
    <mergeCell ref="V855:W855"/>
    <mergeCell ref="V856:W856"/>
    <mergeCell ref="V857:W857"/>
    <mergeCell ref="V858:W858"/>
    <mergeCell ref="V859:W859"/>
    <mergeCell ref="V860:W860"/>
    <mergeCell ref="V861:W861"/>
    <mergeCell ref="V862:W862"/>
    <mergeCell ref="V881:W881"/>
    <mergeCell ref="V882:W882"/>
    <mergeCell ref="V867:W867"/>
    <mergeCell ref="V868:W868"/>
    <mergeCell ref="V869:W869"/>
    <mergeCell ref="V870:W870"/>
    <mergeCell ref="V871:W871"/>
    <mergeCell ref="V872:W872"/>
    <mergeCell ref="V847:W847"/>
    <mergeCell ref="V848:W848"/>
    <mergeCell ref="V837:W837"/>
    <mergeCell ref="V838:W838"/>
    <mergeCell ref="V839:W839"/>
    <mergeCell ref="V840:W840"/>
    <mergeCell ref="V841:W841"/>
    <mergeCell ref="V842:W842"/>
    <mergeCell ref="V843:W843"/>
    <mergeCell ref="V844:W844"/>
    <mergeCell ref="V863:W863"/>
    <mergeCell ref="V864:W864"/>
    <mergeCell ref="V849:W849"/>
    <mergeCell ref="V850:W850"/>
    <mergeCell ref="V851:W851"/>
    <mergeCell ref="V852:W852"/>
    <mergeCell ref="V853:W853"/>
    <mergeCell ref="V854:W854"/>
    <mergeCell ref="V829:W829"/>
    <mergeCell ref="V830:W830"/>
    <mergeCell ref="V819:W819"/>
    <mergeCell ref="V820:W820"/>
    <mergeCell ref="V821:W821"/>
    <mergeCell ref="V822:W822"/>
    <mergeCell ref="V823:W823"/>
    <mergeCell ref="V824:W824"/>
    <mergeCell ref="V825:W825"/>
    <mergeCell ref="V826:W826"/>
    <mergeCell ref="V845:W845"/>
    <mergeCell ref="V846:W846"/>
    <mergeCell ref="V831:W831"/>
    <mergeCell ref="V832:W832"/>
    <mergeCell ref="V833:W833"/>
    <mergeCell ref="V834:W834"/>
    <mergeCell ref="V835:W835"/>
    <mergeCell ref="V836:W836"/>
    <mergeCell ref="V811:W811"/>
    <mergeCell ref="V812:W812"/>
    <mergeCell ref="V801:W801"/>
    <mergeCell ref="V802:W802"/>
    <mergeCell ref="V803:W803"/>
    <mergeCell ref="V804:W804"/>
    <mergeCell ref="V805:W805"/>
    <mergeCell ref="V806:W806"/>
    <mergeCell ref="V807:W807"/>
    <mergeCell ref="V808:W808"/>
    <mergeCell ref="V827:W827"/>
    <mergeCell ref="V828:W828"/>
    <mergeCell ref="V813:W813"/>
    <mergeCell ref="V814:W814"/>
    <mergeCell ref="V815:W815"/>
    <mergeCell ref="V816:W816"/>
    <mergeCell ref="V817:W817"/>
    <mergeCell ref="V818:W818"/>
    <mergeCell ref="V793:W793"/>
    <mergeCell ref="V794:W794"/>
    <mergeCell ref="V783:W783"/>
    <mergeCell ref="V784:W784"/>
    <mergeCell ref="V785:W785"/>
    <mergeCell ref="V786:W786"/>
    <mergeCell ref="V787:W787"/>
    <mergeCell ref="V788:W788"/>
    <mergeCell ref="V789:W789"/>
    <mergeCell ref="V790:W790"/>
    <mergeCell ref="V809:W809"/>
    <mergeCell ref="V810:W810"/>
    <mergeCell ref="V795:W795"/>
    <mergeCell ref="V796:W796"/>
    <mergeCell ref="V797:W797"/>
    <mergeCell ref="V798:W798"/>
    <mergeCell ref="V799:W799"/>
    <mergeCell ref="V800:W800"/>
    <mergeCell ref="V775:W775"/>
    <mergeCell ref="V776:W776"/>
    <mergeCell ref="V765:W765"/>
    <mergeCell ref="V766:W766"/>
    <mergeCell ref="V767:W767"/>
    <mergeCell ref="V768:W768"/>
    <mergeCell ref="V769:W769"/>
    <mergeCell ref="V770:W770"/>
    <mergeCell ref="V771:W771"/>
    <mergeCell ref="V772:W772"/>
    <mergeCell ref="V791:W791"/>
    <mergeCell ref="V792:W792"/>
    <mergeCell ref="V777:W777"/>
    <mergeCell ref="V778:W778"/>
    <mergeCell ref="V779:W779"/>
    <mergeCell ref="V780:W780"/>
    <mergeCell ref="V781:W781"/>
    <mergeCell ref="V782:W782"/>
    <mergeCell ref="V757:W757"/>
    <mergeCell ref="V758:W758"/>
    <mergeCell ref="V747:W747"/>
    <mergeCell ref="V748:W748"/>
    <mergeCell ref="V749:W749"/>
    <mergeCell ref="V750:W750"/>
    <mergeCell ref="V751:W751"/>
    <mergeCell ref="V752:W752"/>
    <mergeCell ref="V753:W753"/>
    <mergeCell ref="V754:W754"/>
    <mergeCell ref="V773:W773"/>
    <mergeCell ref="V774:W774"/>
    <mergeCell ref="V759:W759"/>
    <mergeCell ref="V760:W760"/>
    <mergeCell ref="V761:W761"/>
    <mergeCell ref="V762:W762"/>
    <mergeCell ref="V763:W763"/>
    <mergeCell ref="V764:W764"/>
    <mergeCell ref="V739:W739"/>
    <mergeCell ref="V740:W740"/>
    <mergeCell ref="V729:W729"/>
    <mergeCell ref="V730:W730"/>
    <mergeCell ref="V731:W731"/>
    <mergeCell ref="V732:W732"/>
    <mergeCell ref="V733:W733"/>
    <mergeCell ref="V734:W734"/>
    <mergeCell ref="V735:W735"/>
    <mergeCell ref="V736:W736"/>
    <mergeCell ref="V755:W755"/>
    <mergeCell ref="V756:W756"/>
    <mergeCell ref="V741:W741"/>
    <mergeCell ref="V742:W742"/>
    <mergeCell ref="V743:W743"/>
    <mergeCell ref="V744:W744"/>
    <mergeCell ref="V745:W745"/>
    <mergeCell ref="V746:W746"/>
    <mergeCell ref="V721:W721"/>
    <mergeCell ref="V722:W722"/>
    <mergeCell ref="V711:W711"/>
    <mergeCell ref="V712:W712"/>
    <mergeCell ref="V713:W713"/>
    <mergeCell ref="V714:W714"/>
    <mergeCell ref="V715:W715"/>
    <mergeCell ref="V716:W716"/>
    <mergeCell ref="V717:W717"/>
    <mergeCell ref="V718:W718"/>
    <mergeCell ref="V737:W737"/>
    <mergeCell ref="V738:W738"/>
    <mergeCell ref="V723:W723"/>
    <mergeCell ref="V724:W724"/>
    <mergeCell ref="V725:W725"/>
    <mergeCell ref="V726:W726"/>
    <mergeCell ref="V727:W727"/>
    <mergeCell ref="V728:W728"/>
    <mergeCell ref="V703:W703"/>
    <mergeCell ref="V704:W704"/>
    <mergeCell ref="V693:W693"/>
    <mergeCell ref="V694:W694"/>
    <mergeCell ref="V695:W695"/>
    <mergeCell ref="V696:W696"/>
    <mergeCell ref="V697:W697"/>
    <mergeCell ref="V698:W698"/>
    <mergeCell ref="V699:W699"/>
    <mergeCell ref="V700:W700"/>
    <mergeCell ref="V719:W719"/>
    <mergeCell ref="V720:W720"/>
    <mergeCell ref="V705:W705"/>
    <mergeCell ref="V706:W706"/>
    <mergeCell ref="V707:W707"/>
    <mergeCell ref="V708:W708"/>
    <mergeCell ref="V709:W709"/>
    <mergeCell ref="V710:W710"/>
    <mergeCell ref="V685:W685"/>
    <mergeCell ref="V686:W686"/>
    <mergeCell ref="V675:W675"/>
    <mergeCell ref="V676:W676"/>
    <mergeCell ref="V677:W677"/>
    <mergeCell ref="V678:W678"/>
    <mergeCell ref="V679:W679"/>
    <mergeCell ref="V680:W680"/>
    <mergeCell ref="V681:W681"/>
    <mergeCell ref="V682:W682"/>
    <mergeCell ref="V701:W701"/>
    <mergeCell ref="V702:W702"/>
    <mergeCell ref="V687:W687"/>
    <mergeCell ref="V688:W688"/>
    <mergeCell ref="V689:W689"/>
    <mergeCell ref="V690:W690"/>
    <mergeCell ref="V691:W691"/>
    <mergeCell ref="V692:W692"/>
    <mergeCell ref="V667:W667"/>
    <mergeCell ref="V668:W668"/>
    <mergeCell ref="V657:W657"/>
    <mergeCell ref="V658:W658"/>
    <mergeCell ref="V659:W659"/>
    <mergeCell ref="V660:W660"/>
    <mergeCell ref="V661:W661"/>
    <mergeCell ref="V662:W662"/>
    <mergeCell ref="V663:W663"/>
    <mergeCell ref="V664:W664"/>
    <mergeCell ref="V683:W683"/>
    <mergeCell ref="V684:W684"/>
    <mergeCell ref="V669:W669"/>
    <mergeCell ref="V670:W670"/>
    <mergeCell ref="V671:W671"/>
    <mergeCell ref="V672:W672"/>
    <mergeCell ref="V673:W673"/>
    <mergeCell ref="V674:W674"/>
    <mergeCell ref="V649:W649"/>
    <mergeCell ref="V650:W650"/>
    <mergeCell ref="V639:W639"/>
    <mergeCell ref="V640:W640"/>
    <mergeCell ref="V641:W641"/>
    <mergeCell ref="V642:W642"/>
    <mergeCell ref="V643:W643"/>
    <mergeCell ref="V644:W644"/>
    <mergeCell ref="V645:W645"/>
    <mergeCell ref="V646:W646"/>
    <mergeCell ref="V665:W665"/>
    <mergeCell ref="V666:W666"/>
    <mergeCell ref="V651:W651"/>
    <mergeCell ref="V652:W652"/>
    <mergeCell ref="V653:W653"/>
    <mergeCell ref="V654:W654"/>
    <mergeCell ref="V655:W655"/>
    <mergeCell ref="V656:W656"/>
    <mergeCell ref="V631:W631"/>
    <mergeCell ref="V632:W632"/>
    <mergeCell ref="V621:W621"/>
    <mergeCell ref="V622:W622"/>
    <mergeCell ref="V623:W623"/>
    <mergeCell ref="V624:W624"/>
    <mergeCell ref="V625:W625"/>
    <mergeCell ref="V626:W626"/>
    <mergeCell ref="V627:W627"/>
    <mergeCell ref="V628:W628"/>
    <mergeCell ref="V647:W647"/>
    <mergeCell ref="V648:W648"/>
    <mergeCell ref="V633:W633"/>
    <mergeCell ref="V634:W634"/>
    <mergeCell ref="V635:W635"/>
    <mergeCell ref="V636:W636"/>
    <mergeCell ref="V637:W637"/>
    <mergeCell ref="V638:W638"/>
    <mergeCell ref="V613:W613"/>
    <mergeCell ref="V614:W614"/>
    <mergeCell ref="V603:W603"/>
    <mergeCell ref="V604:W604"/>
    <mergeCell ref="V605:W605"/>
    <mergeCell ref="V606:W606"/>
    <mergeCell ref="V607:W607"/>
    <mergeCell ref="V608:W608"/>
    <mergeCell ref="V609:W609"/>
    <mergeCell ref="V610:W610"/>
    <mergeCell ref="V629:W629"/>
    <mergeCell ref="V630:W630"/>
    <mergeCell ref="V615:W615"/>
    <mergeCell ref="V616:W616"/>
    <mergeCell ref="V617:W617"/>
    <mergeCell ref="V618:W618"/>
    <mergeCell ref="V619:W619"/>
    <mergeCell ref="V620:W620"/>
    <mergeCell ref="V595:W595"/>
    <mergeCell ref="V596:W596"/>
    <mergeCell ref="V585:W585"/>
    <mergeCell ref="V586:W586"/>
    <mergeCell ref="V587:W587"/>
    <mergeCell ref="V588:W588"/>
    <mergeCell ref="V589:W589"/>
    <mergeCell ref="V590:W590"/>
    <mergeCell ref="V591:W591"/>
    <mergeCell ref="V592:W592"/>
    <mergeCell ref="V611:W611"/>
    <mergeCell ref="V612:W612"/>
    <mergeCell ref="V597:W597"/>
    <mergeCell ref="V598:W598"/>
    <mergeCell ref="V599:W599"/>
    <mergeCell ref="V600:W600"/>
    <mergeCell ref="V601:W601"/>
    <mergeCell ref="V602:W602"/>
    <mergeCell ref="V577:W577"/>
    <mergeCell ref="V578:W578"/>
    <mergeCell ref="V567:W567"/>
    <mergeCell ref="V568:W568"/>
    <mergeCell ref="V569:W569"/>
    <mergeCell ref="V570:W570"/>
    <mergeCell ref="V571:W571"/>
    <mergeCell ref="V572:W572"/>
    <mergeCell ref="V573:W573"/>
    <mergeCell ref="V574:W574"/>
    <mergeCell ref="V593:W593"/>
    <mergeCell ref="V594:W594"/>
    <mergeCell ref="V579:W579"/>
    <mergeCell ref="V580:W580"/>
    <mergeCell ref="V581:W581"/>
    <mergeCell ref="V582:W582"/>
    <mergeCell ref="V583:W583"/>
    <mergeCell ref="V584:W584"/>
    <mergeCell ref="V559:W559"/>
    <mergeCell ref="V560:W560"/>
    <mergeCell ref="V549:W549"/>
    <mergeCell ref="V550:W550"/>
    <mergeCell ref="V551:W551"/>
    <mergeCell ref="V552:W552"/>
    <mergeCell ref="V553:W553"/>
    <mergeCell ref="V554:W554"/>
    <mergeCell ref="V555:W555"/>
    <mergeCell ref="V556:W556"/>
    <mergeCell ref="V575:W575"/>
    <mergeCell ref="V576:W576"/>
    <mergeCell ref="V561:W561"/>
    <mergeCell ref="V562:W562"/>
    <mergeCell ref="V563:W563"/>
    <mergeCell ref="V564:W564"/>
    <mergeCell ref="V565:W565"/>
    <mergeCell ref="V566:W566"/>
    <mergeCell ref="V541:W541"/>
    <mergeCell ref="V542:W542"/>
    <mergeCell ref="V531:W531"/>
    <mergeCell ref="V532:W532"/>
    <mergeCell ref="V533:W533"/>
    <mergeCell ref="V534:W534"/>
    <mergeCell ref="V535:W535"/>
    <mergeCell ref="V536:W536"/>
    <mergeCell ref="V537:W537"/>
    <mergeCell ref="V538:W538"/>
    <mergeCell ref="V557:W557"/>
    <mergeCell ref="V558:W558"/>
    <mergeCell ref="V543:W543"/>
    <mergeCell ref="V544:W544"/>
    <mergeCell ref="V545:W545"/>
    <mergeCell ref="V546:W546"/>
    <mergeCell ref="V547:W547"/>
    <mergeCell ref="V548:W548"/>
    <mergeCell ref="V523:W523"/>
    <mergeCell ref="V524:W524"/>
    <mergeCell ref="V513:W513"/>
    <mergeCell ref="V514:W514"/>
    <mergeCell ref="V515:W515"/>
    <mergeCell ref="V516:W516"/>
    <mergeCell ref="V517:W517"/>
    <mergeCell ref="V518:W518"/>
    <mergeCell ref="V519:W519"/>
    <mergeCell ref="V520:W520"/>
    <mergeCell ref="V539:W539"/>
    <mergeCell ref="V540:W540"/>
    <mergeCell ref="V525:W525"/>
    <mergeCell ref="V526:W526"/>
    <mergeCell ref="V527:W527"/>
    <mergeCell ref="V528:W528"/>
    <mergeCell ref="V529:W529"/>
    <mergeCell ref="V530:W530"/>
    <mergeCell ref="V505:W505"/>
    <mergeCell ref="V506:W506"/>
    <mergeCell ref="V495:W495"/>
    <mergeCell ref="V496:W496"/>
    <mergeCell ref="V497:W497"/>
    <mergeCell ref="V498:W498"/>
    <mergeCell ref="V499:W499"/>
    <mergeCell ref="V500:W500"/>
    <mergeCell ref="V501:W501"/>
    <mergeCell ref="V502:W502"/>
    <mergeCell ref="V521:W521"/>
    <mergeCell ref="V522:W522"/>
    <mergeCell ref="V507:W507"/>
    <mergeCell ref="V508:W508"/>
    <mergeCell ref="V509:W509"/>
    <mergeCell ref="V510:W510"/>
    <mergeCell ref="V511:W511"/>
    <mergeCell ref="V512:W512"/>
    <mergeCell ref="V487:W487"/>
    <mergeCell ref="V488:W488"/>
    <mergeCell ref="V477:W477"/>
    <mergeCell ref="V478:W478"/>
    <mergeCell ref="V479:W479"/>
    <mergeCell ref="V480:W480"/>
    <mergeCell ref="V481:W481"/>
    <mergeCell ref="V482:W482"/>
    <mergeCell ref="V483:W483"/>
    <mergeCell ref="V484:W484"/>
    <mergeCell ref="V503:W503"/>
    <mergeCell ref="V504:W504"/>
    <mergeCell ref="V489:W489"/>
    <mergeCell ref="V490:W490"/>
    <mergeCell ref="V491:W491"/>
    <mergeCell ref="V492:W492"/>
    <mergeCell ref="V493:W493"/>
    <mergeCell ref="V494:W494"/>
    <mergeCell ref="V469:W469"/>
    <mergeCell ref="V470:W470"/>
    <mergeCell ref="V459:W459"/>
    <mergeCell ref="V460:W460"/>
    <mergeCell ref="V461:W461"/>
    <mergeCell ref="V462:W462"/>
    <mergeCell ref="V463:W463"/>
    <mergeCell ref="V464:W464"/>
    <mergeCell ref="V465:W465"/>
    <mergeCell ref="V466:W466"/>
    <mergeCell ref="V485:W485"/>
    <mergeCell ref="V486:W486"/>
    <mergeCell ref="V471:W471"/>
    <mergeCell ref="V472:W472"/>
    <mergeCell ref="V473:W473"/>
    <mergeCell ref="V474:W474"/>
    <mergeCell ref="V475:W475"/>
    <mergeCell ref="V476:W476"/>
    <mergeCell ref="V451:W451"/>
    <mergeCell ref="V452:W452"/>
    <mergeCell ref="V441:W441"/>
    <mergeCell ref="V442:W442"/>
    <mergeCell ref="V443:W443"/>
    <mergeCell ref="V444:W444"/>
    <mergeCell ref="V445:W445"/>
    <mergeCell ref="V446:W446"/>
    <mergeCell ref="V447:W447"/>
    <mergeCell ref="V448:W448"/>
    <mergeCell ref="V467:W467"/>
    <mergeCell ref="V468:W468"/>
    <mergeCell ref="V453:W453"/>
    <mergeCell ref="V454:W454"/>
    <mergeCell ref="V455:W455"/>
    <mergeCell ref="V456:W456"/>
    <mergeCell ref="V457:W457"/>
    <mergeCell ref="V458:W458"/>
    <mergeCell ref="V433:W433"/>
    <mergeCell ref="V434:W434"/>
    <mergeCell ref="V423:W423"/>
    <mergeCell ref="V424:W424"/>
    <mergeCell ref="V425:W425"/>
    <mergeCell ref="V426:W426"/>
    <mergeCell ref="V427:W427"/>
    <mergeCell ref="V428:W428"/>
    <mergeCell ref="V429:W429"/>
    <mergeCell ref="V430:W430"/>
    <mergeCell ref="V449:W449"/>
    <mergeCell ref="V450:W450"/>
    <mergeCell ref="V435:W435"/>
    <mergeCell ref="V436:W436"/>
    <mergeCell ref="V437:W437"/>
    <mergeCell ref="V438:W438"/>
    <mergeCell ref="V439:W439"/>
    <mergeCell ref="V440:W440"/>
    <mergeCell ref="V415:W415"/>
    <mergeCell ref="V416:W416"/>
    <mergeCell ref="V405:W405"/>
    <mergeCell ref="V406:W406"/>
    <mergeCell ref="V407:W407"/>
    <mergeCell ref="V408:W408"/>
    <mergeCell ref="V409:W409"/>
    <mergeCell ref="V410:W410"/>
    <mergeCell ref="V411:W411"/>
    <mergeCell ref="V412:W412"/>
    <mergeCell ref="V431:W431"/>
    <mergeCell ref="V432:W432"/>
    <mergeCell ref="V417:W417"/>
    <mergeCell ref="V418:W418"/>
    <mergeCell ref="V419:W419"/>
    <mergeCell ref="V420:W420"/>
    <mergeCell ref="V421:W421"/>
    <mergeCell ref="V422:W422"/>
    <mergeCell ref="V397:W397"/>
    <mergeCell ref="V398:W398"/>
    <mergeCell ref="V387:W387"/>
    <mergeCell ref="V388:W388"/>
    <mergeCell ref="V389:W389"/>
    <mergeCell ref="V390:W390"/>
    <mergeCell ref="V391:W391"/>
    <mergeCell ref="V392:W392"/>
    <mergeCell ref="V393:W393"/>
    <mergeCell ref="V394:W394"/>
    <mergeCell ref="V413:W413"/>
    <mergeCell ref="V414:W414"/>
    <mergeCell ref="V399:W399"/>
    <mergeCell ref="V400:W400"/>
    <mergeCell ref="V401:W401"/>
    <mergeCell ref="V402:W402"/>
    <mergeCell ref="V403:W403"/>
    <mergeCell ref="V404:W404"/>
    <mergeCell ref="V379:W379"/>
    <mergeCell ref="V380:W380"/>
    <mergeCell ref="V369:W369"/>
    <mergeCell ref="V370:W370"/>
    <mergeCell ref="V371:W371"/>
    <mergeCell ref="V372:W372"/>
    <mergeCell ref="V373:W373"/>
    <mergeCell ref="V374:W374"/>
    <mergeCell ref="V375:W375"/>
    <mergeCell ref="V376:W376"/>
    <mergeCell ref="V395:W395"/>
    <mergeCell ref="V396:W396"/>
    <mergeCell ref="V381:W381"/>
    <mergeCell ref="V382:W382"/>
    <mergeCell ref="V383:W383"/>
    <mergeCell ref="V384:W384"/>
    <mergeCell ref="V385:W385"/>
    <mergeCell ref="V386:W386"/>
    <mergeCell ref="V361:W361"/>
    <mergeCell ref="V362:W362"/>
    <mergeCell ref="V351:W351"/>
    <mergeCell ref="V352:W352"/>
    <mergeCell ref="V353:W353"/>
    <mergeCell ref="V354:W354"/>
    <mergeCell ref="V355:W355"/>
    <mergeCell ref="V356:W356"/>
    <mergeCell ref="V357:W357"/>
    <mergeCell ref="V358:W358"/>
    <mergeCell ref="V377:W377"/>
    <mergeCell ref="V378:W378"/>
    <mergeCell ref="V363:W363"/>
    <mergeCell ref="V364:W364"/>
    <mergeCell ref="V365:W365"/>
    <mergeCell ref="V366:W366"/>
    <mergeCell ref="V367:W367"/>
    <mergeCell ref="V368:W368"/>
    <mergeCell ref="V343:W343"/>
    <mergeCell ref="V344:W344"/>
    <mergeCell ref="V333:W333"/>
    <mergeCell ref="V334:W334"/>
    <mergeCell ref="V335:W335"/>
    <mergeCell ref="V336:W336"/>
    <mergeCell ref="V337:W337"/>
    <mergeCell ref="V338:W338"/>
    <mergeCell ref="V339:W339"/>
    <mergeCell ref="V340:W340"/>
    <mergeCell ref="V359:W359"/>
    <mergeCell ref="V360:W360"/>
    <mergeCell ref="V345:W345"/>
    <mergeCell ref="V346:W346"/>
    <mergeCell ref="V347:W347"/>
    <mergeCell ref="V348:W348"/>
    <mergeCell ref="V349:W349"/>
    <mergeCell ref="V350:W350"/>
    <mergeCell ref="V325:W325"/>
    <mergeCell ref="V326:W326"/>
    <mergeCell ref="V315:W315"/>
    <mergeCell ref="V316:W316"/>
    <mergeCell ref="V317:W317"/>
    <mergeCell ref="V318:W318"/>
    <mergeCell ref="V319:W319"/>
    <mergeCell ref="V320:W320"/>
    <mergeCell ref="V321:W321"/>
    <mergeCell ref="V322:W322"/>
    <mergeCell ref="V341:W341"/>
    <mergeCell ref="V342:W342"/>
    <mergeCell ref="V327:W327"/>
    <mergeCell ref="V328:W328"/>
    <mergeCell ref="V329:W329"/>
    <mergeCell ref="V330:W330"/>
    <mergeCell ref="V331:W331"/>
    <mergeCell ref="V332:W332"/>
    <mergeCell ref="V307:W307"/>
    <mergeCell ref="V308:W308"/>
    <mergeCell ref="V297:W297"/>
    <mergeCell ref="V298:W298"/>
    <mergeCell ref="V299:W299"/>
    <mergeCell ref="V300:W300"/>
    <mergeCell ref="V301:W301"/>
    <mergeCell ref="V302:W302"/>
    <mergeCell ref="V303:W303"/>
    <mergeCell ref="V304:W304"/>
    <mergeCell ref="V323:W323"/>
    <mergeCell ref="V324:W324"/>
    <mergeCell ref="V309:W309"/>
    <mergeCell ref="V310:W310"/>
    <mergeCell ref="V311:W311"/>
    <mergeCell ref="V312:W312"/>
    <mergeCell ref="V313:W313"/>
    <mergeCell ref="V314:W314"/>
    <mergeCell ref="V289:W289"/>
    <mergeCell ref="V290:W290"/>
    <mergeCell ref="V279:W279"/>
    <mergeCell ref="V280:W280"/>
    <mergeCell ref="V281:W281"/>
    <mergeCell ref="V282:W282"/>
    <mergeCell ref="V283:W283"/>
    <mergeCell ref="V284:W284"/>
    <mergeCell ref="V285:W285"/>
    <mergeCell ref="V286:W286"/>
    <mergeCell ref="V305:W305"/>
    <mergeCell ref="V306:W306"/>
    <mergeCell ref="V291:W291"/>
    <mergeCell ref="V292:W292"/>
    <mergeCell ref="V293:W293"/>
    <mergeCell ref="V294:W294"/>
    <mergeCell ref="V295:W295"/>
    <mergeCell ref="V296:W296"/>
    <mergeCell ref="V271:W271"/>
    <mergeCell ref="V272:W272"/>
    <mergeCell ref="V261:W261"/>
    <mergeCell ref="V262:W262"/>
    <mergeCell ref="V263:W263"/>
    <mergeCell ref="V264:W264"/>
    <mergeCell ref="V265:W265"/>
    <mergeCell ref="V266:W266"/>
    <mergeCell ref="V267:W267"/>
    <mergeCell ref="V268:W268"/>
    <mergeCell ref="V287:W287"/>
    <mergeCell ref="V288:W288"/>
    <mergeCell ref="V273:W273"/>
    <mergeCell ref="V274:W274"/>
    <mergeCell ref="V275:W275"/>
    <mergeCell ref="V276:W276"/>
    <mergeCell ref="V277:W277"/>
    <mergeCell ref="V278:W278"/>
    <mergeCell ref="V253:W253"/>
    <mergeCell ref="V254:W254"/>
    <mergeCell ref="V243:W243"/>
    <mergeCell ref="V244:W244"/>
    <mergeCell ref="V245:W245"/>
    <mergeCell ref="V246:W246"/>
    <mergeCell ref="V247:W247"/>
    <mergeCell ref="V248:W248"/>
    <mergeCell ref="V249:W249"/>
    <mergeCell ref="V250:W250"/>
    <mergeCell ref="V269:W269"/>
    <mergeCell ref="V270:W270"/>
    <mergeCell ref="V255:W255"/>
    <mergeCell ref="V256:W256"/>
    <mergeCell ref="V257:W257"/>
    <mergeCell ref="V258:W258"/>
    <mergeCell ref="V259:W259"/>
    <mergeCell ref="V260:W260"/>
    <mergeCell ref="V235:W235"/>
    <mergeCell ref="V236:W236"/>
    <mergeCell ref="V225:W225"/>
    <mergeCell ref="V226:W226"/>
    <mergeCell ref="V227:W227"/>
    <mergeCell ref="V228:W228"/>
    <mergeCell ref="V229:W229"/>
    <mergeCell ref="V230:W230"/>
    <mergeCell ref="V231:W231"/>
    <mergeCell ref="V232:W232"/>
    <mergeCell ref="V251:W251"/>
    <mergeCell ref="V252:W252"/>
    <mergeCell ref="V237:W237"/>
    <mergeCell ref="V238:W238"/>
    <mergeCell ref="V239:W239"/>
    <mergeCell ref="V240:W240"/>
    <mergeCell ref="V241:W241"/>
    <mergeCell ref="V242:W242"/>
    <mergeCell ref="V217:W217"/>
    <mergeCell ref="V218:W218"/>
    <mergeCell ref="V207:W207"/>
    <mergeCell ref="V208:W208"/>
    <mergeCell ref="V209:W209"/>
    <mergeCell ref="V210:W210"/>
    <mergeCell ref="V211:W211"/>
    <mergeCell ref="V212:W212"/>
    <mergeCell ref="V213:W213"/>
    <mergeCell ref="V214:W214"/>
    <mergeCell ref="V233:W233"/>
    <mergeCell ref="V234:W234"/>
    <mergeCell ref="V219:W219"/>
    <mergeCell ref="V220:W220"/>
    <mergeCell ref="V221:W221"/>
    <mergeCell ref="V222:W222"/>
    <mergeCell ref="V223:W223"/>
    <mergeCell ref="V224:W224"/>
    <mergeCell ref="V199:W199"/>
    <mergeCell ref="V200:W200"/>
    <mergeCell ref="V189:W189"/>
    <mergeCell ref="V190:W190"/>
    <mergeCell ref="V191:W191"/>
    <mergeCell ref="V192:W192"/>
    <mergeCell ref="V193:W193"/>
    <mergeCell ref="V194:W194"/>
    <mergeCell ref="V195:W195"/>
    <mergeCell ref="V196:W196"/>
    <mergeCell ref="V215:W215"/>
    <mergeCell ref="V216:W216"/>
    <mergeCell ref="V201:W201"/>
    <mergeCell ref="V202:W202"/>
    <mergeCell ref="V203:W203"/>
    <mergeCell ref="V204:W204"/>
    <mergeCell ref="V205:W205"/>
    <mergeCell ref="V206:W206"/>
    <mergeCell ref="V181:W181"/>
    <mergeCell ref="V182:W182"/>
    <mergeCell ref="V171:W171"/>
    <mergeCell ref="V172:W172"/>
    <mergeCell ref="V173:W173"/>
    <mergeCell ref="V174:W174"/>
    <mergeCell ref="V175:W175"/>
    <mergeCell ref="V176:W176"/>
    <mergeCell ref="V177:W177"/>
    <mergeCell ref="V178:W178"/>
    <mergeCell ref="V197:W197"/>
    <mergeCell ref="V198:W198"/>
    <mergeCell ref="V183:W183"/>
    <mergeCell ref="V184:W184"/>
    <mergeCell ref="V185:W185"/>
    <mergeCell ref="V186:W186"/>
    <mergeCell ref="V187:W187"/>
    <mergeCell ref="V188:W188"/>
    <mergeCell ref="V163:W163"/>
    <mergeCell ref="V164:W164"/>
    <mergeCell ref="V153:W153"/>
    <mergeCell ref="V154:W154"/>
    <mergeCell ref="V155:W155"/>
    <mergeCell ref="V156:W156"/>
    <mergeCell ref="V157:W157"/>
    <mergeCell ref="V158:W158"/>
    <mergeCell ref="V159:W159"/>
    <mergeCell ref="V160:W160"/>
    <mergeCell ref="V179:W179"/>
    <mergeCell ref="V180:W180"/>
    <mergeCell ref="V165:W165"/>
    <mergeCell ref="V166:W166"/>
    <mergeCell ref="V167:W167"/>
    <mergeCell ref="V168:W168"/>
    <mergeCell ref="V169:W169"/>
    <mergeCell ref="V170:W170"/>
    <mergeCell ref="V145:W145"/>
    <mergeCell ref="V146:W146"/>
    <mergeCell ref="V135:W135"/>
    <mergeCell ref="V136:W136"/>
    <mergeCell ref="V137:W137"/>
    <mergeCell ref="V138:W138"/>
    <mergeCell ref="V139:W139"/>
    <mergeCell ref="V140:W140"/>
    <mergeCell ref="V141:W141"/>
    <mergeCell ref="V142:W142"/>
    <mergeCell ref="V161:W161"/>
    <mergeCell ref="V162:W162"/>
    <mergeCell ref="V147:W147"/>
    <mergeCell ref="V148:W148"/>
    <mergeCell ref="V149:W149"/>
    <mergeCell ref="V150:W150"/>
    <mergeCell ref="V151:W151"/>
    <mergeCell ref="V152:W152"/>
    <mergeCell ref="V127:W127"/>
    <mergeCell ref="V128:W128"/>
    <mergeCell ref="V117:W117"/>
    <mergeCell ref="V118:W118"/>
    <mergeCell ref="V119:W119"/>
    <mergeCell ref="V120:W120"/>
    <mergeCell ref="V121:W121"/>
    <mergeCell ref="V122:W122"/>
    <mergeCell ref="V123:W123"/>
    <mergeCell ref="V124:W124"/>
    <mergeCell ref="V143:W143"/>
    <mergeCell ref="V144:W144"/>
    <mergeCell ref="V129:W129"/>
    <mergeCell ref="V130:W130"/>
    <mergeCell ref="V131:W131"/>
    <mergeCell ref="V132:W132"/>
    <mergeCell ref="V133:W133"/>
    <mergeCell ref="V134:W134"/>
    <mergeCell ref="V109:W109"/>
    <mergeCell ref="V110:W110"/>
    <mergeCell ref="V99:W99"/>
    <mergeCell ref="V100:W100"/>
    <mergeCell ref="V101:W101"/>
    <mergeCell ref="V102:W102"/>
    <mergeCell ref="V103:W103"/>
    <mergeCell ref="V104:W104"/>
    <mergeCell ref="V105:W105"/>
    <mergeCell ref="V106:W106"/>
    <mergeCell ref="V125:W125"/>
    <mergeCell ref="V126:W126"/>
    <mergeCell ref="V111:W111"/>
    <mergeCell ref="V112:W112"/>
    <mergeCell ref="V113:W113"/>
    <mergeCell ref="V114:W114"/>
    <mergeCell ref="V115:W115"/>
    <mergeCell ref="V116:W116"/>
    <mergeCell ref="V91:W91"/>
    <mergeCell ref="V92:W92"/>
    <mergeCell ref="V81:W81"/>
    <mergeCell ref="V82:W82"/>
    <mergeCell ref="V83:W83"/>
    <mergeCell ref="V84:W84"/>
    <mergeCell ref="V85:W85"/>
    <mergeCell ref="V86:W86"/>
    <mergeCell ref="V87:W87"/>
    <mergeCell ref="V88:W88"/>
    <mergeCell ref="V107:W107"/>
    <mergeCell ref="V108:W108"/>
    <mergeCell ref="V93:W93"/>
    <mergeCell ref="V94:W94"/>
    <mergeCell ref="V95:W95"/>
    <mergeCell ref="V96:W96"/>
    <mergeCell ref="V97:W97"/>
    <mergeCell ref="V98:W98"/>
    <mergeCell ref="V73:W73"/>
    <mergeCell ref="V74:W74"/>
    <mergeCell ref="V63:W63"/>
    <mergeCell ref="V64:W64"/>
    <mergeCell ref="V65:W65"/>
    <mergeCell ref="V66:W66"/>
    <mergeCell ref="V67:W67"/>
    <mergeCell ref="V68:W68"/>
    <mergeCell ref="V69:W69"/>
    <mergeCell ref="V70:W70"/>
    <mergeCell ref="V89:W89"/>
    <mergeCell ref="V90:W90"/>
    <mergeCell ref="V75:W75"/>
    <mergeCell ref="V76:W76"/>
    <mergeCell ref="V77:W77"/>
    <mergeCell ref="V78:W78"/>
    <mergeCell ref="V79:W79"/>
    <mergeCell ref="V80:W80"/>
    <mergeCell ref="V54:W54"/>
    <mergeCell ref="V55:W55"/>
    <mergeCell ref="V56:W56"/>
    <mergeCell ref="V45:W45"/>
    <mergeCell ref="V46:W46"/>
    <mergeCell ref="V47:W47"/>
    <mergeCell ref="V48:W48"/>
    <mergeCell ref="V49:W49"/>
    <mergeCell ref="V50:W50"/>
    <mergeCell ref="V51:W51"/>
    <mergeCell ref="V71:W71"/>
    <mergeCell ref="V72:W72"/>
    <mergeCell ref="V57:W57"/>
    <mergeCell ref="V58:W58"/>
    <mergeCell ref="V59:W59"/>
    <mergeCell ref="V60:W60"/>
    <mergeCell ref="V61:W61"/>
    <mergeCell ref="V62:W62"/>
    <mergeCell ref="V35:W35"/>
    <mergeCell ref="V36:W36"/>
    <mergeCell ref="V37:W37"/>
    <mergeCell ref="V38:W38"/>
    <mergeCell ref="V27:W27"/>
    <mergeCell ref="V28:W28"/>
    <mergeCell ref="V29:W29"/>
    <mergeCell ref="V30:W30"/>
    <mergeCell ref="V31:W31"/>
    <mergeCell ref="V33:W33"/>
    <mergeCell ref="V52:W52"/>
    <mergeCell ref="V53:W53"/>
    <mergeCell ref="V39:W39"/>
    <mergeCell ref="V40:W40"/>
    <mergeCell ref="V41:W41"/>
    <mergeCell ref="V42:W42"/>
    <mergeCell ref="V43:W43"/>
    <mergeCell ref="V44:W44"/>
    <mergeCell ref="AJ6:AJ8"/>
    <mergeCell ref="AK6:AK8"/>
    <mergeCell ref="V9:W9"/>
    <mergeCell ref="V10:W10"/>
    <mergeCell ref="V11:W11"/>
    <mergeCell ref="V12:W12"/>
    <mergeCell ref="V32:W32"/>
    <mergeCell ref="V21:W21"/>
    <mergeCell ref="V22:W22"/>
    <mergeCell ref="V23:W23"/>
    <mergeCell ref="V24:W24"/>
    <mergeCell ref="V25:W25"/>
    <mergeCell ref="V34:W34"/>
    <mergeCell ref="V14:W14"/>
    <mergeCell ref="V17:W17"/>
    <mergeCell ref="V18:W18"/>
    <mergeCell ref="V19:W19"/>
    <mergeCell ref="V20:W20"/>
    <mergeCell ref="V16:W16"/>
    <mergeCell ref="U8:AA8"/>
    <mergeCell ref="BI6:BI8"/>
    <mergeCell ref="AX6:AX8"/>
    <mergeCell ref="AY6:AY8"/>
    <mergeCell ref="AZ6:AZ8"/>
    <mergeCell ref="BA6:BA8"/>
    <mergeCell ref="BH6:BH8"/>
    <mergeCell ref="BF6:BF8"/>
    <mergeCell ref="BG6:BG8"/>
    <mergeCell ref="AW6:AW8"/>
    <mergeCell ref="BC6:BC8"/>
    <mergeCell ref="V26:W26"/>
    <mergeCell ref="AC8:AD8"/>
    <mergeCell ref="AF6:AF8"/>
    <mergeCell ref="AG6:AG8"/>
    <mergeCell ref="V15:W15"/>
    <mergeCell ref="BB6:BB8"/>
    <mergeCell ref="AQ6:AQ8"/>
    <mergeCell ref="AR6:AR8"/>
    <mergeCell ref="AS6:AS8"/>
    <mergeCell ref="BD6:BD8"/>
    <mergeCell ref="V13:W13"/>
    <mergeCell ref="BE6:BE8"/>
    <mergeCell ref="AL6:AL8"/>
    <mergeCell ref="AT6:AT8"/>
    <mergeCell ref="AU6:AU8"/>
    <mergeCell ref="AV6:AV8"/>
    <mergeCell ref="AM6:AM8"/>
    <mergeCell ref="AN6:AN8"/>
    <mergeCell ref="AO6:AO8"/>
    <mergeCell ref="AP6:AP8"/>
    <mergeCell ref="AH6:AH8"/>
    <mergeCell ref="AI6:AI8"/>
  </mergeCells>
  <phoneticPr fontId="16" type="noConversion"/>
  <conditionalFormatting sqref="BI10 BG10 BE10 BC10 BA10 AY10 AW10 AU10 AS10 AQ10 AO10 AM10 AK10 AI10 AG10">
    <cfRule type="expression" dxfId="3" priority="4" stopIfTrue="1">
      <formula>AG$9=""</formula>
    </cfRule>
  </conditionalFormatting>
  <conditionalFormatting sqref="BH10 BF10 BD10 BB10 AZ10 AX10 AV10 AT10 AR10 AP10 AN10 AL10 AJ10 AH10 AF10">
    <cfRule type="expression" dxfId="2" priority="5" stopIfTrue="1">
      <formula>AF$9=""</formula>
    </cfRule>
  </conditionalFormatting>
  <conditionalFormatting sqref="F9">
    <cfRule type="expression" dxfId="1" priority="3">
      <formula>+$D$9="Custom Date"</formula>
    </cfRule>
  </conditionalFormatting>
  <conditionalFormatting sqref="F10">
    <cfRule type="expression" dxfId="0" priority="1">
      <formula>$D$10="Custom Date"</formula>
    </cfRule>
  </conditionalFormatting>
  <dataValidations count="2">
    <dataValidation type="list" allowBlank="1" showInputMessage="1" showErrorMessage="1" sqref="D11:E11">
      <formula1>PeerIndex</formula1>
    </dataValidation>
    <dataValidation type="list" allowBlank="1" showInputMessage="1" showErrorMessage="1" sqref="D9:E9 D10:E10">
      <formula1>newIndicesSD</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5127" r:id="rId4" name="cmdUpdate">
          <controlPr defaultSize="0" autoFill="0" autoLine="0" r:id="rId5">
            <anchor>
              <from>
                <xdr:col>5</xdr:col>
                <xdr:colOff>219075</xdr:colOff>
                <xdr:row>6</xdr:row>
                <xdr:rowOff>9525</xdr:rowOff>
              </from>
              <to>
                <xdr:col>7</xdr:col>
                <xdr:colOff>409575</xdr:colOff>
                <xdr:row>7</xdr:row>
                <xdr:rowOff>123825</xdr:rowOff>
              </to>
            </anchor>
          </controlPr>
        </control>
      </mc:Choice>
      <mc:Fallback>
        <control shapeId="5127" r:id="rId4" name="cmdUpdate"/>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Financials"/>
  <dimension ref="B1:X147"/>
  <sheetViews>
    <sheetView showGridLines="0" showRowColHeaders="0" zoomScaleNormal="100" workbookViewId="0">
      <pane ySplit="5" topLeftCell="A6" activePane="bottomLeft" state="frozen"/>
      <selection pane="bottomLeft" activeCell="B11" sqref="B11:E11"/>
    </sheetView>
  </sheetViews>
  <sheetFormatPr defaultRowHeight="15" customHeight="1"/>
  <cols>
    <col min="1" max="1" width="1.7109375" style="5" customWidth="1"/>
    <col min="2" max="5" width="9.140625" style="5" customWidth="1"/>
    <col min="6" max="6" width="9.140625" style="5" hidden="1" customWidth="1"/>
    <col min="7" max="20" width="10.28515625" style="5" customWidth="1"/>
    <col min="21" max="21" width="9.140625" style="5" hidden="1" customWidth="1"/>
    <col min="22" max="16384" width="9.140625" style="5"/>
  </cols>
  <sheetData>
    <row r="1" spans="2:22" ht="5.0999999999999996" customHeight="1"/>
    <row r="5" spans="2:22" ht="5.0999999999999996" customHeight="1"/>
    <row r="6" spans="2:22" ht="5.0999999999999996" customHeight="1"/>
    <row r="7" spans="2:22" ht="15" customHeight="1">
      <c r="B7" s="79" t="str">
        <f>compNAME</f>
        <v>APPLE INC</v>
      </c>
    </row>
    <row r="8" spans="2:22" ht="15" customHeight="1">
      <c r="B8" s="499" t="str">
        <f>" * "&amp;IF(Lang="English","Financial information is in "&amp;CURRENCY&amp;" (M)",IF(Lang="中文","財務信息是"&amp;CURRENCY&amp;"(百萬)","財務通貨"&amp;CURRENCY&amp;"(百万)"))</f>
        <v xml:space="preserve"> * Financial information is in USD (M)</v>
      </c>
      <c r="G8" s="225"/>
      <c r="H8" s="225"/>
      <c r="I8" s="844"/>
      <c r="J8" s="844"/>
    </row>
    <row r="9" spans="2:22" ht="15" customHeight="1">
      <c r="E9" s="14"/>
      <c r="G9" s="851" t="s">
        <v>427</v>
      </c>
      <c r="H9" s="852"/>
      <c r="I9" s="222"/>
      <c r="J9" s="222"/>
      <c r="R9" s="845" t="str">
        <f>IF(Lang="English","Equivalent Estimates",IF(Lang="中文","估計當量","予想"))</f>
        <v>Equivalent Estimates</v>
      </c>
      <c r="S9" s="846"/>
      <c r="T9" s="847"/>
    </row>
    <row r="10" spans="2:22" ht="15" hidden="1" customHeight="1">
      <c r="E10" s="14"/>
      <c r="F10" s="216"/>
      <c r="G10" s="335" t="str">
        <f>"-10"&amp;DataH!$B$16</f>
        <v>-10FY</v>
      </c>
      <c r="H10" s="335" t="str">
        <f>"-9"&amp;DataH!$B$16</f>
        <v>-9FY</v>
      </c>
      <c r="I10" s="335" t="str">
        <f>"-8"&amp;DataH!$B$16</f>
        <v>-8FY</v>
      </c>
      <c r="J10" s="335" t="str">
        <f>"-7"&amp;DataH!$B$16</f>
        <v>-7FY</v>
      </c>
      <c r="K10" s="335" t="str">
        <f>"-6"&amp;DataH!$B$16</f>
        <v>-6FY</v>
      </c>
      <c r="L10" s="335" t="str">
        <f>"-5"&amp;DataH!$B$16</f>
        <v>-5FY</v>
      </c>
      <c r="M10" s="335" t="str">
        <f>"-4"&amp;DataH!$B$16</f>
        <v>-4FY</v>
      </c>
      <c r="N10" s="335" t="str">
        <f>"-3"&amp;DataH!$B$16</f>
        <v>-3FY</v>
      </c>
      <c r="O10" s="335" t="str">
        <f>"-2"&amp;DataH!$B$16</f>
        <v>-2FY</v>
      </c>
      <c r="P10" s="335" t="str">
        <f>"-1"&amp;DataH!$B$16</f>
        <v>-1FY</v>
      </c>
      <c r="Q10" s="335" t="str">
        <f>"-0"&amp;DataH!$B$16</f>
        <v>-0FY</v>
      </c>
      <c r="R10" s="335" t="str">
        <f>"1"&amp;DataH!$B$16</f>
        <v>1FY</v>
      </c>
      <c r="S10" s="335" t="str">
        <f>"2"&amp;DataH!$B$16</f>
        <v>2FY</v>
      </c>
      <c r="T10" s="335" t="str">
        <f>"3"&amp;DataH!$B$16</f>
        <v>3FY</v>
      </c>
      <c r="U10" s="216"/>
      <c r="V10" s="335"/>
    </row>
    <row r="11" spans="2:22" ht="15" customHeight="1">
      <c r="B11" s="848" t="str">
        <f>IF(Lang="English","Periodicity:", "周期")</f>
        <v>Periodicity:</v>
      </c>
      <c r="C11" s="849"/>
      <c r="D11" s="849"/>
      <c r="E11" s="850"/>
      <c r="F11" s="336"/>
      <c r="G11" s="221" t="str">
        <f>MONTH(_xll.BDP(TICKER &amp; " EQUITY", "BEST_PERIOD_END_DATE", "BEST_FPERIOD_OVERRIDE", G$10)) &amp; "/" &amp; RIGHT(YEAR(_xll.BDP(TICKER &amp; " EQUITY", "BEST_PERIOD_END_DATE", "BEST_FPERIOD_OVERRIDE", G$10)), 2)</f>
        <v>9/04</v>
      </c>
      <c r="H11" s="221" t="str">
        <f>MONTH(_xll.BDP(TICKER &amp; " EQUITY", "BEST_PERIOD_END_DATE", "BEST_FPERIOD_OVERRIDE", H$10)) &amp; "/" &amp; RIGHT(YEAR(_xll.BDP(TICKER &amp; " EQUITY", "BEST_PERIOD_END_DATE", "BEST_FPERIOD_OVERRIDE", H$10)), 2)</f>
        <v>9/05</v>
      </c>
      <c r="I11" s="221" t="str">
        <f>MONTH(_xll.BDP(TICKER &amp; " EQUITY", "BEST_PERIOD_END_DATE", "BEST_FPERIOD_OVERRIDE", I$10)) &amp; "/" &amp; RIGHT(YEAR(_xll.BDP(TICKER &amp; " EQUITY", "BEST_PERIOD_END_DATE", "BEST_FPERIOD_OVERRIDE", I$10)), 2)</f>
        <v>9/06</v>
      </c>
      <c r="J11" s="221" t="str">
        <f>MONTH(_xll.BDP(TICKER &amp; " EQUITY", "BEST_PERIOD_END_DATE", "BEST_FPERIOD_OVERRIDE", J$10)) &amp; "/" &amp; RIGHT(YEAR(_xll.BDP(TICKER &amp; " EQUITY", "BEST_PERIOD_END_DATE", "BEST_FPERIOD_OVERRIDE", J$10)), 2)</f>
        <v>9/07</v>
      </c>
      <c r="K11" s="221" t="str">
        <f>MONTH(_xll.BDP(TICKER &amp; " EQUITY", "BEST_PERIOD_END_DATE", "BEST_FPERIOD_OVERRIDE", K$10)) &amp; "/" &amp; RIGHT(YEAR(_xll.BDP(TICKER &amp; " EQUITY", "BEST_PERIOD_END_DATE", "BEST_FPERIOD_OVERRIDE", K$10)), 2)</f>
        <v>9/08</v>
      </c>
      <c r="L11" s="221" t="str">
        <f>MONTH(_xll.BDP(TICKER &amp; " EQUITY", "BEST_PERIOD_END_DATE", "BEST_FPERIOD_OVERRIDE", L$10)) &amp; "/" &amp; RIGHT(YEAR(_xll.BDP(TICKER &amp; " EQUITY", "BEST_PERIOD_END_DATE", "BEST_FPERIOD_OVERRIDE", L$10)), 2)</f>
        <v>9/09</v>
      </c>
      <c r="M11" s="221" t="str">
        <f>MONTH(_xll.BDP(TICKER &amp; " EQUITY", "BEST_PERIOD_END_DATE", "BEST_FPERIOD_OVERRIDE", M$10)) &amp; "/" &amp; RIGHT(YEAR(_xll.BDP(TICKER &amp; " EQUITY", "BEST_PERIOD_END_DATE", "BEST_FPERIOD_OVERRIDE", M$10)), 2)</f>
        <v>9/10</v>
      </c>
      <c r="N11" s="221" t="str">
        <f>MONTH(_xll.BDP(TICKER &amp; " EQUITY", "BEST_PERIOD_END_DATE", "BEST_FPERIOD_OVERRIDE", N$10)) &amp; "/" &amp; RIGHT(YEAR(_xll.BDP(TICKER &amp; " EQUITY", "BEST_PERIOD_END_DATE", "BEST_FPERIOD_OVERRIDE", N$10)), 2)</f>
        <v>9/11</v>
      </c>
      <c r="O11" s="221" t="str">
        <f>MONTH(_xll.BDP(TICKER &amp; " EQUITY", "BEST_PERIOD_END_DATE", "BEST_FPERIOD_OVERRIDE", O$10)) &amp; "/" &amp; RIGHT(YEAR(_xll.BDP(TICKER &amp; " EQUITY", "BEST_PERIOD_END_DATE", "BEST_FPERIOD_OVERRIDE", O$10)), 2)</f>
        <v>9/12</v>
      </c>
      <c r="P11" s="221" t="str">
        <f>MONTH(_xll.BDP(TICKER &amp; " EQUITY", "BEST_PERIOD_END_DATE", "BEST_FPERIOD_OVERRIDE", P$10)) &amp; "/" &amp; RIGHT(YEAR(_xll.BDP(TICKER &amp; " EQUITY", "BEST_PERIOD_END_DATE", "BEST_FPERIOD_OVERRIDE", P$10)), 2)</f>
        <v>9/13</v>
      </c>
      <c r="Q11" s="337" t="str">
        <f>MONTH(_xll.BDP(TICKER &amp; " EQUITY", "BEST_PERIOD_END_DATE", "BEST_FPERIOD_OVERRIDE", Q$10)) &amp; "/" &amp; RIGHT(YEAR(_xll.BDP(TICKER &amp; " EQUITY", "BEST_PERIOD_END_DATE", "BEST_FPERIOD_OVERRIDE", Q$10)), 2)</f>
        <v>9/14</v>
      </c>
      <c r="R11" s="338" t="str">
        <f>MONTH(_xll.BDP(TICKER&amp;" EQUITY","BEST_PERIOD_END_DATE","BEST_FPERIOD_OVERRIDE",R$10))&amp;"/"&amp;RIGHT(YEAR(_xll.BDP(TICKER&amp;" EQUITY","BEST_PERIOD_END_DATE","BEST_FPERIOD_OVERRIDE",R$10)),2)&amp;"E"</f>
        <v>9/15E</v>
      </c>
      <c r="S11" s="339" t="str">
        <f>MONTH(_xll.BDP(TICKER&amp;" EQUITY","BEST_PERIOD_END_DATE","BEST_FPERIOD_OVERRIDE",S$10))&amp;"/"&amp;RIGHT(YEAR(_xll.BDP(TICKER&amp;" EQUITY","BEST_PERIOD_END_DATE","BEST_FPERIOD_OVERRIDE",S$10)),2)&amp;"E"</f>
        <v>9/16E</v>
      </c>
      <c r="T11" s="340" t="str">
        <f>MONTH(_xll.BDP(TICKER&amp;" EQUITY","BEST_PERIOD_END_DATE","BEST_FPERIOD_OVERRIDE",T$10))&amp;"/"&amp;RIGHT(YEAR(_xll.BDP(TICKER&amp;" EQUITY","BEST_PERIOD_END_DATE","BEST_FPERIOD_OVERRIDE",T$10)),2)&amp;"E"</f>
        <v>9/17E</v>
      </c>
      <c r="U11" s="213"/>
    </row>
    <row r="12" spans="2:22" ht="5.0999999999999996" customHeight="1">
      <c r="E12" s="123"/>
      <c r="F12" s="220" t="s">
        <v>439</v>
      </c>
      <c r="G12" s="341"/>
      <c r="H12" s="341"/>
      <c r="I12" s="341"/>
      <c r="J12" s="341"/>
      <c r="K12" s="341"/>
      <c r="L12" s="341"/>
      <c r="M12" s="341"/>
      <c r="N12" s="341"/>
      <c r="O12" s="341"/>
      <c r="P12" s="341"/>
      <c r="Q12" s="341"/>
      <c r="R12" s="220"/>
      <c r="S12" s="220"/>
      <c r="T12" s="220"/>
      <c r="U12" s="220"/>
      <c r="V12" s="216"/>
    </row>
    <row r="13" spans="2:22" ht="15" customHeight="1">
      <c r="B13" s="856" t="str">
        <f>IF(Lang="English","Income Statement", "損益表")</f>
        <v>Income Statement</v>
      </c>
      <c r="C13" s="857"/>
      <c r="D13" s="857"/>
      <c r="E13" s="857"/>
      <c r="F13" s="857"/>
      <c r="G13" s="857"/>
      <c r="H13" s="857"/>
      <c r="I13" s="857"/>
      <c r="J13" s="857"/>
      <c r="K13" s="857"/>
      <c r="L13" s="857"/>
      <c r="M13" s="857"/>
      <c r="N13" s="857"/>
      <c r="O13" s="857"/>
      <c r="P13" s="857"/>
      <c r="Q13" s="857"/>
      <c r="R13" s="857"/>
      <c r="S13" s="857"/>
      <c r="T13" s="858"/>
      <c r="U13" s="220"/>
      <c r="V13" s="216"/>
    </row>
    <row r="14" spans="2:22" ht="15" customHeight="1">
      <c r="B14" s="853" t="str">
        <f>IF(Lang="English", "Revenue",IF(Lang="中文", "營業收入","売上高"))</f>
        <v>Revenue</v>
      </c>
      <c r="C14" s="854"/>
      <c r="D14" s="854"/>
      <c r="E14" s="855"/>
      <c r="F14" s="377" t="s">
        <v>438</v>
      </c>
      <c r="G14" s="500">
        <f>_xll.BDP(TICKER&amp;" EQUITY",$F14, "EQY_FUND_RELATIVE_PERIOD", G$10, "EQY_FUND_CRNCY", CURRENCY, "EQY_CONSOLIDATED", DataH!$D$18, "Fill=B")</f>
        <v>8279</v>
      </c>
      <c r="H14" s="500">
        <f>_xll.BDP(TICKER&amp;" EQUITY",$F14, "EQY_FUND_RELATIVE_PERIOD", H$10, "EQY_FUND_CRNCY", CURRENCY, "EQY_CONSOLIDATED", DataH!$D$18, "Fill=B")</f>
        <v>13931</v>
      </c>
      <c r="I14" s="500">
        <f>_xll.BDP(TICKER&amp;" EQUITY",$F14, "EQY_FUND_RELATIVE_PERIOD", I$10, "EQY_FUND_CRNCY", CURRENCY, "EQY_CONSOLIDATED", DataH!$D$18, "Fill=B")</f>
        <v>19315</v>
      </c>
      <c r="J14" s="500">
        <f>_xll.BDP(TICKER&amp;" EQUITY",$F14, "EQY_FUND_RELATIVE_PERIOD", J$10, "EQY_FUND_CRNCY", CURRENCY, "EQY_CONSOLIDATED", DataH!$D$18, "Fill=B")</f>
        <v>24578</v>
      </c>
      <c r="K14" s="500">
        <f>_xll.BDP(TICKER&amp;" EQUITY",$F14, "EQY_FUND_RELATIVE_PERIOD", K$10, "EQY_FUND_CRNCY", CURRENCY, "EQY_CONSOLIDATED", DataH!$D$18, "Fill=B")</f>
        <v>37491</v>
      </c>
      <c r="L14" s="500">
        <f>_xll.BDP(TICKER&amp;" EQUITY",$F14, "EQY_FUND_RELATIVE_PERIOD", L$10, "EQY_FUND_CRNCY", CURRENCY, "EQY_CONSOLIDATED", DataH!$D$18, "Fill=B")</f>
        <v>42905</v>
      </c>
      <c r="M14" s="500">
        <f>_xll.BDP(TICKER&amp;" EQUITY",$F14, "EQY_FUND_RELATIVE_PERIOD", M$10, "EQY_FUND_CRNCY", CURRENCY, "EQY_CONSOLIDATED", DataH!$D$18, "Fill=B")</f>
        <v>65225</v>
      </c>
      <c r="N14" s="500">
        <f>_xll.BDP(TICKER&amp;" EQUITY",$F14, "EQY_FUND_RELATIVE_PERIOD", N$10, "EQY_FUND_CRNCY", CURRENCY, "EQY_CONSOLIDATED", DataH!$D$18, "Fill=B")</f>
        <v>108249</v>
      </c>
      <c r="O14" s="500">
        <f>_xll.BDP(TICKER&amp;" EQUITY",$F14, "EQY_FUND_RELATIVE_PERIOD", O$10, "EQY_FUND_CRNCY", CURRENCY, "EQY_CONSOLIDATED", DataH!$D$18, "Fill=B")</f>
        <v>156508</v>
      </c>
      <c r="P14" s="500">
        <f>_xll.BDP(TICKER&amp;" EQUITY",$F14, "EQY_FUND_RELATIVE_PERIOD", P$10, "EQY_FUND_CRNCY", CURRENCY, "EQY_CONSOLIDATED", DataH!$D$18, "Fill=B")</f>
        <v>170910</v>
      </c>
      <c r="Q14" s="501">
        <f>_xll.BDP(TICKER&amp;" EQUITY",$F14, "EQY_FUND_RELATIVE_PERIOD", Q$10, "EQY_FUND_CRNCY", CURRENCY, "EQY_CONSOLIDATED", DataH!$D$18, "Fill=B")</f>
        <v>182795</v>
      </c>
      <c r="R14" s="535">
        <f>_xll.BDP(TICKER&amp;" EQUITY",$U14, "BEST_FPERIOD_OVERRIDE", R$10, "EQY_FUND_CRNCY", CURRENCY, "BEST_CONSOLIDATED_OVERRIDE", DataH!$D$19, "Fill=B")</f>
        <v>233336.27900000001</v>
      </c>
      <c r="S14" s="536">
        <f>_xll.BDP(TICKER&amp;" EQUITY",$U14, "BEST_FPERIOD_OVERRIDE", S$10, "EQY_FUND_CRNCY", CURRENCY, "BEST_CONSOLIDATED_OVERRIDE", DataH!$D$19, "Fill=B")</f>
        <v>245657.14</v>
      </c>
      <c r="T14" s="537">
        <f>_xll.BDP(TICKER&amp;" EQUITY",$U14, "BEST_FPERIOD_OVERRIDE", T$10, "EQY_FUND_CRNCY", CURRENCY, "BEST_CONSOLIDATED_OVERRIDE", DataH!$D$19, "Fill=B")</f>
        <v>257532.2</v>
      </c>
      <c r="U14" s="216" t="s">
        <v>516</v>
      </c>
      <c r="V14" s="216"/>
    </row>
    <row r="15" spans="2:22" ht="15" customHeight="1">
      <c r="B15" s="841" t="str">
        <f>IF(Lang="English", "     - Cost of Goods Sold",IF(Lang="中文","     - 銷貨成本","     - 売上原価"))</f>
        <v xml:space="preserve">     - Cost of Goods Sold</v>
      </c>
      <c r="C15" s="842"/>
      <c r="D15" s="842"/>
      <c r="E15" s="843"/>
      <c r="F15" s="129" t="s">
        <v>440</v>
      </c>
      <c r="G15" s="532">
        <f>_xll.BDP(TICKER&amp;" EQUITY",$F15, "EQY_FUND_RELATIVE_PERIOD", G$10, "EQY_FUND_CRNCY", CURRENCY, "EQY_CONSOLIDATED", DataH!$D$18, "Fill=B")</f>
        <v>6020</v>
      </c>
      <c r="H15" s="532">
        <f>_xll.BDP(TICKER&amp;" EQUITY",$F15, "EQY_FUND_RELATIVE_PERIOD", H$10, "EQY_FUND_CRNCY", CURRENCY, "EQY_CONSOLIDATED", DataH!$D$18, "Fill=B")</f>
        <v>9888</v>
      </c>
      <c r="I15" s="532">
        <f>_xll.BDP(TICKER&amp;" EQUITY",$F15, "EQY_FUND_RELATIVE_PERIOD", I$10, "EQY_FUND_CRNCY", CURRENCY, "EQY_CONSOLIDATED", DataH!$D$18, "Fill=B")</f>
        <v>13717</v>
      </c>
      <c r="J15" s="532">
        <f>_xll.BDP(TICKER&amp;" EQUITY",$F15, "EQY_FUND_RELATIVE_PERIOD", J$10, "EQY_FUND_CRNCY", CURRENCY, "EQY_CONSOLIDATED", DataH!$D$18, "Fill=B")</f>
        <v>16426</v>
      </c>
      <c r="K15" s="532">
        <f>_xll.BDP(TICKER&amp;" EQUITY",$F15, "EQY_FUND_RELATIVE_PERIOD", K$10, "EQY_FUND_CRNCY", CURRENCY, "EQY_CONSOLIDATED", DataH!$D$18, "Fill=B")</f>
        <v>24294</v>
      </c>
      <c r="L15" s="532">
        <f>_xll.BDP(TICKER&amp;" EQUITY",$F15, "EQY_FUND_RELATIVE_PERIOD", L$10, "EQY_FUND_CRNCY", CURRENCY, "EQY_CONSOLIDATED", DataH!$D$18, "Fill=B")</f>
        <v>25683</v>
      </c>
      <c r="M15" s="532">
        <f>_xll.BDP(TICKER&amp;" EQUITY",$F15, "EQY_FUND_RELATIVE_PERIOD", M$10, "EQY_FUND_CRNCY", CURRENCY, "EQY_CONSOLIDATED", DataH!$D$18, "Fill=B")</f>
        <v>39541</v>
      </c>
      <c r="N15" s="532">
        <f>_xll.BDP(TICKER&amp;" EQUITY",$F15, "EQY_FUND_RELATIVE_PERIOD", N$10, "EQY_FUND_CRNCY", CURRENCY, "EQY_CONSOLIDATED", DataH!$D$18, "Fill=B")</f>
        <v>64431</v>
      </c>
      <c r="O15" s="532">
        <f>_xll.BDP(TICKER&amp;" EQUITY",$F15, "EQY_FUND_RELATIVE_PERIOD", O$10, "EQY_FUND_CRNCY", CURRENCY, "EQY_CONSOLIDATED", DataH!$D$18, "Fill=B")</f>
        <v>87846</v>
      </c>
      <c r="P15" s="532">
        <f>_xll.BDP(TICKER&amp;" EQUITY",$F15, "EQY_FUND_RELATIVE_PERIOD", P$10, "EQY_FUND_CRNCY", CURRENCY, "EQY_CONSOLIDATED", DataH!$D$18, "Fill=B")</f>
        <v>106606</v>
      </c>
      <c r="Q15" s="533">
        <f>_xll.BDP(TICKER&amp;" EQUITY",$F15, "EQY_FUND_RELATIVE_PERIOD", Q$10, "EQY_FUND_CRNCY", CURRENCY, "EQY_CONSOLIDATED", DataH!$D$18, "Fill=B")</f>
        <v>112258</v>
      </c>
      <c r="R15" s="523"/>
      <c r="S15" s="524"/>
      <c r="T15" s="525"/>
      <c r="U15" s="216"/>
      <c r="V15" s="216"/>
    </row>
    <row r="16" spans="2:22" ht="15" customHeight="1">
      <c r="B16" s="869"/>
      <c r="C16" s="870"/>
      <c r="D16" s="870"/>
      <c r="E16" s="871"/>
      <c r="F16" s="531"/>
      <c r="G16" s="534"/>
      <c r="H16" s="534"/>
      <c r="I16" s="534"/>
      <c r="J16" s="534"/>
      <c r="K16" s="534"/>
      <c r="L16" s="534"/>
      <c r="M16" s="534"/>
      <c r="N16" s="534"/>
      <c r="O16" s="534"/>
      <c r="P16" s="534"/>
      <c r="Q16" s="534"/>
      <c r="R16" s="543"/>
      <c r="S16" s="543"/>
      <c r="T16" s="544"/>
      <c r="U16" s="216"/>
      <c r="V16" s="216"/>
    </row>
    <row r="17" spans="2:22" ht="15" customHeight="1">
      <c r="B17" s="853" t="str">
        <f>IF(Lang="English", "Gross Income",IF(Lang="中文", "毛利","売上総利益"))</f>
        <v>Gross Income</v>
      </c>
      <c r="C17" s="854"/>
      <c r="D17" s="854"/>
      <c r="E17" s="855"/>
      <c r="F17" s="129" t="s">
        <v>441</v>
      </c>
      <c r="G17" s="500">
        <f>_xll.BDP(TICKER&amp;" EQUITY",$F17, "EQY_FUND_RELATIVE_PERIOD", G$10, "EQY_FUND_CRNCY", CURRENCY, "EQY_CONSOLIDATED", DataH!$D$18, "Fill=B")</f>
        <v>2259</v>
      </c>
      <c r="H17" s="500">
        <f>_xll.BDP(TICKER&amp;" EQUITY",$F17, "EQY_FUND_RELATIVE_PERIOD", H$10, "EQY_FUND_CRNCY", CURRENCY, "EQY_CONSOLIDATED", DataH!$D$18, "Fill=B")</f>
        <v>4043</v>
      </c>
      <c r="I17" s="500">
        <f>_xll.BDP(TICKER&amp;" EQUITY",$F17, "EQY_FUND_RELATIVE_PERIOD", I$10, "EQY_FUND_CRNCY", CURRENCY, "EQY_CONSOLIDATED", DataH!$D$18, "Fill=B")</f>
        <v>5598</v>
      </c>
      <c r="J17" s="500">
        <f>_xll.BDP(TICKER&amp;" EQUITY",$F17, "EQY_FUND_RELATIVE_PERIOD", J$10, "EQY_FUND_CRNCY", CURRENCY, "EQY_CONSOLIDATED", DataH!$D$18, "Fill=B")</f>
        <v>8152</v>
      </c>
      <c r="K17" s="500">
        <f>_xll.BDP(TICKER&amp;" EQUITY",$F17, "EQY_FUND_RELATIVE_PERIOD", K$10, "EQY_FUND_CRNCY", CURRENCY, "EQY_CONSOLIDATED", DataH!$D$18, "Fill=B")</f>
        <v>13197</v>
      </c>
      <c r="L17" s="500">
        <f>_xll.BDP(TICKER&amp;" EQUITY",$F17, "EQY_FUND_RELATIVE_PERIOD", L$10, "EQY_FUND_CRNCY", CURRENCY, "EQY_CONSOLIDATED", DataH!$D$18, "Fill=B")</f>
        <v>17222</v>
      </c>
      <c r="M17" s="500">
        <f>_xll.BDP(TICKER&amp;" EQUITY",$F17, "EQY_FUND_RELATIVE_PERIOD", M$10, "EQY_FUND_CRNCY", CURRENCY, "EQY_CONSOLIDATED", DataH!$D$18, "Fill=B")</f>
        <v>25684</v>
      </c>
      <c r="N17" s="500">
        <f>_xll.BDP(TICKER&amp;" EQUITY",$F17, "EQY_FUND_RELATIVE_PERIOD", N$10, "EQY_FUND_CRNCY", CURRENCY, "EQY_CONSOLIDATED", DataH!$D$18, "Fill=B")</f>
        <v>43818</v>
      </c>
      <c r="O17" s="500">
        <f>_xll.BDP(TICKER&amp;" EQUITY",$F17, "EQY_FUND_RELATIVE_PERIOD", O$10, "EQY_FUND_CRNCY", CURRENCY, "EQY_CONSOLIDATED", DataH!$D$18, "Fill=B")</f>
        <v>68662</v>
      </c>
      <c r="P17" s="500">
        <f>_xll.BDP(TICKER&amp;" EQUITY",$F17, "EQY_FUND_RELATIVE_PERIOD", P$10, "EQY_FUND_CRNCY", CURRENCY, "EQY_CONSOLIDATED", DataH!$D$18, "Fill=B")</f>
        <v>64304</v>
      </c>
      <c r="Q17" s="501">
        <f>_xll.BDP(TICKER&amp;" EQUITY",$F17, "EQY_FUND_RELATIVE_PERIOD", Q$10, "EQY_FUND_CRNCY", CURRENCY, "EQY_CONSOLIDATED", DataH!$D$18, "Fill=B")</f>
        <v>70537</v>
      </c>
      <c r="R17" s="535">
        <f>IF(ISERROR(_xll.BDP(TICKER&amp;" EQUITY",$U17, "BEST_FPERIOD_OVERRIDE", R$10, "BEST_CONSOLIDATED_OVERRIDE", DataH!$D$19)*R$14/100), "", _xll.BDP(TICKER&amp;" EQUITY",$U17, "BEST_FPERIOD_OVERRIDE", R$10, "BEST_CONSOLIDATED_OVERRIDE", DataH!$D$19)*R$14/100)</f>
        <v>93278.510893040002</v>
      </c>
      <c r="S17" s="536">
        <f>IF(ISERROR(_xll.BDP(TICKER&amp;" EQUITY",$U17, "BEST_FPERIOD_OVERRIDE", S$10, "BEST_CONSOLIDATED_OVERRIDE", DataH!$D$19)*S$14/100), "", _xll.BDP(TICKER&amp;" EQUITY",$U17, "BEST_FPERIOD_OVERRIDE", S$10, "BEST_CONSOLIDATED_OVERRIDE", DataH!$D$19)*S$14/100)</f>
        <v>97420.252009800024</v>
      </c>
      <c r="T17" s="537">
        <f>IF(ISERROR(_xll.BDP(TICKER&amp;" EQUITY",$U17, "BEST_FPERIOD_OVERRIDE", T$10, "BEST_CONSOLIDATED_OVERRIDE", DataH!$D$19)*T$14/100), "", _xll.BDP(TICKER&amp;" EQUITY",$U17, "BEST_FPERIOD_OVERRIDE", T$10, "BEST_CONSOLIDATED_OVERRIDE", DataH!$D$19)*T$14/100)</f>
        <v>102484.93899</v>
      </c>
      <c r="U17" s="216" t="s">
        <v>408</v>
      </c>
      <c r="V17" s="216"/>
    </row>
    <row r="18" spans="2:22" ht="15" customHeight="1">
      <c r="B18" s="841" t="str">
        <f>IF(Lang="English","     - Operating Expenses",IF(Lang="中文","     - 銷售，一般及行政開支","     - 販管費･その他営業費用"))</f>
        <v xml:space="preserve">     - Operating Expenses</v>
      </c>
      <c r="C18" s="842"/>
      <c r="D18" s="842"/>
      <c r="E18" s="843"/>
      <c r="F18" s="126" t="s">
        <v>820</v>
      </c>
      <c r="G18" s="344">
        <f>_xll.BDP(TICKER&amp;" EQUITY",$F18, "EQY_FUND_RELATIVE_PERIOD", G$10, "EQY_FUND_CRNCY", CURRENCY, "EQY_CONSOLIDATED", DataH!$D$18, "Fill=B")</f>
        <v>1910</v>
      </c>
      <c r="H18" s="344">
        <f>_xll.BDP(TICKER&amp;" EQUITY",$F18, "EQY_FUND_RELATIVE_PERIOD", H$10, "EQY_FUND_CRNCY", CURRENCY, "EQY_CONSOLIDATED", DataH!$D$18, "Fill=B")</f>
        <v>2393</v>
      </c>
      <c r="I18" s="344">
        <f>_xll.BDP(TICKER&amp;" EQUITY",$F18, "EQY_FUND_RELATIVE_PERIOD", I$10, "EQY_FUND_CRNCY", CURRENCY, "EQY_CONSOLIDATED", DataH!$D$18, "Fill=B")</f>
        <v>3145</v>
      </c>
      <c r="J18" s="344">
        <f>_xll.BDP(TICKER&amp;" EQUITY",$F18, "EQY_FUND_RELATIVE_PERIOD", J$10, "EQY_FUND_CRNCY", CURRENCY, "EQY_CONSOLIDATED", DataH!$D$18, "Fill=B")</f>
        <v>3745</v>
      </c>
      <c r="K18" s="344">
        <f>_xll.BDP(TICKER&amp;" EQUITY",$F18, "EQY_FUND_RELATIVE_PERIOD", K$10, "EQY_FUND_CRNCY", CURRENCY, "EQY_CONSOLIDATED", DataH!$D$18, "Fill=B")</f>
        <v>4870</v>
      </c>
      <c r="L18" s="344">
        <f>_xll.BDP(TICKER&amp;" EQUITY",$F18, "EQY_FUND_RELATIVE_PERIOD", L$10, "EQY_FUND_CRNCY", CURRENCY, "EQY_CONSOLIDATED", DataH!$D$18, "Fill=B")</f>
        <v>5482</v>
      </c>
      <c r="M18" s="344">
        <f>_xll.BDP(TICKER&amp;" EQUITY",$F18, "EQY_FUND_RELATIVE_PERIOD", M$10, "EQY_FUND_CRNCY", CURRENCY, "EQY_CONSOLIDATED", DataH!$D$18, "Fill=B")</f>
        <v>7299</v>
      </c>
      <c r="N18" s="344">
        <f>_xll.BDP(TICKER&amp;" EQUITY",$F18, "EQY_FUND_RELATIVE_PERIOD", N$10, "EQY_FUND_CRNCY", CURRENCY, "EQY_CONSOLIDATED", DataH!$D$18, "Fill=B")</f>
        <v>10028</v>
      </c>
      <c r="O18" s="344">
        <f>_xll.BDP(TICKER&amp;" EQUITY",$F18, "EQY_FUND_RELATIVE_PERIOD", O$10, "EQY_FUND_CRNCY", CURRENCY, "EQY_CONSOLIDATED", DataH!$D$18, "Fill=B")</f>
        <v>13421</v>
      </c>
      <c r="P18" s="344">
        <f>_xll.BDP(TICKER&amp;" EQUITY",$F18, "EQY_FUND_RELATIVE_PERIOD", P$10, "EQY_FUND_CRNCY", CURRENCY, "EQY_CONSOLIDATED", DataH!$D$18, "Fill=B")</f>
        <v>15305</v>
      </c>
      <c r="Q18" s="345">
        <f>_xll.BDP(TICKER&amp;" EQUITY",$F18, "EQY_FUND_RELATIVE_PERIOD", Q$10, "EQY_FUND_CRNCY", CURRENCY, "EQY_CONSOLIDATED", DataH!$D$18, "Fill=B")</f>
        <v>18034</v>
      </c>
      <c r="R18" s="523"/>
      <c r="S18" s="524"/>
      <c r="T18" s="525"/>
      <c r="U18" s="216"/>
      <c r="V18" s="216"/>
    </row>
    <row r="19" spans="2:22" ht="15" customHeight="1">
      <c r="B19" s="863" t="str">
        <f>IF(Lang="English","                (Research &amp; Dev Costs) ",IF(Lang="中文","                (研究及開發成本)","                                    (研究開発費)"))</f>
        <v xml:space="preserve">                (Research &amp; Dev Costs) </v>
      </c>
      <c r="C19" s="864"/>
      <c r="D19" s="864"/>
      <c r="E19" s="865"/>
      <c r="F19" s="129" t="s">
        <v>442</v>
      </c>
      <c r="G19" s="344">
        <f>_xll.BDP(TICKER&amp;" EQUITY",$F19, "EQY_FUND_RELATIVE_PERIOD", G$10, "EQY_FUND_CRNCY", CURRENCY, "EQY_CONSOLIDATED", DataH!$D$18, "Fill=B")</f>
        <v>489</v>
      </c>
      <c r="H19" s="344">
        <f>_xll.BDP(TICKER&amp;" EQUITY",$F19, "EQY_FUND_RELATIVE_PERIOD", H$10, "EQY_FUND_CRNCY", CURRENCY, "EQY_CONSOLIDATED", DataH!$D$18, "Fill=B")</f>
        <v>534</v>
      </c>
      <c r="I19" s="344">
        <f>_xll.BDP(TICKER&amp;" EQUITY",$F19, "EQY_FUND_RELATIVE_PERIOD", I$10, "EQY_FUND_CRNCY", CURRENCY, "EQY_CONSOLIDATED", DataH!$D$18, "Fill=B")</f>
        <v>712</v>
      </c>
      <c r="J19" s="344">
        <f>_xll.BDP(TICKER&amp;" EQUITY",$F19, "EQY_FUND_RELATIVE_PERIOD", J$10, "EQY_FUND_CRNCY", CURRENCY, "EQY_CONSOLIDATED", DataH!$D$18, "Fill=B")</f>
        <v>782</v>
      </c>
      <c r="K19" s="344">
        <f>_xll.BDP(TICKER&amp;" EQUITY",$F19, "EQY_FUND_RELATIVE_PERIOD", K$10, "EQY_FUND_CRNCY", CURRENCY, "EQY_CONSOLIDATED", DataH!$D$18, "Fill=B")</f>
        <v>1109</v>
      </c>
      <c r="L19" s="344">
        <f>_xll.BDP(TICKER&amp;" EQUITY",$F19, "EQY_FUND_RELATIVE_PERIOD", L$10, "EQY_FUND_CRNCY", CURRENCY, "EQY_CONSOLIDATED", DataH!$D$18, "Fill=B")</f>
        <v>1333</v>
      </c>
      <c r="M19" s="344">
        <f>_xll.BDP(TICKER&amp;" EQUITY",$F19, "EQY_FUND_RELATIVE_PERIOD", M$10, "EQY_FUND_CRNCY", CURRENCY, "EQY_CONSOLIDATED", DataH!$D$18, "Fill=B")</f>
        <v>1782</v>
      </c>
      <c r="N19" s="344">
        <f>_xll.BDP(TICKER&amp;" EQUITY",$F19, "EQY_FUND_RELATIVE_PERIOD", N$10, "EQY_FUND_CRNCY", CURRENCY, "EQY_CONSOLIDATED", DataH!$D$18, "Fill=B")</f>
        <v>2429</v>
      </c>
      <c r="O19" s="344">
        <f>_xll.BDP(TICKER&amp;" EQUITY",$F19, "EQY_FUND_RELATIVE_PERIOD", O$10, "EQY_FUND_CRNCY", CURRENCY, "EQY_CONSOLIDATED", DataH!$D$18, "Fill=B")</f>
        <v>3381</v>
      </c>
      <c r="P19" s="344">
        <f>_xll.BDP(TICKER&amp;" EQUITY",$F19, "EQY_FUND_RELATIVE_PERIOD", P$10, "EQY_FUND_CRNCY", CURRENCY, "EQY_CONSOLIDATED", DataH!$D$18, "Fill=B")</f>
        <v>4475</v>
      </c>
      <c r="Q19" s="345">
        <f>_xll.BDP(TICKER&amp;" EQUITY",$F19, "EQY_FUND_RELATIVE_PERIOD", Q$10, "EQY_FUND_CRNCY", CURRENCY, "EQY_CONSOLIDATED", DataH!$D$18, "Fill=B")</f>
        <v>6041</v>
      </c>
      <c r="R19" s="523"/>
      <c r="S19" s="524"/>
      <c r="T19" s="525"/>
      <c r="U19" s="216"/>
      <c r="V19" s="216"/>
    </row>
    <row r="20" spans="2:22" ht="15" customHeight="1">
      <c r="B20" s="866"/>
      <c r="C20" s="867"/>
      <c r="D20" s="867"/>
      <c r="E20" s="868"/>
      <c r="F20" s="529"/>
      <c r="G20" s="529"/>
      <c r="H20" s="529"/>
      <c r="I20" s="529"/>
      <c r="J20" s="529"/>
      <c r="K20" s="529"/>
      <c r="L20" s="529"/>
      <c r="M20" s="529"/>
      <c r="N20" s="529"/>
      <c r="O20" s="529"/>
      <c r="P20" s="529"/>
      <c r="Q20" s="529"/>
      <c r="R20" s="543"/>
      <c r="S20" s="543"/>
      <c r="T20" s="544"/>
      <c r="U20" s="216"/>
      <c r="V20" s="216"/>
    </row>
    <row r="21" spans="2:22" ht="15" customHeight="1">
      <c r="B21" s="859" t="str">
        <f>IF(Lang="English", "Operating Income",IF(Lang="中文", "營業收入","営業利益"))</f>
        <v>Operating Income</v>
      </c>
      <c r="C21" s="860"/>
      <c r="D21" s="860"/>
      <c r="E21" s="861"/>
      <c r="F21" s="126" t="s">
        <v>443</v>
      </c>
      <c r="G21" s="342">
        <f>_xll.BDP(TICKER&amp;" EQUITY",$F21, "EQY_FUND_RELATIVE_PERIOD", G$10, "EQY_FUND_CRNCY", CURRENCY, "EQY_CONSOLIDATED", DataH!$D$18, "Fill=B")</f>
        <v>349</v>
      </c>
      <c r="H21" s="342">
        <f>_xll.BDP(TICKER&amp;" EQUITY",$F21, "EQY_FUND_RELATIVE_PERIOD", H$10, "EQY_FUND_CRNCY", CURRENCY, "EQY_CONSOLIDATED", DataH!$D$18, "Fill=B")</f>
        <v>1650</v>
      </c>
      <c r="I21" s="342">
        <f>_xll.BDP(TICKER&amp;" EQUITY",$F21, "EQY_FUND_RELATIVE_PERIOD", I$10, "EQY_FUND_CRNCY", CURRENCY, "EQY_CONSOLIDATED", DataH!$D$18, "Fill=B")</f>
        <v>2453</v>
      </c>
      <c r="J21" s="342">
        <f>_xll.BDP(TICKER&amp;" EQUITY",$F21, "EQY_FUND_RELATIVE_PERIOD", J$10, "EQY_FUND_CRNCY", CURRENCY, "EQY_CONSOLIDATED", DataH!$D$18, "Fill=B")</f>
        <v>4407</v>
      </c>
      <c r="K21" s="342">
        <f>_xll.BDP(TICKER&amp;" EQUITY",$F21, "EQY_FUND_RELATIVE_PERIOD", K$10, "EQY_FUND_CRNCY", CURRENCY, "EQY_CONSOLIDATED", DataH!$D$18, "Fill=B")</f>
        <v>8327</v>
      </c>
      <c r="L21" s="342">
        <f>_xll.BDP(TICKER&amp;" EQUITY",$F21, "EQY_FUND_RELATIVE_PERIOD", L$10, "EQY_FUND_CRNCY", CURRENCY, "EQY_CONSOLIDATED", DataH!$D$18, "Fill=B")</f>
        <v>11740</v>
      </c>
      <c r="M21" s="342">
        <f>_xll.BDP(TICKER&amp;" EQUITY",$F21, "EQY_FUND_RELATIVE_PERIOD", M$10, "EQY_FUND_CRNCY", CURRENCY, "EQY_CONSOLIDATED", DataH!$D$18, "Fill=B")</f>
        <v>18385</v>
      </c>
      <c r="N21" s="342">
        <f>_xll.BDP(TICKER&amp;" EQUITY",$F21, "EQY_FUND_RELATIVE_PERIOD", N$10, "EQY_FUND_CRNCY", CURRENCY, "EQY_CONSOLIDATED", DataH!$D$18, "Fill=B")</f>
        <v>33790</v>
      </c>
      <c r="O21" s="342">
        <f>_xll.BDP(TICKER&amp;" EQUITY",$F21, "EQY_FUND_RELATIVE_PERIOD", O$10, "EQY_FUND_CRNCY", CURRENCY, "EQY_CONSOLIDATED", DataH!$D$18, "Fill=B")</f>
        <v>55241</v>
      </c>
      <c r="P21" s="342">
        <f>_xll.BDP(TICKER&amp;" EQUITY",$F21, "EQY_FUND_RELATIVE_PERIOD", P$10, "EQY_FUND_CRNCY", CURRENCY, "EQY_CONSOLIDATED", DataH!$D$18, "Fill=B")</f>
        <v>48999</v>
      </c>
      <c r="Q21" s="343">
        <f>_xll.BDP(TICKER&amp;" EQUITY",$F21, "EQY_FUND_RELATIVE_PERIOD", Q$10, "EQY_FUND_CRNCY", CURRENCY, "EQY_CONSOLIDATED", DataH!$D$18, "Fill=B")</f>
        <v>52503</v>
      </c>
      <c r="R21" s="535">
        <f>_xll.BDP(TICKER&amp;" EQUITY",$U21, "BEST_FPERIOD_OVERRIDE", R$10, "EQY_FUND_CRNCY", CURRENCY, "BEST_CONSOLIDATED_OVERRIDE", DataH!$D$19, "Fill=B")</f>
        <v>70784.553</v>
      </c>
      <c r="S21" s="536">
        <f>_xll.BDP(TICKER&amp;" EQUITY",$U21, "BEST_FPERIOD_OVERRIDE", S$10, "EQY_FUND_CRNCY", CURRENCY, "BEST_CONSOLIDATED_OVERRIDE", DataH!$D$19, "Fill=B")</f>
        <v>73025.27</v>
      </c>
      <c r="T21" s="537">
        <f>_xll.BDP(TICKER&amp;" EQUITY",$U21, "BEST_FPERIOD_OVERRIDE", T$10, "EQY_FUND_CRNCY", CURRENCY, "BEST_CONSOLIDATED_OVERRIDE", DataH!$D$19, "Fill=B")</f>
        <v>78939</v>
      </c>
      <c r="U21" s="216" t="s">
        <v>521</v>
      </c>
      <c r="V21" s="216"/>
    </row>
    <row r="22" spans="2:22" ht="15" customHeight="1">
      <c r="B22" s="862" t="str">
        <f>IF(Lang="English","     - Interest Expense",IF(Lang="中文","     - 利息費用","     - 支払利息"))</f>
        <v xml:space="preserve">     - Interest Expense</v>
      </c>
      <c r="C22" s="767"/>
      <c r="D22" s="767"/>
      <c r="E22" s="768"/>
      <c r="F22" s="129" t="s">
        <v>444</v>
      </c>
      <c r="G22" s="504">
        <f>_xll.BDP(TICKER&amp;" EQUITY",$F22, "EQY_FUND_RELATIVE_PERIOD", G$10, "EQY_FUND_CRNCY", CURRENCY, "EQY_CONSOLIDATED", DataH!$D$18, "Fill=B")</f>
        <v>3</v>
      </c>
      <c r="H22" s="504">
        <f>_xll.BDP(TICKER&amp;" EQUITY",$F22, "EQY_FUND_RELATIVE_PERIOD", H$10, "EQY_FUND_CRNCY", CURRENCY, "EQY_CONSOLIDATED", DataH!$D$18, "Fill=B")</f>
        <v>0</v>
      </c>
      <c r="I22" s="504">
        <f>_xll.BDP(TICKER&amp;" EQUITY",$F22, "EQY_FUND_RELATIVE_PERIOD", I$10, "EQY_FUND_CRNCY", CURRENCY, "EQY_CONSOLIDATED", DataH!$D$18, "Fill=B")</f>
        <v>0</v>
      </c>
      <c r="J22" s="504">
        <f>_xll.BDP(TICKER&amp;" EQUITY",$F22, "EQY_FUND_RELATIVE_PERIOD", J$10, "EQY_FUND_CRNCY", CURRENCY, "EQY_CONSOLIDATED", DataH!$D$18, "Fill=B")</f>
        <v>0</v>
      </c>
      <c r="K22" s="504">
        <f>_xll.BDP(TICKER&amp;" EQUITY",$F22, "EQY_FUND_RELATIVE_PERIOD", K$10, "EQY_FUND_CRNCY", CURRENCY, "EQY_CONSOLIDATED", DataH!$D$18, "Fill=B")</f>
        <v>0</v>
      </c>
      <c r="L22" s="504">
        <f>_xll.BDP(TICKER&amp;" EQUITY",$F22, "EQY_FUND_RELATIVE_PERIOD", L$10, "EQY_FUND_CRNCY", CURRENCY, "EQY_CONSOLIDATED", DataH!$D$18, "Fill=B")</f>
        <v>0</v>
      </c>
      <c r="M22" s="504">
        <f>_xll.BDP(TICKER&amp;" EQUITY",$F22, "EQY_FUND_RELATIVE_PERIOD", M$10, "EQY_FUND_CRNCY", CURRENCY, "EQY_CONSOLIDATED", DataH!$D$18, "Fill=B")</f>
        <v>0</v>
      </c>
      <c r="N22" s="504">
        <f>_xll.BDP(TICKER&amp;" EQUITY",$F22, "EQY_FUND_RELATIVE_PERIOD", N$10, "EQY_FUND_CRNCY", CURRENCY, "EQY_CONSOLIDATED", DataH!$D$18, "Fill=B")</f>
        <v>0</v>
      </c>
      <c r="O22" s="504">
        <f>_xll.BDP(TICKER&amp;" EQUITY",$F22, "EQY_FUND_RELATIVE_PERIOD", O$10, "EQY_FUND_CRNCY", CURRENCY, "EQY_CONSOLIDATED", DataH!$D$18, "Fill=B")</f>
        <v>0</v>
      </c>
      <c r="P22" s="504">
        <f>_xll.BDP(TICKER&amp;" EQUITY",$F22, "EQY_FUND_RELATIVE_PERIOD", P$10, "EQY_FUND_CRNCY", CURRENCY, "EQY_CONSOLIDATED", DataH!$D$18, "Fill=B")</f>
        <v>136</v>
      </c>
      <c r="Q22" s="505">
        <f>_xll.BDP(TICKER&amp;" EQUITY",$F22, "EQY_FUND_RELATIVE_PERIOD", Q$10, "EQY_FUND_CRNCY", CURRENCY, "EQY_CONSOLIDATED", DataH!$D$18, "Fill=B")</f>
        <v>384</v>
      </c>
      <c r="R22" s="523"/>
      <c r="S22" s="524"/>
      <c r="T22" s="525"/>
      <c r="U22" s="216"/>
      <c r="V22" s="216"/>
    </row>
    <row r="23" spans="2:22" ht="15" customHeight="1">
      <c r="B23" s="862" t="str">
        <f>IF(Lang="English","     - Foreign Exchange Losses (Gains)",IF(Lang="中文","     - 匯兌損益","     - 為替差損益"))</f>
        <v xml:space="preserve">     - Foreign Exchange Losses (Gains)</v>
      </c>
      <c r="C23" s="767"/>
      <c r="D23" s="767"/>
      <c r="E23" s="768"/>
      <c r="F23" s="129" t="s">
        <v>445</v>
      </c>
      <c r="G23" s="504">
        <f>_xll.BDP(TICKER&amp;" EQUITY",$F23, "EQY_FUND_RELATIVE_PERIOD", G$10, "EQY_FUND_CRNCY", CURRENCY, "EQY_CONSOLIDATED", DataH!$D$18, "Fill=B")</f>
        <v>0</v>
      </c>
      <c r="H23" s="504">
        <f>_xll.BDP(TICKER&amp;" EQUITY",$F23, "EQY_FUND_RELATIVE_PERIOD", H$10, "EQY_FUND_CRNCY", CURRENCY, "EQY_CONSOLIDATED", DataH!$D$18, "Fill=B")</f>
        <v>0</v>
      </c>
      <c r="I23" s="504">
        <f>_xll.BDP(TICKER&amp;" EQUITY",$F23, "EQY_FUND_RELATIVE_PERIOD", I$10, "EQY_FUND_CRNCY", CURRENCY, "EQY_CONSOLIDATED", DataH!$D$18, "Fill=B")</f>
        <v>0</v>
      </c>
      <c r="J23" s="504">
        <f>_xll.BDP(TICKER&amp;" EQUITY",$F23, "EQY_FUND_RELATIVE_PERIOD", J$10, "EQY_FUND_CRNCY", CURRENCY, "EQY_CONSOLIDATED", DataH!$D$18, "Fill=B")</f>
        <v>0</v>
      </c>
      <c r="K23" s="504">
        <f>_xll.BDP(TICKER&amp;" EQUITY",$F23, "EQY_FUND_RELATIVE_PERIOD", K$10, "EQY_FUND_CRNCY", CURRENCY, "EQY_CONSOLIDATED", DataH!$D$18, "Fill=B")</f>
        <v>0</v>
      </c>
      <c r="L23" s="504">
        <f>_xll.BDP(TICKER&amp;" EQUITY",$F23, "EQY_FUND_RELATIVE_PERIOD", L$10, "EQY_FUND_CRNCY", CURRENCY, "EQY_CONSOLIDATED", DataH!$D$18, "Fill=B")</f>
        <v>0</v>
      </c>
      <c r="M23" s="504">
        <f>_xll.BDP(TICKER&amp;" EQUITY",$F23, "EQY_FUND_RELATIVE_PERIOD", M$10, "EQY_FUND_CRNCY", CURRENCY, "EQY_CONSOLIDATED", DataH!$D$18, "Fill=B")</f>
        <v>0</v>
      </c>
      <c r="N23" s="504">
        <f>_xll.BDP(TICKER&amp;" EQUITY",$F23, "EQY_FUND_RELATIVE_PERIOD", N$10, "EQY_FUND_CRNCY", CURRENCY, "EQY_CONSOLIDATED", DataH!$D$18, "Fill=B")</f>
        <v>0</v>
      </c>
      <c r="O23" s="504">
        <f>_xll.BDP(TICKER&amp;" EQUITY",$F23, "EQY_FUND_RELATIVE_PERIOD", O$10, "EQY_FUND_CRNCY", CURRENCY, "EQY_CONSOLIDATED", DataH!$D$18, "Fill=B")</f>
        <v>0</v>
      </c>
      <c r="P23" s="504">
        <f>_xll.BDP(TICKER&amp;" EQUITY",$F23, "EQY_FUND_RELATIVE_PERIOD", P$10, "EQY_FUND_CRNCY", CURRENCY, "EQY_CONSOLIDATED", DataH!$D$18, "Fill=B")</f>
        <v>0</v>
      </c>
      <c r="Q23" s="505">
        <f>_xll.BDP(TICKER&amp;" EQUITY",$F23, "EQY_FUND_RELATIVE_PERIOD", Q$10, "EQY_FUND_CRNCY", CURRENCY, "EQY_CONSOLIDATED", DataH!$D$18, "Fill=B")</f>
        <v>0</v>
      </c>
      <c r="R23" s="523"/>
      <c r="S23" s="524"/>
      <c r="T23" s="525"/>
      <c r="U23" s="216"/>
      <c r="V23" s="216"/>
    </row>
    <row r="24" spans="2:22" ht="15" customHeight="1">
      <c r="B24" s="841" t="str">
        <f>IF(Lang="English","     - Net Non-Operating Losses (Gains)",IF(Lang="中文","     - 淨營業外損失(收益)","     - 営業外損益純額"))</f>
        <v xml:space="preserve">     - Net Non-Operating Losses (Gains)</v>
      </c>
      <c r="C24" s="842"/>
      <c r="D24" s="842"/>
      <c r="E24" s="843"/>
      <c r="F24" s="129" t="s">
        <v>446</v>
      </c>
      <c r="G24" s="504">
        <f>_xll.BDP(TICKER&amp;" EQUITY",$F24, "EQY_FUND_RELATIVE_PERIOD", G$10, "EQY_FUND_CRNCY", CURRENCY, "EQY_CONSOLIDATED", DataH!$D$18, "Fill=B")</f>
        <v>-37</v>
      </c>
      <c r="H24" s="504">
        <f>_xll.BDP(TICKER&amp;" EQUITY",$F24, "EQY_FUND_RELATIVE_PERIOD", H$10, "EQY_FUND_CRNCY", CURRENCY, "EQY_CONSOLIDATED", DataH!$D$18, "Fill=B")</f>
        <v>-165</v>
      </c>
      <c r="I24" s="504">
        <f>_xll.BDP(TICKER&amp;" EQUITY",$F24, "EQY_FUND_RELATIVE_PERIOD", I$10, "EQY_FUND_CRNCY", CURRENCY, "EQY_CONSOLIDATED", DataH!$D$18, "Fill=B")</f>
        <v>-365</v>
      </c>
      <c r="J24" s="504">
        <f>_xll.BDP(TICKER&amp;" EQUITY",$F24, "EQY_FUND_RELATIVE_PERIOD", J$10, "EQY_FUND_CRNCY", CURRENCY, "EQY_CONSOLIDATED", DataH!$D$18, "Fill=B")</f>
        <v>-599</v>
      </c>
      <c r="K24" s="504">
        <f>_xll.BDP(TICKER&amp;" EQUITY",$F24, "EQY_FUND_RELATIVE_PERIOD", K$10, "EQY_FUND_CRNCY", CURRENCY, "EQY_CONSOLIDATED", DataH!$D$18, "Fill=B")</f>
        <v>-620</v>
      </c>
      <c r="L24" s="504">
        <f>_xll.BDP(TICKER&amp;" EQUITY",$F24, "EQY_FUND_RELATIVE_PERIOD", L$10, "EQY_FUND_CRNCY", CURRENCY, "EQY_CONSOLIDATED", DataH!$D$18, "Fill=B")</f>
        <v>-326</v>
      </c>
      <c r="M24" s="504">
        <f>_xll.BDP(TICKER&amp;" EQUITY",$F24, "EQY_FUND_RELATIVE_PERIOD", M$10, "EQY_FUND_CRNCY", CURRENCY, "EQY_CONSOLIDATED", DataH!$D$18, "Fill=B")</f>
        <v>-155</v>
      </c>
      <c r="N24" s="504">
        <f>_xll.BDP(TICKER&amp;" EQUITY",$F24, "EQY_FUND_RELATIVE_PERIOD", N$10, "EQY_FUND_CRNCY", CURRENCY, "EQY_CONSOLIDATED", DataH!$D$18, "Fill=B")</f>
        <v>-415</v>
      </c>
      <c r="O24" s="504">
        <f>_xll.BDP(TICKER&amp;" EQUITY",$F24, "EQY_FUND_RELATIVE_PERIOD", O$10, "EQY_FUND_CRNCY", CURRENCY, "EQY_CONSOLIDATED", DataH!$D$18, "Fill=B")</f>
        <v>-522</v>
      </c>
      <c r="P24" s="504">
        <f>_xll.BDP(TICKER&amp;" EQUITY",$F24, "EQY_FUND_RELATIVE_PERIOD", P$10, "EQY_FUND_CRNCY", CURRENCY, "EQY_CONSOLIDATED", DataH!$D$18, "Fill=B")</f>
        <v>-1292</v>
      </c>
      <c r="Q24" s="505">
        <f>_xll.BDP(TICKER&amp;" EQUITY",$F24, "EQY_FUND_RELATIVE_PERIOD", Q$10, "EQY_FUND_CRNCY", CURRENCY, "EQY_CONSOLIDATED", DataH!$D$18, "Fill=B")</f>
        <v>-1364</v>
      </c>
      <c r="R24" s="523"/>
      <c r="S24" s="524"/>
      <c r="T24" s="525"/>
      <c r="U24" s="216"/>
      <c r="V24" s="216"/>
    </row>
    <row r="25" spans="2:22" ht="15" customHeight="1">
      <c r="B25" s="866"/>
      <c r="C25" s="867"/>
      <c r="D25" s="867"/>
      <c r="E25" s="868"/>
      <c r="F25" s="529"/>
      <c r="G25" s="529"/>
      <c r="H25" s="529"/>
      <c r="I25" s="529"/>
      <c r="J25" s="529"/>
      <c r="K25" s="529"/>
      <c r="L25" s="529"/>
      <c r="M25" s="529"/>
      <c r="N25" s="529"/>
      <c r="O25" s="529"/>
      <c r="P25" s="529"/>
      <c r="Q25" s="529"/>
      <c r="R25" s="543"/>
      <c r="S25" s="543"/>
      <c r="T25" s="544"/>
      <c r="U25" s="216"/>
      <c r="V25" s="216"/>
    </row>
    <row r="26" spans="2:22" ht="15" customHeight="1">
      <c r="B26" s="859" t="str">
        <f>IF(Lang="English", "Pretax Income",IF(Lang="中文","稅前淨利","税引前利益"))</f>
        <v>Pretax Income</v>
      </c>
      <c r="C26" s="860"/>
      <c r="D26" s="860"/>
      <c r="E26" s="861"/>
      <c r="F26" s="126" t="s">
        <v>449</v>
      </c>
      <c r="G26" s="342">
        <f>_xll.BDP(TICKER&amp;" EQUITY",$F26, "EQY_FUND_RELATIVE_PERIOD", G$10, "EQY_FUND_CRNCY", CURRENCY, "EQY_CONSOLIDATED", DataH!$D$18, "Fill=B")</f>
        <v>383</v>
      </c>
      <c r="H26" s="342">
        <f>_xll.BDP(TICKER&amp;" EQUITY",$F26, "EQY_FUND_RELATIVE_PERIOD", H$10, "EQY_FUND_CRNCY", CURRENCY, "EQY_CONSOLIDATED", DataH!$D$18, "Fill=B")</f>
        <v>1815</v>
      </c>
      <c r="I26" s="342">
        <f>_xll.BDP(TICKER&amp;" EQUITY",$F26, "EQY_FUND_RELATIVE_PERIOD", I$10, "EQY_FUND_CRNCY", CURRENCY, "EQY_CONSOLIDATED", DataH!$D$18, "Fill=B")</f>
        <v>2818</v>
      </c>
      <c r="J26" s="342">
        <f>_xll.BDP(TICKER&amp;" EQUITY",$F26, "EQY_FUND_RELATIVE_PERIOD", J$10, "EQY_FUND_CRNCY", CURRENCY, "EQY_CONSOLIDATED", DataH!$D$18, "Fill=B")</f>
        <v>5006</v>
      </c>
      <c r="K26" s="342">
        <f>_xll.BDP(TICKER&amp;" EQUITY",$F26, "EQY_FUND_RELATIVE_PERIOD", K$10, "EQY_FUND_CRNCY", CURRENCY, "EQY_CONSOLIDATED", DataH!$D$18, "Fill=B")</f>
        <v>8947</v>
      </c>
      <c r="L26" s="342">
        <f>_xll.BDP(TICKER&amp;" EQUITY",$F26, "EQY_FUND_RELATIVE_PERIOD", L$10, "EQY_FUND_CRNCY", CURRENCY, "EQY_CONSOLIDATED", DataH!$D$18, "Fill=B")</f>
        <v>12066</v>
      </c>
      <c r="M26" s="342">
        <f>_xll.BDP(TICKER&amp;" EQUITY",$F26, "EQY_FUND_RELATIVE_PERIOD", M$10, "EQY_FUND_CRNCY", CURRENCY, "EQY_CONSOLIDATED", DataH!$D$18, "Fill=B")</f>
        <v>18540</v>
      </c>
      <c r="N26" s="342">
        <f>_xll.BDP(TICKER&amp;" EQUITY",$F26, "EQY_FUND_RELATIVE_PERIOD", N$10, "EQY_FUND_CRNCY", CURRENCY, "EQY_CONSOLIDATED", DataH!$D$18, "Fill=B")</f>
        <v>34205</v>
      </c>
      <c r="O26" s="342">
        <f>_xll.BDP(TICKER&amp;" EQUITY",$F26, "EQY_FUND_RELATIVE_PERIOD", O$10, "EQY_FUND_CRNCY", CURRENCY, "EQY_CONSOLIDATED", DataH!$D$18, "Fill=B")</f>
        <v>55763</v>
      </c>
      <c r="P26" s="342">
        <f>_xll.BDP(TICKER&amp;" EQUITY",$F26, "EQY_FUND_RELATIVE_PERIOD", P$10, "EQY_FUND_CRNCY", CURRENCY, "EQY_CONSOLIDATED", DataH!$D$18, "Fill=B")</f>
        <v>50155</v>
      </c>
      <c r="Q26" s="343">
        <f>_xll.BDP(TICKER&amp;" EQUITY",$F26, "EQY_FUND_RELATIVE_PERIOD", Q$10, "EQY_FUND_CRNCY", CURRENCY, "EQY_CONSOLIDATED", DataH!$D$18, "Fill=B")</f>
        <v>53483</v>
      </c>
      <c r="R26" s="535">
        <f>_xll.BDP(TICKER&amp;" EQUITY",$U26, "BEST_FPERIOD_OVERRIDE", R$10, "EQY_FUND_CRNCY", CURRENCY, "BEST_CONSOLIDATED_OVERRIDE", DataH!$D$19, "Fill=B")</f>
        <v>72017.205000000002</v>
      </c>
      <c r="S26" s="536">
        <f>_xll.BDP(TICKER&amp;" EQUITY",$U26, "BEST_FPERIOD_OVERRIDE", S$10, "EQY_FUND_CRNCY", CURRENCY, "BEST_CONSOLIDATED_OVERRIDE", DataH!$D$19, "Fill=B")</f>
        <v>73879.789000000004</v>
      </c>
      <c r="T26" s="537">
        <f>_xll.BDP(TICKER&amp;" EQUITY",$U26, "BEST_FPERIOD_OVERRIDE", T$10, "EQY_FUND_CRNCY", CURRENCY, "BEST_CONSOLIDATED_OVERRIDE", DataH!$D$19, "Fill=B")</f>
        <v>78989.118000000002</v>
      </c>
      <c r="U26" s="216" t="s">
        <v>518</v>
      </c>
      <c r="V26" s="216"/>
    </row>
    <row r="27" spans="2:22" ht="15" customHeight="1">
      <c r="B27" s="841" t="str">
        <f>IF(Lang="English", "     - Income Tax Expense",IF(Lang="中文", "     -所得稅費用", "     -法人税等(貸方)"))</f>
        <v xml:space="preserve">     - Income Tax Expense</v>
      </c>
      <c r="C27" s="842"/>
      <c r="D27" s="842"/>
      <c r="E27" s="843"/>
      <c r="F27" s="129" t="s">
        <v>450</v>
      </c>
      <c r="G27" s="344">
        <f>_xll.BDP(TICKER&amp;" EQUITY",$F27, "EQY_FUND_RELATIVE_PERIOD", G$10, "EQY_FUND_CRNCY", CURRENCY, "EQY_CONSOLIDATED", DataH!$D$18, "Fill=B")</f>
        <v>107</v>
      </c>
      <c r="H27" s="344">
        <f>_xll.BDP(TICKER&amp;" EQUITY",$F27, "EQY_FUND_RELATIVE_PERIOD", H$10, "EQY_FUND_CRNCY", CURRENCY, "EQY_CONSOLIDATED", DataH!$D$18, "Fill=B")</f>
        <v>480</v>
      </c>
      <c r="I27" s="344">
        <f>_xll.BDP(TICKER&amp;" EQUITY",$F27, "EQY_FUND_RELATIVE_PERIOD", I$10, "EQY_FUND_CRNCY", CURRENCY, "EQY_CONSOLIDATED", DataH!$D$18, "Fill=B")</f>
        <v>829</v>
      </c>
      <c r="J27" s="344">
        <f>_xll.BDP(TICKER&amp;" EQUITY",$F27, "EQY_FUND_RELATIVE_PERIOD", J$10, "EQY_FUND_CRNCY", CURRENCY, "EQY_CONSOLIDATED", DataH!$D$18, "Fill=B")</f>
        <v>1511</v>
      </c>
      <c r="K27" s="344">
        <f>_xll.BDP(TICKER&amp;" EQUITY",$F27, "EQY_FUND_RELATIVE_PERIOD", K$10, "EQY_FUND_CRNCY", CURRENCY, "EQY_CONSOLIDATED", DataH!$D$18, "Fill=B")</f>
        <v>2828</v>
      </c>
      <c r="L27" s="344">
        <f>_xll.BDP(TICKER&amp;" EQUITY",$F27, "EQY_FUND_RELATIVE_PERIOD", L$10, "EQY_FUND_CRNCY", CURRENCY, "EQY_CONSOLIDATED", DataH!$D$18, "Fill=B")</f>
        <v>3831</v>
      </c>
      <c r="M27" s="344">
        <f>_xll.BDP(TICKER&amp;" EQUITY",$F27, "EQY_FUND_RELATIVE_PERIOD", M$10, "EQY_FUND_CRNCY", CURRENCY, "EQY_CONSOLIDATED", DataH!$D$18, "Fill=B")</f>
        <v>4527</v>
      </c>
      <c r="N27" s="344">
        <f>_xll.BDP(TICKER&amp;" EQUITY",$F27, "EQY_FUND_RELATIVE_PERIOD", N$10, "EQY_FUND_CRNCY", CURRENCY, "EQY_CONSOLIDATED", DataH!$D$18, "Fill=B")</f>
        <v>8283</v>
      </c>
      <c r="O27" s="344">
        <f>_xll.BDP(TICKER&amp;" EQUITY",$F27, "EQY_FUND_RELATIVE_PERIOD", O$10, "EQY_FUND_CRNCY", CURRENCY, "EQY_CONSOLIDATED", DataH!$D$18, "Fill=B")</f>
        <v>14030</v>
      </c>
      <c r="P27" s="344">
        <f>_xll.BDP(TICKER&amp;" EQUITY",$F27, "EQY_FUND_RELATIVE_PERIOD", P$10, "EQY_FUND_CRNCY", CURRENCY, "EQY_CONSOLIDATED", DataH!$D$18, "Fill=B")</f>
        <v>13118</v>
      </c>
      <c r="Q27" s="345">
        <f>_xll.BDP(TICKER&amp;" EQUITY",$F27, "EQY_FUND_RELATIVE_PERIOD", Q$10, "EQY_FUND_CRNCY", CURRENCY, "EQY_CONSOLIDATED", DataH!$D$18, "Fill=B")</f>
        <v>13973</v>
      </c>
      <c r="R27" s="523"/>
      <c r="S27" s="524"/>
      <c r="T27" s="525"/>
      <c r="U27" s="216"/>
      <c r="V27" s="216"/>
    </row>
    <row r="28" spans="2:22" ht="15" customHeight="1">
      <c r="B28" s="866"/>
      <c r="C28" s="867"/>
      <c r="D28" s="867"/>
      <c r="E28" s="868"/>
      <c r="F28" s="531"/>
      <c r="G28" s="530"/>
      <c r="H28" s="176"/>
      <c r="I28" s="176"/>
      <c r="J28" s="176"/>
      <c r="K28" s="176"/>
      <c r="L28" s="176"/>
      <c r="M28" s="176"/>
      <c r="N28" s="176"/>
      <c r="O28" s="176"/>
      <c r="P28" s="176"/>
      <c r="Q28" s="551"/>
      <c r="R28" s="545"/>
      <c r="S28" s="545"/>
      <c r="T28" s="546"/>
      <c r="U28" s="216"/>
      <c r="V28" s="216"/>
    </row>
    <row r="29" spans="2:22" ht="15" customHeight="1">
      <c r="B29" s="859" t="str">
        <f>IF(Lang="English", "Income Before XO Items", IF(Lang="中文","非常項目前收入","異常損益項目前利益(損失) "))</f>
        <v>Income Before XO Items</v>
      </c>
      <c r="C29" s="860"/>
      <c r="D29" s="860"/>
      <c r="E29" s="861"/>
      <c r="F29" s="126" t="s">
        <v>451</v>
      </c>
      <c r="G29" s="342">
        <f>_xll.BDP(TICKER&amp;" EQUITY",$F29, "EQY_FUND_RELATIVE_PERIOD", G$10, "EQY_FUND_CRNCY", CURRENCY, "EQY_CONSOLIDATED", DataH!$D$18, "Fill=B")</f>
        <v>276</v>
      </c>
      <c r="H29" s="342">
        <f>_xll.BDP(TICKER&amp;" EQUITY",$F29, "EQY_FUND_RELATIVE_PERIOD", H$10, "EQY_FUND_CRNCY", CURRENCY, "EQY_CONSOLIDATED", DataH!$D$18, "Fill=B")</f>
        <v>1335</v>
      </c>
      <c r="I29" s="342">
        <f>_xll.BDP(TICKER&amp;" EQUITY",$F29, "EQY_FUND_RELATIVE_PERIOD", I$10, "EQY_FUND_CRNCY", CURRENCY, "EQY_CONSOLIDATED", DataH!$D$18, "Fill=B")</f>
        <v>1989</v>
      </c>
      <c r="J29" s="342">
        <f>_xll.BDP(TICKER&amp;" EQUITY",$F29, "EQY_FUND_RELATIVE_PERIOD", J$10, "EQY_FUND_CRNCY", CURRENCY, "EQY_CONSOLIDATED", DataH!$D$18, "Fill=B")</f>
        <v>3495</v>
      </c>
      <c r="K29" s="342">
        <f>_xll.BDP(TICKER&amp;" EQUITY",$F29, "EQY_FUND_RELATIVE_PERIOD", K$10, "EQY_FUND_CRNCY", CURRENCY, "EQY_CONSOLIDATED", DataH!$D$18, "Fill=B")</f>
        <v>6119</v>
      </c>
      <c r="L29" s="342">
        <f>_xll.BDP(TICKER&amp;" EQUITY",$F29, "EQY_FUND_RELATIVE_PERIOD", L$10, "EQY_FUND_CRNCY", CURRENCY, "EQY_CONSOLIDATED", DataH!$D$18, "Fill=B")</f>
        <v>8235</v>
      </c>
      <c r="M29" s="342">
        <f>_xll.BDP(TICKER&amp;" EQUITY",$F29, "EQY_FUND_RELATIVE_PERIOD", M$10, "EQY_FUND_CRNCY", CURRENCY, "EQY_CONSOLIDATED", DataH!$D$18, "Fill=B")</f>
        <v>14013</v>
      </c>
      <c r="N29" s="342">
        <f>_xll.BDP(TICKER&amp;" EQUITY",$F29, "EQY_FUND_RELATIVE_PERIOD", N$10, "EQY_FUND_CRNCY", CURRENCY, "EQY_CONSOLIDATED", DataH!$D$18, "Fill=B")</f>
        <v>25922</v>
      </c>
      <c r="O29" s="342">
        <f>_xll.BDP(TICKER&amp;" EQUITY",$F29, "EQY_FUND_RELATIVE_PERIOD", O$10, "EQY_FUND_CRNCY", CURRENCY, "EQY_CONSOLIDATED", DataH!$D$18, "Fill=B")</f>
        <v>41733</v>
      </c>
      <c r="P29" s="342">
        <f>_xll.BDP(TICKER&amp;" EQUITY",$F29, "EQY_FUND_RELATIVE_PERIOD", P$10, "EQY_FUND_CRNCY", CURRENCY, "EQY_CONSOLIDATED", DataH!$D$18, "Fill=B")</f>
        <v>37037</v>
      </c>
      <c r="Q29" s="343">
        <f>_xll.BDP(TICKER&amp;" EQUITY",$F29, "EQY_FUND_RELATIVE_PERIOD", Q$10, "EQY_FUND_CRNCY", CURRENCY, "EQY_CONSOLIDATED", DataH!$D$18, "Fill=B")</f>
        <v>39510</v>
      </c>
      <c r="R29" s="535"/>
      <c r="S29" s="536"/>
      <c r="T29" s="537"/>
      <c r="U29" s="216"/>
      <c r="V29" s="216"/>
    </row>
    <row r="30" spans="2:22" ht="15" customHeight="1">
      <c r="B30" s="841" t="str">
        <f>IF(Lang="English", "     - Extraordinary Loss Net of Tax", IF(Lang="中文","     - 非常項目税後虧損","　-異常項目損益(税控除) "))</f>
        <v xml:space="preserve">     - Extraordinary Loss Net of Tax</v>
      </c>
      <c r="C30" s="842"/>
      <c r="D30" s="842"/>
      <c r="E30" s="843"/>
      <c r="F30" s="129" t="s">
        <v>453</v>
      </c>
      <c r="G30" s="504">
        <f>_xll.BDP(TICKER&amp;" EQUITY",$F30, "EQY_FUND_RELATIVE_PERIOD", G$10, "EQY_FUND_CRNCY", CURRENCY, "EQY_CONSOLIDATED", DataH!$D$18, "Fill=B")</f>
        <v>0</v>
      </c>
      <c r="H30" s="504">
        <f>_xll.BDP(TICKER&amp;" EQUITY",$F30, "EQY_FUND_RELATIVE_PERIOD", H$10, "EQY_FUND_CRNCY", CURRENCY, "EQY_CONSOLIDATED", DataH!$D$18, "Fill=B")</f>
        <v>0</v>
      </c>
      <c r="I30" s="504">
        <f>_xll.BDP(TICKER&amp;" EQUITY",$F30, "EQY_FUND_RELATIVE_PERIOD", I$10, "EQY_FUND_CRNCY", CURRENCY, "EQY_CONSOLIDATED", DataH!$D$18, "Fill=B")</f>
        <v>0</v>
      </c>
      <c r="J30" s="504">
        <f>_xll.BDP(TICKER&amp;" EQUITY",$F30, "EQY_FUND_RELATIVE_PERIOD", J$10, "EQY_FUND_CRNCY", CURRENCY, "EQY_CONSOLIDATED", DataH!$D$18, "Fill=B")</f>
        <v>0</v>
      </c>
      <c r="K30" s="504">
        <f>_xll.BDP(TICKER&amp;" EQUITY",$F30, "EQY_FUND_RELATIVE_PERIOD", K$10, "EQY_FUND_CRNCY", CURRENCY, "EQY_CONSOLIDATED", DataH!$D$18, "Fill=B")</f>
        <v>0</v>
      </c>
      <c r="L30" s="504">
        <f>_xll.BDP(TICKER&amp;" EQUITY",$F30, "EQY_FUND_RELATIVE_PERIOD", L$10, "EQY_FUND_CRNCY", CURRENCY, "EQY_CONSOLIDATED", DataH!$D$18, "Fill=B")</f>
        <v>0</v>
      </c>
      <c r="M30" s="504">
        <f>_xll.BDP(TICKER&amp;" EQUITY",$F30, "EQY_FUND_RELATIVE_PERIOD", M$10, "EQY_FUND_CRNCY", CURRENCY, "EQY_CONSOLIDATED", DataH!$D$18, "Fill=B")</f>
        <v>0</v>
      </c>
      <c r="N30" s="504">
        <f>_xll.BDP(TICKER&amp;" EQUITY",$F30, "EQY_FUND_RELATIVE_PERIOD", N$10, "EQY_FUND_CRNCY", CURRENCY, "EQY_CONSOLIDATED", DataH!$D$18, "Fill=B")</f>
        <v>0</v>
      </c>
      <c r="O30" s="504">
        <f>_xll.BDP(TICKER&amp;" EQUITY",$F30, "EQY_FUND_RELATIVE_PERIOD", O$10, "EQY_FUND_CRNCY", CURRENCY, "EQY_CONSOLIDATED", DataH!$D$18, "Fill=B")</f>
        <v>0</v>
      </c>
      <c r="P30" s="504">
        <f>_xll.BDP(TICKER&amp;" EQUITY",$F30, "EQY_FUND_RELATIVE_PERIOD", P$10, "EQY_FUND_CRNCY", CURRENCY, "EQY_CONSOLIDATED", DataH!$D$18, "Fill=B")</f>
        <v>0</v>
      </c>
      <c r="Q30" s="505">
        <f>_xll.BDP(TICKER&amp;" EQUITY",$F30, "EQY_FUND_RELATIVE_PERIOD", Q$10, "EQY_FUND_CRNCY", CURRENCY, "EQY_CONSOLIDATED", DataH!$D$18, "Fill=B")</f>
        <v>0</v>
      </c>
      <c r="R30" s="523"/>
      <c r="S30" s="524"/>
      <c r="T30" s="525"/>
      <c r="U30" s="216"/>
      <c r="V30" s="216"/>
    </row>
    <row r="31" spans="2:22" ht="15" customHeight="1">
      <c r="B31" s="841" t="str">
        <f>IF(Lang="English", "     - Minority Interests",IF(Lang="中文", "     - 少數股東權益","　-少数株主損益 "))</f>
        <v xml:space="preserve">     - Minority Interests</v>
      </c>
      <c r="C31" s="842"/>
      <c r="D31" s="842"/>
      <c r="E31" s="843"/>
      <c r="F31" s="129" t="s">
        <v>454</v>
      </c>
      <c r="G31" s="504">
        <f>_xll.BDP(TICKER&amp;" EQUITY",$F31, "EQY_FUND_RELATIVE_PERIOD", G$10, "EQY_FUND_CRNCY", CURRENCY, "EQY_CONSOLIDATED", DataH!$D$18, "Fill=B")</f>
        <v>0</v>
      </c>
      <c r="H31" s="504">
        <f>_xll.BDP(TICKER&amp;" EQUITY",$F31, "EQY_FUND_RELATIVE_PERIOD", H$10, "EQY_FUND_CRNCY", CURRENCY, "EQY_CONSOLIDATED", DataH!$D$18, "Fill=B")</f>
        <v>0</v>
      </c>
      <c r="I31" s="504">
        <f>_xll.BDP(TICKER&amp;" EQUITY",$F31, "EQY_FUND_RELATIVE_PERIOD", I$10, "EQY_FUND_CRNCY", CURRENCY, "EQY_CONSOLIDATED", DataH!$D$18, "Fill=B")</f>
        <v>0</v>
      </c>
      <c r="J31" s="504">
        <f>_xll.BDP(TICKER&amp;" EQUITY",$F31, "EQY_FUND_RELATIVE_PERIOD", J$10, "EQY_FUND_CRNCY", CURRENCY, "EQY_CONSOLIDATED", DataH!$D$18, "Fill=B")</f>
        <v>0</v>
      </c>
      <c r="K31" s="504">
        <f>_xll.BDP(TICKER&amp;" EQUITY",$F31, "EQY_FUND_RELATIVE_PERIOD", K$10, "EQY_FUND_CRNCY", CURRENCY, "EQY_CONSOLIDATED", DataH!$D$18, "Fill=B")</f>
        <v>0</v>
      </c>
      <c r="L31" s="504">
        <f>_xll.BDP(TICKER&amp;" EQUITY",$F31, "EQY_FUND_RELATIVE_PERIOD", L$10, "EQY_FUND_CRNCY", CURRENCY, "EQY_CONSOLIDATED", DataH!$D$18, "Fill=B")</f>
        <v>0</v>
      </c>
      <c r="M31" s="504">
        <f>_xll.BDP(TICKER&amp;" EQUITY",$F31, "EQY_FUND_RELATIVE_PERIOD", M$10, "EQY_FUND_CRNCY", CURRENCY, "EQY_CONSOLIDATED", DataH!$D$18, "Fill=B")</f>
        <v>0</v>
      </c>
      <c r="N31" s="504">
        <f>_xll.BDP(TICKER&amp;" EQUITY",$F31, "EQY_FUND_RELATIVE_PERIOD", N$10, "EQY_FUND_CRNCY", CURRENCY, "EQY_CONSOLIDATED", DataH!$D$18, "Fill=B")</f>
        <v>0</v>
      </c>
      <c r="O31" s="504">
        <f>_xll.BDP(TICKER&amp;" EQUITY",$F31, "EQY_FUND_RELATIVE_PERIOD", O$10, "EQY_FUND_CRNCY", CURRENCY, "EQY_CONSOLIDATED", DataH!$D$18, "Fill=B")</f>
        <v>0</v>
      </c>
      <c r="P31" s="504">
        <f>_xll.BDP(TICKER&amp;" EQUITY",$F31, "EQY_FUND_RELATIVE_PERIOD", P$10, "EQY_FUND_CRNCY", CURRENCY, "EQY_CONSOLIDATED", DataH!$D$18, "Fill=B")</f>
        <v>0</v>
      </c>
      <c r="Q31" s="505">
        <f>_xll.BDP(TICKER&amp;" EQUITY",$F31, "EQY_FUND_RELATIVE_PERIOD", Q$10, "EQY_FUND_CRNCY", CURRENCY, "EQY_CONSOLIDATED", DataH!$D$18, "Fill=B")</f>
        <v>0</v>
      </c>
      <c r="R31" s="523"/>
      <c r="S31" s="524"/>
      <c r="T31" s="525"/>
      <c r="U31" s="216"/>
      <c r="V31" s="216"/>
    </row>
    <row r="32" spans="2:22" ht="15" customHeight="1">
      <c r="B32" s="866"/>
      <c r="C32" s="867"/>
      <c r="D32" s="867"/>
      <c r="E32" s="868"/>
      <c r="F32" s="529"/>
      <c r="G32" s="529"/>
      <c r="H32" s="529"/>
      <c r="I32" s="529"/>
      <c r="J32" s="529"/>
      <c r="K32" s="529"/>
      <c r="L32" s="529"/>
      <c r="M32" s="529"/>
      <c r="N32" s="529"/>
      <c r="O32" s="529"/>
      <c r="P32" s="529"/>
      <c r="Q32" s="529"/>
      <c r="R32" s="545"/>
      <c r="S32" s="545"/>
      <c r="T32" s="546"/>
      <c r="U32" s="216"/>
      <c r="V32" s="216"/>
    </row>
    <row r="33" spans="2:24" ht="15" customHeight="1">
      <c r="B33" s="859" t="str">
        <f>IF(Lang="English", "Diluted EPS Before XO Items", IF(Lang="中文","非常項前稀釋每股收益","異常損益前希薄化後EPS"))</f>
        <v>Diluted EPS Before XO Items</v>
      </c>
      <c r="C33" s="860"/>
      <c r="D33" s="860"/>
      <c r="E33" s="861"/>
      <c r="F33" s="126" t="s">
        <v>508</v>
      </c>
      <c r="G33" s="538">
        <f>_xll.BDP(TICKER&amp;" EQUITY",$F33, "EQY_FUND_RELATIVE_PERIOD", G$10, "EQY_FUND_CRNCY", CURRENCY, "EQY_CONSOLIDATED", DataH!$D$18, "Fill=B")</f>
        <v>5.0714285714285712E-2</v>
      </c>
      <c r="H33" s="538">
        <f>_xll.BDP(TICKER&amp;" EQUITY",$F33, "EQY_FUND_RELATIVE_PERIOD", H$10, "EQY_FUND_CRNCY", CURRENCY, "EQY_CONSOLIDATED", DataH!$D$18, "Fill=B")</f>
        <v>0.22285714285714286</v>
      </c>
      <c r="I33" s="538">
        <f>_xll.BDP(TICKER&amp;" EQUITY",$F33, "EQY_FUND_RELATIVE_PERIOD", I$10, "EQY_FUND_CRNCY", CURRENCY, "EQY_CONSOLIDATED", DataH!$D$18, "Fill=B")</f>
        <v>0.32428571428571429</v>
      </c>
      <c r="J33" s="538">
        <f>_xll.BDP(TICKER&amp;" EQUITY",$F33, "EQY_FUND_RELATIVE_PERIOD", J$10, "EQY_FUND_CRNCY", CURRENCY, "EQY_CONSOLIDATED", DataH!$D$18, "Fill=B")</f>
        <v>0.5614285714285715</v>
      </c>
      <c r="K33" s="538">
        <f>_xll.BDP(TICKER&amp;" EQUITY",$F33, "EQY_FUND_RELATIVE_PERIOD", K$10, "EQY_FUND_CRNCY", CURRENCY, "EQY_CONSOLIDATED", DataH!$D$18, "Fill=B")</f>
        <v>0.96857142857142864</v>
      </c>
      <c r="L33" s="538">
        <f>_xll.BDP(TICKER&amp;" EQUITY",$F33, "EQY_FUND_RELATIVE_PERIOD", L$10, "EQY_FUND_CRNCY", CURRENCY, "EQY_CONSOLIDATED", DataH!$D$18, "Fill=B")</f>
        <v>1.2971428571428572</v>
      </c>
      <c r="M33" s="538">
        <f>_xll.BDP(TICKER&amp;" EQUITY",$F33, "EQY_FUND_RELATIVE_PERIOD", M$10, "EQY_FUND_CRNCY", CURRENCY, "EQY_CONSOLIDATED", DataH!$D$18, "Fill=B")</f>
        <v>2.1642857142857141</v>
      </c>
      <c r="N33" s="538">
        <f>_xll.BDP(TICKER&amp;" EQUITY",$F33, "EQY_FUND_RELATIVE_PERIOD", N$10, "EQY_FUND_CRNCY", CURRENCY, "EQY_CONSOLIDATED", DataH!$D$18, "Fill=B")</f>
        <v>3.9542857142857142</v>
      </c>
      <c r="O33" s="538">
        <f>_xll.BDP(TICKER&amp;" EQUITY",$F33, "EQY_FUND_RELATIVE_PERIOD", O$10, "EQY_FUND_CRNCY", CURRENCY, "EQY_CONSOLIDATED", DataH!$D$18, "Fill=B")</f>
        <v>6.3071428571428569</v>
      </c>
      <c r="P33" s="538">
        <f>_xll.BDP(TICKER&amp;" EQUITY",$F33, "EQY_FUND_RELATIVE_PERIOD", P$10, "EQY_FUND_CRNCY", CURRENCY, "EQY_CONSOLIDATED", DataH!$D$18, "Fill=B")</f>
        <v>5.6785714285714288</v>
      </c>
      <c r="Q33" s="539">
        <f>_xll.BDP(TICKER&amp;" EQUITY",$F33, "EQY_FUND_RELATIVE_PERIOD", Q$10, "EQY_FUND_CRNCY", CURRENCY, "EQY_CONSOLIDATED", DataH!$D$18, "Fill=B")</f>
        <v>6.45</v>
      </c>
      <c r="R33" s="540"/>
      <c r="S33" s="541"/>
      <c r="T33" s="542"/>
      <c r="U33" s="216"/>
      <c r="V33" s="216"/>
    </row>
    <row r="34" spans="2:24" ht="15" customHeight="1">
      <c r="B34" s="866"/>
      <c r="C34" s="867"/>
      <c r="D34" s="867"/>
      <c r="E34" s="868"/>
      <c r="F34" s="529"/>
      <c r="G34" s="529"/>
      <c r="H34" s="529"/>
      <c r="I34" s="529"/>
      <c r="J34" s="529"/>
      <c r="K34" s="529"/>
      <c r="L34" s="529"/>
      <c r="M34" s="529"/>
      <c r="N34" s="529"/>
      <c r="O34" s="529"/>
      <c r="P34" s="529"/>
      <c r="Q34" s="529"/>
      <c r="R34" s="545"/>
      <c r="S34" s="545"/>
      <c r="T34" s="546"/>
      <c r="U34" s="216"/>
      <c r="V34" s="216"/>
    </row>
    <row r="35" spans="2:24" ht="15" customHeight="1">
      <c r="B35" s="841" t="str">
        <f>IF(Lang="English", "Net Income Adjusted*", IF(Lang="中文","調整後淨利潤*","予想比較 調整済純利益"))</f>
        <v>Net Income Adjusted*</v>
      </c>
      <c r="C35" s="842"/>
      <c r="D35" s="842"/>
      <c r="E35" s="843"/>
      <c r="F35" s="129" t="s">
        <v>507</v>
      </c>
      <c r="G35" s="344">
        <f>_xll.BDP(TICKER&amp;" EQUITY",$F35, "EQY_FUND_RELATIVE_PERIOD", G$10, "EQY_FUND_CRNCY", CURRENCY, "EQY_CONSOLIDATED", DataH!$D$18, "Fill=B")</f>
        <v>290</v>
      </c>
      <c r="H35" s="344">
        <f>_xll.BDP(TICKER&amp;" EQUITY",$F35, "EQY_FUND_RELATIVE_PERIOD", H$10, "EQY_FUND_CRNCY", CURRENCY, "EQY_CONSOLIDATED", DataH!$D$18, "Fill=B")</f>
        <v>1335</v>
      </c>
      <c r="I35" s="344">
        <f>_xll.BDP(TICKER&amp;" EQUITY",$F35, "EQY_FUND_RELATIVE_PERIOD", I$10, "EQY_FUND_CRNCY", CURRENCY, "EQY_CONSOLIDATED", DataH!$D$18, "Fill=B")</f>
        <v>1993</v>
      </c>
      <c r="J35" s="344">
        <f>_xll.BDP(TICKER&amp;" EQUITY",$F35, "EQY_FUND_RELATIVE_PERIOD", J$10, "EQY_FUND_CRNCY", CURRENCY, "EQY_CONSOLIDATED", DataH!$D$18, "Fill=B")</f>
        <v>3496</v>
      </c>
      <c r="K35" s="344">
        <f>_xll.BDP(TICKER&amp;" EQUITY",$F35, "EQY_FUND_RELATIVE_PERIOD", K$10, "EQY_FUND_CRNCY", CURRENCY, "EQY_CONSOLIDATED", DataH!$D$18, "Fill=B")</f>
        <v>4834</v>
      </c>
      <c r="L35" s="344">
        <f>_xll.BDP(TICKER&amp;" EQUITY",$F35, "EQY_FUND_RELATIVE_PERIOD", L$10, "EQY_FUND_CRNCY", CURRENCY, "EQY_CONSOLIDATED", DataH!$D$18, "Fill=B")</f>
        <v>5704</v>
      </c>
      <c r="M35" s="344">
        <f>_xll.BDP(TICKER&amp;" EQUITY",$F35, "EQY_FUND_RELATIVE_PERIOD", M$10, "EQY_FUND_CRNCY", CURRENCY, "EQY_CONSOLIDATED", DataH!$D$18, "Fill=B")</f>
        <v>14013</v>
      </c>
      <c r="N35" s="344">
        <f>_xll.BDP(TICKER&amp;" EQUITY",$F35, "EQY_FUND_RELATIVE_PERIOD", N$10, "EQY_FUND_CRNCY", CURRENCY, "EQY_CONSOLIDATED", DataH!$D$18, "Fill=B")</f>
        <v>25922</v>
      </c>
      <c r="O35" s="344">
        <f>_xll.BDP(TICKER&amp;" EQUITY",$F35, "EQY_FUND_RELATIVE_PERIOD", O$10, "EQY_FUND_CRNCY", CURRENCY, "EQY_CONSOLIDATED", DataH!$D$18, "Fill=B")</f>
        <v>41733</v>
      </c>
      <c r="P35" s="344">
        <f>_xll.BDP(TICKER&amp;" EQUITY",$F35, "EQY_FUND_RELATIVE_PERIOD", P$10, "EQY_FUND_CRNCY", CURRENCY, "EQY_CONSOLIDATED", DataH!$D$18, "Fill=B")</f>
        <v>37037</v>
      </c>
      <c r="Q35" s="345">
        <f>_xll.BDP(TICKER&amp;" EQUITY",$F35, "EQY_FUND_RELATIVE_PERIOD", Q$10, "EQY_FUND_CRNCY", CURRENCY, "EQY_CONSOLIDATED", DataH!$D$18, "Fill=B")</f>
        <v>39510</v>
      </c>
      <c r="R35" s="523">
        <f>_xll.BDP(TICKER&amp;" EQUITY",$U35, "BEST_FPERIOD_OVERRIDE", R$10, "EQY_FUND_CRNCY", CURRENCY, "BEST_CONSOLIDATED_OVERRIDE", DataH!$D$19, "Fill=B")</f>
        <v>53138.8</v>
      </c>
      <c r="S35" s="524">
        <f>_xll.BDP(TICKER&amp;" EQUITY",$U35, "BEST_FPERIOD_OVERRIDE", S$10, "EQY_FUND_CRNCY", CURRENCY, "BEST_CONSOLIDATED_OVERRIDE", DataH!$D$19, "Fill=B")</f>
        <v>54529.075000000004</v>
      </c>
      <c r="T35" s="525">
        <f>_xll.BDP(TICKER&amp;" EQUITY",$U35, "BEST_FPERIOD_OVERRIDE", T$10, "EQY_FUND_CRNCY", CURRENCY, "BEST_CONSOLIDATED_OVERRIDE", DataH!$D$19, "Fill=B")</f>
        <v>57793.222000000002</v>
      </c>
      <c r="U35" s="216" t="s">
        <v>519</v>
      </c>
      <c r="V35" s="216"/>
      <c r="W35" s="216"/>
      <c r="X35" s="216"/>
    </row>
    <row r="36" spans="2:24" ht="15" customHeight="1">
      <c r="B36" s="862" t="str">
        <f>IF(Lang="English", "EPS Adjusted", IF(Lang="中文","調整後每股收益","予想比較 調整済EPS"))</f>
        <v>EPS Adjusted</v>
      </c>
      <c r="C36" s="767"/>
      <c r="D36" s="767"/>
      <c r="E36" s="768"/>
      <c r="F36" s="129" t="s">
        <v>506</v>
      </c>
      <c r="G36" s="348">
        <f>_xll.BDP(TICKER&amp;" EQUITY",$F36, "EQY_FUND_RELATIVE_PERIOD", G$10, "EQY_FUND_CRNCY", CURRENCY, "EQY_CONSOLIDATED", DataH!$D$18, "Fill=B")</f>
        <v>5.3571428571428568E-2</v>
      </c>
      <c r="H36" s="348">
        <f>_xll.BDP(TICKER&amp;" EQUITY",$F36, "EQY_FUND_RELATIVE_PERIOD", H$10, "EQY_FUND_CRNCY", CURRENCY, "EQY_CONSOLIDATED", DataH!$D$18, "Fill=B")</f>
        <v>0.22285714285714286</v>
      </c>
      <c r="I36" s="348">
        <f>_xll.BDP(TICKER&amp;" EQUITY",$F36, "EQY_FUND_RELATIVE_PERIOD", I$10, "EQY_FUND_CRNCY", CURRENCY, "EQY_CONSOLIDATED", DataH!$D$18, "Fill=B")</f>
        <v>0.32428571428571429</v>
      </c>
      <c r="J36" s="348">
        <f>_xll.BDP(TICKER&amp;" EQUITY",$F36, "EQY_FUND_RELATIVE_PERIOD", J$10, "EQY_FUND_CRNCY", CURRENCY, "EQY_CONSOLIDATED", DataH!$D$18, "Fill=B")</f>
        <v>0.5614285714285715</v>
      </c>
      <c r="K36" s="348">
        <f>_xll.BDP(TICKER&amp;" EQUITY",$F36, "EQY_FUND_RELATIVE_PERIOD", K$10, "EQY_FUND_CRNCY", CURRENCY, "EQY_CONSOLIDATED", DataH!$D$18, "Fill=B")</f>
        <v>0.76571428571428579</v>
      </c>
      <c r="L36" s="348">
        <f>_xll.BDP(TICKER&amp;" EQUITY",$F36, "EQY_FUND_RELATIVE_PERIOD", L$10, "EQY_FUND_CRNCY", CURRENCY, "EQY_CONSOLIDATED", DataH!$D$18, "Fill=B")</f>
        <v>0.89857142857142858</v>
      </c>
      <c r="M36" s="348">
        <f>_xll.BDP(TICKER&amp;" EQUITY",$F36, "EQY_FUND_RELATIVE_PERIOD", M$10, "EQY_FUND_CRNCY", CURRENCY, "EQY_CONSOLIDATED", DataH!$D$18, "Fill=B")</f>
        <v>2.1642857142857141</v>
      </c>
      <c r="N36" s="348">
        <f>_xll.BDP(TICKER&amp;" EQUITY",$F36, "EQY_FUND_RELATIVE_PERIOD", N$10, "EQY_FUND_CRNCY", CURRENCY, "EQY_CONSOLIDATED", DataH!$D$18, "Fill=B")</f>
        <v>3.9542857142857142</v>
      </c>
      <c r="O36" s="348">
        <f>_xll.BDP(TICKER&amp;" EQUITY",$F36, "EQY_FUND_RELATIVE_PERIOD", O$10, "EQY_FUND_CRNCY", CURRENCY, "EQY_CONSOLIDATED", DataH!$D$18, "Fill=B")</f>
        <v>6.3071428571428569</v>
      </c>
      <c r="P36" s="348">
        <f>_xll.BDP(TICKER&amp;" EQUITY",$F36, "EQY_FUND_RELATIVE_PERIOD", P$10, "EQY_FUND_CRNCY", CURRENCY, "EQY_CONSOLIDATED", DataH!$D$18, "Fill=B")</f>
        <v>5.6785714285714288</v>
      </c>
      <c r="Q36" s="349">
        <f>_xll.BDP(TICKER&amp;" EQUITY",$F36, "EQY_FUND_RELATIVE_PERIOD", Q$10, "EQY_FUND_CRNCY", CURRENCY, "EQY_CONSOLIDATED", DataH!$D$18, "Fill=B")</f>
        <v>6.45</v>
      </c>
      <c r="R36" s="526">
        <f>_xll.BDP(TICKER&amp;" EQUITY",$U36, "BEST_FPERIOD_OVERRIDE", R$10, "EQY_FUND_CRNCY", CURRENCY, "BEST_CONSOLIDATED_OVERRIDE", DataH!$D$19, "Fill=B")</f>
        <v>9.1310000000000002</v>
      </c>
      <c r="S36" s="527">
        <f>_xll.BDP(TICKER&amp;" EQUITY",$U36, "BEST_FPERIOD_OVERRIDE", S$10, "EQY_FUND_CRNCY", CURRENCY, "BEST_CONSOLIDATED_OVERRIDE", DataH!$D$19, "Fill=B")</f>
        <v>9.7580000000000009</v>
      </c>
      <c r="T36" s="528">
        <f>_xll.BDP(TICKER&amp;" EQUITY",$U36, "BEST_FPERIOD_OVERRIDE", T$10, "EQY_FUND_CRNCY", CURRENCY, "BEST_CONSOLIDATED_OVERRIDE", DataH!$D$19, "Fill=B")</f>
        <v>10.738</v>
      </c>
      <c r="U36" s="216" t="s">
        <v>514</v>
      </c>
      <c r="V36" s="216"/>
      <c r="W36" s="216"/>
      <c r="X36" s="216"/>
    </row>
    <row r="37" spans="2:24" ht="15" customHeight="1">
      <c r="B37" s="862" t="str">
        <f>IF(Lang="English", "Dividends Per Share", IF(Lang="中文","每股股利","1株当り配当"))</f>
        <v>Dividends Per Share</v>
      </c>
      <c r="C37" s="767"/>
      <c r="D37" s="767"/>
      <c r="E37" s="768"/>
      <c r="F37" s="129" t="s">
        <v>505</v>
      </c>
      <c r="G37" s="348">
        <f>_xll.BDP(TICKER&amp;" EQUITY",$F37, "EQY_FUND_RELATIVE_PERIOD", G$10, "EQY_FUND_CRNCY", CURRENCY, "EQY_CONSOLIDATED", DataH!$D$18, "Fill=B")</f>
        <v>0</v>
      </c>
      <c r="H37" s="348">
        <f>_xll.BDP(TICKER&amp;" EQUITY",$F37, "EQY_FUND_RELATIVE_PERIOD", H$10, "EQY_FUND_CRNCY", CURRENCY, "EQY_CONSOLIDATED", DataH!$D$18, "Fill=B")</f>
        <v>0</v>
      </c>
      <c r="I37" s="348">
        <f>_xll.BDP(TICKER&amp;" EQUITY",$F37, "EQY_FUND_RELATIVE_PERIOD", I$10, "EQY_FUND_CRNCY", CURRENCY, "EQY_CONSOLIDATED", DataH!$D$18, "Fill=B")</f>
        <v>0</v>
      </c>
      <c r="J37" s="348">
        <f>_xll.BDP(TICKER&amp;" EQUITY",$F37, "EQY_FUND_RELATIVE_PERIOD", J$10, "EQY_FUND_CRNCY", CURRENCY, "EQY_CONSOLIDATED", DataH!$D$18, "Fill=B")</f>
        <v>0</v>
      </c>
      <c r="K37" s="348">
        <f>_xll.BDP(TICKER&amp;" EQUITY",$F37, "EQY_FUND_RELATIVE_PERIOD", K$10, "EQY_FUND_CRNCY", CURRENCY, "EQY_CONSOLIDATED", DataH!$D$18, "Fill=B")</f>
        <v>0</v>
      </c>
      <c r="L37" s="348">
        <f>_xll.BDP(TICKER&amp;" EQUITY",$F37, "EQY_FUND_RELATIVE_PERIOD", L$10, "EQY_FUND_CRNCY", CURRENCY, "EQY_CONSOLIDATED", DataH!$D$18, "Fill=B")</f>
        <v>0</v>
      </c>
      <c r="M37" s="348">
        <f>_xll.BDP(TICKER&amp;" EQUITY",$F37, "EQY_FUND_RELATIVE_PERIOD", M$10, "EQY_FUND_CRNCY", CURRENCY, "EQY_CONSOLIDATED", DataH!$D$18, "Fill=B")</f>
        <v>0</v>
      </c>
      <c r="N37" s="348">
        <f>_xll.BDP(TICKER&amp;" EQUITY",$F37, "EQY_FUND_RELATIVE_PERIOD", N$10, "EQY_FUND_CRNCY", CURRENCY, "EQY_CONSOLIDATED", DataH!$D$18, "Fill=B")</f>
        <v>0</v>
      </c>
      <c r="O37" s="348">
        <f>_xll.BDP(TICKER&amp;" EQUITY",$F37, "EQY_FUND_RELATIVE_PERIOD", O$10, "EQY_FUND_CRNCY", CURRENCY, "EQY_CONSOLIDATED", DataH!$D$18, "Fill=B")</f>
        <v>0.37857142857142856</v>
      </c>
      <c r="P37" s="348">
        <f>_xll.BDP(TICKER&amp;" EQUITY",$F37, "EQY_FUND_RELATIVE_PERIOD", P$10, "EQY_FUND_CRNCY", CURRENCY, "EQY_CONSOLIDATED", DataH!$D$18, "Fill=B")</f>
        <v>1.6285714285714286</v>
      </c>
      <c r="Q37" s="349">
        <f>_xll.BDP(TICKER&amp;" EQUITY",$F37, "EQY_FUND_RELATIVE_PERIOD", Q$10, "EQY_FUND_CRNCY", CURRENCY, "EQY_CONSOLIDATED", DataH!$D$18, "Fill=B")</f>
        <v>1.82</v>
      </c>
      <c r="R37" s="526">
        <f>_xll.BDP(TICKER&amp;" EQUITY",$U37, "BEST_FPERIOD_OVERRIDE", R$10, "EQY_FUND_CRNCY", CURRENCY, "BEST_CONSOLIDATED_OVERRIDE", DataH!$D$19, "Fill=B")</f>
        <v>1.9830000000000001</v>
      </c>
      <c r="S37" s="527">
        <f>_xll.BDP(TICKER&amp;" EQUITY",$U37, "BEST_FPERIOD_OVERRIDE", S$10, "EQY_FUND_CRNCY", CURRENCY, "BEST_CONSOLIDATED_OVERRIDE", DataH!$D$19, "Fill=B")</f>
        <v>2.161</v>
      </c>
      <c r="T37" s="528">
        <f>_xll.BDP(TICKER&amp;" EQUITY",$U37, "BEST_FPERIOD_OVERRIDE", T$10, "EQY_FUND_CRNCY", CURRENCY, "BEST_CONSOLIDATED_OVERRIDE", DataH!$D$19, "Fill=B")</f>
        <v>2.3650000000000002</v>
      </c>
      <c r="U37" s="216" t="s">
        <v>515</v>
      </c>
      <c r="V37" s="216"/>
    </row>
    <row r="38" spans="2:24" ht="15" customHeight="1">
      <c r="B38" s="862" t="str">
        <f>IF(Lang="English", "                Payout Ratio %",IF(Lang="中文", "               股利支付比 %","　　　配当性向% "))</f>
        <v xml:space="preserve">                Payout Ratio %</v>
      </c>
      <c r="C38" s="767"/>
      <c r="D38" s="767"/>
      <c r="E38" s="768"/>
      <c r="F38" s="129" t="s">
        <v>504</v>
      </c>
      <c r="G38" s="348">
        <f>_xll.BDP(TICKER&amp;" EQUITY",$F38, "EQY_FUND_RELATIVE_PERIOD", G$10, "EQY_FUND_CRNCY", CURRENCY, "EQY_CONSOLIDATED", DataH!$D$18, "Fill=B")</f>
        <v>0</v>
      </c>
      <c r="H38" s="348">
        <f>_xll.BDP(TICKER&amp;" EQUITY",$F38, "EQY_FUND_RELATIVE_PERIOD", H$10, "EQY_FUND_CRNCY", CURRENCY, "EQY_CONSOLIDATED", DataH!$D$18, "Fill=B")</f>
        <v>0</v>
      </c>
      <c r="I38" s="348">
        <f>_xll.BDP(TICKER&amp;" EQUITY",$F38, "EQY_FUND_RELATIVE_PERIOD", I$10, "EQY_FUND_CRNCY", CURRENCY, "EQY_CONSOLIDATED", DataH!$D$18, "Fill=B")</f>
        <v>0</v>
      </c>
      <c r="J38" s="348">
        <f>_xll.BDP(TICKER&amp;" EQUITY",$F38, "EQY_FUND_RELATIVE_PERIOD", J$10, "EQY_FUND_CRNCY", CURRENCY, "EQY_CONSOLIDATED", DataH!$D$18, "Fill=B")</f>
        <v>0</v>
      </c>
      <c r="K38" s="348">
        <f>_xll.BDP(TICKER&amp;" EQUITY",$F38, "EQY_FUND_RELATIVE_PERIOD", K$10, "EQY_FUND_CRNCY", CURRENCY, "EQY_CONSOLIDATED", DataH!$D$18, "Fill=B")</f>
        <v>0</v>
      </c>
      <c r="L38" s="348">
        <f>_xll.BDP(TICKER&amp;" EQUITY",$F38, "EQY_FUND_RELATIVE_PERIOD", L$10, "EQY_FUND_CRNCY", CURRENCY, "EQY_CONSOLIDATED", DataH!$D$18, "Fill=B")</f>
        <v>0</v>
      </c>
      <c r="M38" s="348">
        <f>_xll.BDP(TICKER&amp;" EQUITY",$F38, "EQY_FUND_RELATIVE_PERIOD", M$10, "EQY_FUND_CRNCY", CURRENCY, "EQY_CONSOLIDATED", DataH!$D$18, "Fill=B")</f>
        <v>0</v>
      </c>
      <c r="N38" s="348">
        <f>_xll.BDP(TICKER&amp;" EQUITY",$F38, "EQY_FUND_RELATIVE_PERIOD", N$10, "EQY_FUND_CRNCY", CURRENCY, "EQY_CONSOLIDATED", DataH!$D$18, "Fill=B")</f>
        <v>0</v>
      </c>
      <c r="O38" s="348">
        <f>_xll.BDP(TICKER&amp;" EQUITY",$F38, "EQY_FUND_RELATIVE_PERIOD", O$10, "EQY_FUND_CRNCY", CURRENCY, "EQY_CONSOLIDATED", DataH!$D$18, "Fill=B")</f>
        <v>5.9359923801308314</v>
      </c>
      <c r="P38" s="348">
        <f>_xll.BDP(TICKER&amp;" EQUITY",$F38, "EQY_FUND_RELATIVE_PERIOD", P$10, "EQY_FUND_CRNCY", CURRENCY, "EQY_CONSOLIDATED", DataH!$D$18, "Fill=B")</f>
        <v>28.481716661716661</v>
      </c>
      <c r="Q38" s="349">
        <f>_xll.BDP(TICKER&amp;" EQUITY",$F38, "EQY_FUND_RELATIVE_PERIOD", Q$10, "EQY_FUND_CRNCY", CURRENCY, "EQY_CONSOLIDATED", DataH!$D$18, "Fill=B")</f>
        <v>27.919514047076689</v>
      </c>
      <c r="R38" s="526">
        <f>_xll.BDP(TICKER&amp;" EQUITY",$U38, "BEST_FPERIOD_OVERRIDE", R$10, "EQY_FUND_CRNCY", CURRENCY, "BEST_CONSOLIDATED_OVERRIDE", DataH!$D$19, "Fill=B")</f>
        <v>0.2171722702880298</v>
      </c>
      <c r="S38" s="527">
        <f>_xll.BDP(TICKER&amp;" EQUITY",$U38, "BEST_FPERIOD_OVERRIDE", S$10, "EQY_FUND_CRNCY", CURRENCY, "BEST_CONSOLIDATED_OVERRIDE", DataH!$D$19, "Fill=B")</f>
        <v>0.22145931543349046</v>
      </c>
      <c r="T38" s="528">
        <f>_xll.BDP(TICKER&amp;" EQUITY",$U38, "BEST_FPERIOD_OVERRIDE", T$10, "EQY_FUND_CRNCY", CURRENCY, "BEST_CONSOLIDATED_OVERRIDE", DataH!$D$19, "Fill=B")</f>
        <v>0.22024585583907622</v>
      </c>
      <c r="U38" s="216" t="s">
        <v>520</v>
      </c>
      <c r="V38" s="216"/>
    </row>
    <row r="39" spans="2:24" ht="15" customHeight="1">
      <c r="B39" s="866"/>
      <c r="C39" s="867"/>
      <c r="D39" s="867"/>
      <c r="E39" s="868"/>
      <c r="F39" s="529"/>
      <c r="G39" s="529"/>
      <c r="H39" s="529"/>
      <c r="I39" s="529"/>
      <c r="J39" s="529"/>
      <c r="K39" s="529"/>
      <c r="L39" s="529"/>
      <c r="M39" s="529"/>
      <c r="N39" s="529"/>
      <c r="O39" s="529"/>
      <c r="P39" s="529"/>
      <c r="Q39" s="529"/>
      <c r="R39" s="543"/>
      <c r="S39" s="543"/>
      <c r="T39" s="544"/>
      <c r="U39" s="216"/>
      <c r="V39" s="216"/>
    </row>
    <row r="40" spans="2:24" ht="15" customHeight="1">
      <c r="B40" s="862" t="str">
        <f>IF(Lang="English", "Total Shares Outstanding", IF(Lang="中文","總流通股數","発行済株式数"))</f>
        <v>Total Shares Outstanding</v>
      </c>
      <c r="C40" s="767"/>
      <c r="D40" s="767"/>
      <c r="E40" s="768"/>
      <c r="F40" s="129" t="s">
        <v>503</v>
      </c>
      <c r="G40" s="502">
        <f>_xll.BDP(TICKER&amp;" EQUITY",$F40, "EQY_FUND_RELATIVE_PERIOD", G$10, "EQY_FUND_CRNCY", CURRENCY, "EQY_CONSOLIDATED", DataH!$D$18, "Fill=B")</f>
        <v>5480.2106380000005</v>
      </c>
      <c r="H40" s="502">
        <f>_xll.BDP(TICKER&amp;" EQUITY",$F40, "EQY_FUND_RELATIVE_PERIOD", H$10, "EQY_FUND_CRNCY", CURRENCY, "EQY_CONSOLIDATED", DataH!$D$18, "Fill=B")</f>
        <v>5845.1355480000002</v>
      </c>
      <c r="I40" s="502">
        <f>_xll.BDP(TICKER&amp;" EQUITY",$F40, "EQY_FUND_RELATIVE_PERIOD", I$10, "EQY_FUND_CRNCY", CURRENCY, "EQY_CONSOLIDATED", DataH!$D$18, "Fill=B")</f>
        <v>5986.8379759999998</v>
      </c>
      <c r="J40" s="502">
        <f>_xll.BDP(TICKER&amp;" EQUITY",$F40, "EQY_FUND_RELATIVE_PERIOD", J$10, "EQY_FUND_CRNCY", CURRENCY, "EQY_CONSOLIDATED", DataH!$D$18, "Fill=B")</f>
        <v>6106.3028039999999</v>
      </c>
      <c r="K40" s="502">
        <f>_xll.BDP(TICKER&amp;" EQUITY",$F40, "EQY_FUND_RELATIVE_PERIOD", K$10, "EQY_FUND_CRNCY", CURRENCY, "EQY_CONSOLIDATED", DataH!$D$18, "Fill=B")</f>
        <v>6218.2818109999998</v>
      </c>
      <c r="L40" s="502">
        <f>_xll.BDP(TICKER&amp;" EQUITY",$F40, "EQY_FUND_RELATIVE_PERIOD", L$10, "EQY_FUND_CRNCY", CURRENCY, "EQY_CONSOLIDATED", DataH!$D$18, "Fill=B")</f>
        <v>6298.6385</v>
      </c>
      <c r="M40" s="502">
        <f>_xll.BDP(TICKER&amp;" EQUITY",$F40, "EQY_FUND_RELATIVE_PERIOD", M$10, "EQY_FUND_CRNCY", CURRENCY, "EQY_CONSOLIDATED", DataH!$D$18, "Fill=B")</f>
        <v>6411.7903500000002</v>
      </c>
      <c r="N40" s="502">
        <f>_xll.BDP(TICKER&amp;" EQUITY",$F40, "EQY_FUND_RELATIVE_PERIOD", N$10, "EQY_FUND_CRNCY", CURRENCY, "EQY_CONSOLIDATED", DataH!$D$18, "Fill=B")</f>
        <v>6504.9390000000003</v>
      </c>
      <c r="O40" s="502">
        <f>_xll.BDP(TICKER&amp;" EQUITY",$F40, "EQY_FUND_RELATIVE_PERIOD", O$10, "EQY_FUND_CRNCY", CURRENCY, "EQY_CONSOLIDATED", DataH!$D$18, "Fill=B")</f>
        <v>6574.4560000000001</v>
      </c>
      <c r="P40" s="502">
        <f>_xll.BDP(TICKER&amp;" EQUITY",$F40, "EQY_FUND_RELATIVE_PERIOD", P$10, "EQY_FUND_CRNCY", CURRENCY, "EQY_CONSOLIDATED", DataH!$D$18, "Fill=B")</f>
        <v>6294.491</v>
      </c>
      <c r="Q40" s="503">
        <f>_xll.BDP(TICKER&amp;" EQUITY",$F40, "EQY_FUND_RELATIVE_PERIOD", Q$10, "EQY_FUND_CRNCY", CURRENCY, "EQY_CONSOLIDATED", DataH!$D$18, "Fill=B")</f>
        <v>5866.1610000000001</v>
      </c>
      <c r="R40" s="523"/>
      <c r="S40" s="524"/>
      <c r="T40" s="525"/>
      <c r="U40" s="216"/>
      <c r="V40" s="216"/>
    </row>
    <row r="41" spans="2:24" ht="15" customHeight="1">
      <c r="B41" s="862" t="str">
        <f>IF(Lang="English", "Diluted Shares Outstanding", IF(Lang="中文","稀釋後在外流通股數","加重平均株式数(希薄化後)"))</f>
        <v>Diluted Shares Outstanding</v>
      </c>
      <c r="C41" s="767"/>
      <c r="D41" s="767"/>
      <c r="E41" s="768"/>
      <c r="F41" s="129" t="s">
        <v>502</v>
      </c>
      <c r="G41" s="344">
        <f>_xll.BDP(TICKER&amp;" EQUITY",$F41, "EQY_FUND_RELATIVE_PERIOD", G$10, "EQY_FUND_CRNCY", CURRENCY, "EQY_CONSOLIDATED", DataH!$D$18, "Fill=B")</f>
        <v>5422.3539999999985</v>
      </c>
      <c r="H41" s="344">
        <f>_xll.BDP(TICKER&amp;" EQUITY",$F41, "EQY_FUND_RELATIVE_PERIOD", H$10, "EQY_FUND_CRNCY", CURRENCY, "EQY_CONSOLIDATED", DataH!$D$18, "Fill=B")</f>
        <v>5997.46</v>
      </c>
      <c r="I41" s="344">
        <f>_xll.BDP(TICKER&amp;" EQUITY",$F41, "EQY_FUND_RELATIVE_PERIOD", I$10, "EQY_FUND_CRNCY", CURRENCY, "EQY_CONSOLIDATED", DataH!$D$18, "Fill=B")</f>
        <v>6142.6819999999998</v>
      </c>
      <c r="J41" s="344">
        <f>_xll.BDP(TICKER&amp;" EQUITY",$F41, "EQY_FUND_RELATIVE_PERIOD", J$10, "EQY_FUND_CRNCY", CURRENCY, "EQY_CONSOLIDATED", DataH!$D$18, "Fill=B")</f>
        <v>6225.0439999999999</v>
      </c>
      <c r="K41" s="344">
        <f>_xll.BDP(TICKER&amp;" EQUITY",$F41, "EQY_FUND_RELATIVE_PERIOD", K$10, "EQY_FUND_CRNCY", CURRENCY, "EQY_CONSOLIDATED", DataH!$D$18, "Fill=B")</f>
        <v>6314.973</v>
      </c>
      <c r="L41" s="344">
        <f>_xll.BDP(TICKER&amp;" EQUITY",$F41, "EQY_FUND_RELATIVE_PERIOD", L$10, "EQY_FUND_CRNCY", CURRENCY, "EQY_CONSOLIDATED", DataH!$D$18, "Fill=B")</f>
        <v>6349.0349999999999</v>
      </c>
      <c r="M41" s="344">
        <f>_xll.BDP(TICKER&amp;" EQUITY",$F41, "EQY_FUND_RELATIVE_PERIOD", M$10, "EQY_FUND_CRNCY", CURRENCY, "EQY_CONSOLIDATED", DataH!$D$18, "Fill=B")</f>
        <v>6472.9839999999995</v>
      </c>
      <c r="N41" s="344">
        <f>_xll.BDP(TICKER&amp;" EQUITY",$F41, "EQY_FUND_RELATIVE_PERIOD", N$10, "EQY_FUND_CRNCY", CURRENCY, "EQY_CONSOLIDATED", DataH!$D$18, "Fill=B")</f>
        <v>6556.5149999999985</v>
      </c>
      <c r="O41" s="344">
        <f>_xll.BDP(TICKER&amp;" EQUITY",$F41, "EQY_FUND_RELATIVE_PERIOD", O$10, "EQY_FUND_CRNCY", CURRENCY, "EQY_CONSOLIDATED", DataH!$D$18, "Fill=B")</f>
        <v>6617.4850000000006</v>
      </c>
      <c r="P41" s="344">
        <f>_xll.BDP(TICKER&amp;" EQUITY",$F41, "EQY_FUND_RELATIVE_PERIOD", P$10, "EQY_FUND_CRNCY", CURRENCY, "EQY_CONSOLIDATED", DataH!$D$18, "Fill=B")</f>
        <v>6521.634</v>
      </c>
      <c r="Q41" s="345">
        <f>_xll.BDP(TICKER&amp;" EQUITY",$F41, "EQY_FUND_RELATIVE_PERIOD", Q$10, "EQY_FUND_CRNCY", CURRENCY, "EQY_CONSOLIDATED", DataH!$D$18, "Fill=B")</f>
        <v>6122.6629999999996</v>
      </c>
      <c r="R41" s="523"/>
      <c r="S41" s="524"/>
      <c r="T41" s="525"/>
      <c r="U41" s="216"/>
      <c r="V41" s="216"/>
    </row>
    <row r="42" spans="2:24" ht="15" customHeight="1">
      <c r="B42" s="866"/>
      <c r="C42" s="867"/>
      <c r="D42" s="867"/>
      <c r="E42" s="868"/>
      <c r="F42" s="529"/>
      <c r="G42" s="529"/>
      <c r="H42" s="529"/>
      <c r="I42" s="529"/>
      <c r="J42" s="529"/>
      <c r="K42" s="529"/>
      <c r="L42" s="529"/>
      <c r="M42" s="529"/>
      <c r="N42" s="529"/>
      <c r="O42" s="529"/>
      <c r="P42" s="529"/>
      <c r="Q42" s="529"/>
      <c r="R42" s="545"/>
      <c r="S42" s="545"/>
      <c r="T42" s="546"/>
      <c r="U42" s="216"/>
      <c r="V42" s="216"/>
    </row>
    <row r="43" spans="2:24" ht="15" customHeight="1">
      <c r="B43" s="859" t="str">
        <f>IF(Lang="English", "EBITDA", IF(Lang="中文","息稅折舊攤銷前盈餘(EBITDA","EBITDA"))</f>
        <v>EBITDA</v>
      </c>
      <c r="C43" s="860"/>
      <c r="D43" s="860"/>
      <c r="E43" s="861"/>
      <c r="F43" s="126" t="s">
        <v>455</v>
      </c>
      <c r="G43" s="342">
        <f>_xll.BDP(TICKER&amp;" EQUITY",$F43, "EQY_FUND_RELATIVE_PERIOD", G$10, "EQY_FUND_CRNCY", CURRENCY, "EQY_CONSOLIDATED", DataH!$D$18, "Fill=B")</f>
        <v>499</v>
      </c>
      <c r="H43" s="342">
        <f>_xll.BDP(TICKER&amp;" EQUITY",$F43, "EQY_FUND_RELATIVE_PERIOD", H$10, "EQY_FUND_CRNCY", CURRENCY, "EQY_CONSOLIDATED", DataH!$D$18, "Fill=B")</f>
        <v>1829</v>
      </c>
      <c r="I43" s="342">
        <f>_xll.BDP(TICKER&amp;" EQUITY",$F43, "EQY_FUND_RELATIVE_PERIOD", I$10, "EQY_FUND_CRNCY", CURRENCY, "EQY_CONSOLIDATED", DataH!$D$18, "Fill=B")</f>
        <v>2678</v>
      </c>
      <c r="J43" s="342">
        <f>_xll.BDP(TICKER&amp;" EQUITY",$F43, "EQY_FUND_RELATIVE_PERIOD", J$10, "EQY_FUND_CRNCY", CURRENCY, "EQY_CONSOLIDATED", DataH!$D$18, "Fill=B")</f>
        <v>4734</v>
      </c>
      <c r="K43" s="342">
        <f>_xll.BDP(TICKER&amp;" EQUITY",$F43, "EQY_FUND_RELATIVE_PERIOD", K$10, "EQY_FUND_CRNCY", CURRENCY, "EQY_CONSOLIDATED", DataH!$D$18, "Fill=B")</f>
        <v>8823</v>
      </c>
      <c r="L43" s="342">
        <f>_xll.BDP(TICKER&amp;" EQUITY",$F43, "EQY_FUND_RELATIVE_PERIOD", L$10, "EQY_FUND_CRNCY", CURRENCY, "EQY_CONSOLIDATED", DataH!$D$18, "Fill=B")</f>
        <v>12474</v>
      </c>
      <c r="M43" s="342">
        <f>_xll.BDP(TICKER&amp;" EQUITY",$F43, "EQY_FUND_RELATIVE_PERIOD", M$10, "EQY_FUND_CRNCY", CURRENCY, "EQY_CONSOLIDATED", DataH!$D$18, "Fill=B")</f>
        <v>19412</v>
      </c>
      <c r="N43" s="342">
        <f>_xll.BDP(TICKER&amp;" EQUITY",$F43, "EQY_FUND_RELATIVE_PERIOD", N$10, "EQY_FUND_CRNCY", CURRENCY, "EQY_CONSOLIDATED", DataH!$D$18, "Fill=B")</f>
        <v>35604</v>
      </c>
      <c r="O43" s="342">
        <f>_xll.BDP(TICKER&amp;" EQUITY",$F43, "EQY_FUND_RELATIVE_PERIOD", O$10, "EQY_FUND_CRNCY", CURRENCY, "EQY_CONSOLIDATED", DataH!$D$18, "Fill=B")</f>
        <v>58518</v>
      </c>
      <c r="P43" s="342">
        <f>_xll.BDP(TICKER&amp;" EQUITY",$F43, "EQY_FUND_RELATIVE_PERIOD", P$10, "EQY_FUND_CRNCY", CURRENCY, "EQY_CONSOLIDATED", DataH!$D$18, "Fill=B")</f>
        <v>55756</v>
      </c>
      <c r="Q43" s="343">
        <f>_xll.BDP(TICKER&amp;" EQUITY",$F43, "EQY_FUND_RELATIVE_PERIOD", Q$10, "EQY_FUND_CRNCY", CURRENCY, "EQY_CONSOLIDATED", DataH!$D$18, "Fill=B")</f>
        <v>60449</v>
      </c>
      <c r="R43" s="535">
        <f>_xll.BDP(TICKER&amp;" EQUITY",$U43, "BEST_FPERIOD_OVERRIDE", R$10, "EQY_FUND_CRNCY", CURRENCY, "BEST_CONSOLIDATED_OVERRIDE", DataH!$D$19, "Fill=B")</f>
        <v>81402.111000000004</v>
      </c>
      <c r="S43" s="536">
        <f>_xll.BDP(TICKER&amp;" EQUITY",$U43, "BEST_FPERIOD_OVERRIDE", S$10, "EQY_FUND_CRNCY", CURRENCY, "BEST_CONSOLIDATED_OVERRIDE", DataH!$D$19, "Fill=B")</f>
        <v>85131.111000000004</v>
      </c>
      <c r="T43" s="537">
        <f>_xll.BDP(TICKER&amp;" EQUITY",$U43, "BEST_FPERIOD_OVERRIDE", T$10, "EQY_FUND_CRNCY", CURRENCY, "BEST_CONSOLIDATED_OVERRIDE", DataH!$D$19, "Fill=B")</f>
        <v>87718.167000000001</v>
      </c>
      <c r="U43" s="216" t="s">
        <v>517</v>
      </c>
      <c r="V43" s="216"/>
    </row>
    <row r="44" spans="2:24" ht="15" customHeight="1">
      <c r="B44" s="866"/>
      <c r="C44" s="867"/>
      <c r="D44" s="867"/>
      <c r="E44" s="868"/>
      <c r="F44" s="529"/>
      <c r="G44" s="529"/>
      <c r="H44" s="529"/>
      <c r="I44" s="529"/>
      <c r="J44" s="529"/>
      <c r="K44" s="529"/>
      <c r="L44" s="529"/>
      <c r="M44" s="529"/>
      <c r="N44" s="529"/>
      <c r="O44" s="529"/>
      <c r="P44" s="529"/>
      <c r="Q44" s="529"/>
      <c r="R44" s="547"/>
      <c r="S44" s="547"/>
      <c r="T44" s="548"/>
      <c r="U44" s="216"/>
      <c r="V44" s="216"/>
    </row>
    <row r="45" spans="2:24" ht="15" customHeight="1">
      <c r="B45" s="875" t="str">
        <f>IF(Lang="English", "*Net income excludes extraordinary gains and losses and one-time charges.", IF(Lang="中文","*淨收入不包括非經常性損益和一次性收費.","一時的損益、非経常および異常損益または費用のすべてを含む。 "))</f>
        <v>*Net income excludes extraordinary gains and losses and one-time charges.</v>
      </c>
      <c r="C45" s="876"/>
      <c r="D45" s="876"/>
      <c r="E45" s="876"/>
      <c r="F45" s="876"/>
      <c r="G45" s="876"/>
      <c r="H45" s="876"/>
      <c r="I45" s="876"/>
      <c r="J45" s="876"/>
      <c r="K45" s="876"/>
      <c r="L45" s="876"/>
      <c r="M45" s="876"/>
      <c r="N45" s="876"/>
      <c r="O45" s="876"/>
      <c r="P45" s="876"/>
      <c r="Q45" s="876"/>
      <c r="R45" s="549"/>
      <c r="S45" s="549"/>
      <c r="T45" s="550"/>
      <c r="U45" s="216"/>
      <c r="V45" s="216"/>
    </row>
    <row r="46" spans="2:24" ht="5.0999999999999996" customHeight="1">
      <c r="E46" s="216"/>
      <c r="F46" s="216"/>
      <c r="G46" s="216"/>
      <c r="H46" s="216"/>
      <c r="I46" s="216"/>
      <c r="J46" s="216"/>
      <c r="K46" s="216"/>
      <c r="L46" s="216"/>
      <c r="M46" s="216"/>
      <c r="N46" s="216"/>
      <c r="O46" s="216"/>
      <c r="P46" s="216"/>
      <c r="Q46" s="216"/>
      <c r="R46" s="216"/>
      <c r="S46" s="216"/>
      <c r="T46" s="216"/>
      <c r="U46" s="216"/>
      <c r="V46" s="216"/>
    </row>
    <row r="47" spans="2:24" ht="15" customHeight="1">
      <c r="B47" s="872" t="str">
        <f>IF(Lang="English", "Balance Sheet", IF(Lang="中文","資產負債表","損益対照表"))</f>
        <v>Balance Sheet</v>
      </c>
      <c r="C47" s="873"/>
      <c r="D47" s="873"/>
      <c r="E47" s="873"/>
      <c r="F47" s="873"/>
      <c r="G47" s="873"/>
      <c r="H47" s="873"/>
      <c r="I47" s="873"/>
      <c r="J47" s="873"/>
      <c r="K47" s="873"/>
      <c r="L47" s="873"/>
      <c r="M47" s="873"/>
      <c r="N47" s="873"/>
      <c r="O47" s="873"/>
      <c r="P47" s="873"/>
      <c r="Q47" s="873"/>
      <c r="R47" s="873"/>
      <c r="S47" s="873"/>
      <c r="T47" s="874"/>
      <c r="U47" s="216"/>
      <c r="V47" s="216"/>
    </row>
    <row r="48" spans="2:24" ht="15" customHeight="1">
      <c r="B48" s="853" t="str">
        <f>IF(Lang="English", "Total Current Assets", IF(Lang="中文","流動資產總額","流動資産(報告額)"))</f>
        <v>Total Current Assets</v>
      </c>
      <c r="C48" s="854"/>
      <c r="D48" s="854"/>
      <c r="E48" s="855"/>
      <c r="F48" s="377" t="s">
        <v>501</v>
      </c>
      <c r="G48" s="500">
        <f>_xll.BDP(TICKER&amp;" EQUITY",$F48, "EQY_FUND_RELATIVE_PERIOD", G$10, "EQY_FUND_CRNCY", CURRENCY, "EQY_CONSOLIDATED", DataH!$D$18, "Fill=B")</f>
        <v>7055</v>
      </c>
      <c r="H48" s="500">
        <f>_xll.BDP(TICKER&amp;" EQUITY",$F48, "EQY_FUND_RELATIVE_PERIOD", H$10, "EQY_FUND_CRNCY", CURRENCY, "EQY_CONSOLIDATED", DataH!$D$18, "Fill=B")</f>
        <v>10300</v>
      </c>
      <c r="I48" s="500">
        <f>_xll.BDP(TICKER&amp;" EQUITY",$F48, "EQY_FUND_RELATIVE_PERIOD", I$10, "EQY_FUND_CRNCY", CURRENCY, "EQY_CONSOLIDATED", DataH!$D$18, "Fill=B")</f>
        <v>14509</v>
      </c>
      <c r="J48" s="500">
        <f>_xll.BDP(TICKER&amp;" EQUITY",$F48, "EQY_FUND_RELATIVE_PERIOD", J$10, "EQY_FUND_CRNCY", CURRENCY, "EQY_CONSOLIDATED", DataH!$D$18, "Fill=B")</f>
        <v>21701</v>
      </c>
      <c r="K48" s="500">
        <f>_xll.BDP(TICKER&amp;" EQUITY",$F48, "EQY_FUND_RELATIVE_PERIOD", K$10, "EQY_FUND_CRNCY", CURRENCY, "EQY_CONSOLIDATED", DataH!$D$18, "Fill=B")</f>
        <v>30006</v>
      </c>
      <c r="L48" s="500">
        <f>_xll.BDP(TICKER&amp;" EQUITY",$F48, "EQY_FUND_RELATIVE_PERIOD", L$10, "EQY_FUND_CRNCY", CURRENCY, "EQY_CONSOLIDATED", DataH!$D$18, "Fill=B")</f>
        <v>31555</v>
      </c>
      <c r="M48" s="500">
        <f>_xll.BDP(TICKER&amp;" EQUITY",$F48, "EQY_FUND_RELATIVE_PERIOD", M$10, "EQY_FUND_CRNCY", CURRENCY, "EQY_CONSOLIDATED", DataH!$D$18, "Fill=B")</f>
        <v>41678</v>
      </c>
      <c r="N48" s="500">
        <f>_xll.BDP(TICKER&amp;" EQUITY",$F48, "EQY_FUND_RELATIVE_PERIOD", N$10, "EQY_FUND_CRNCY", CURRENCY, "EQY_CONSOLIDATED", DataH!$D$18, "Fill=B")</f>
        <v>44988</v>
      </c>
      <c r="O48" s="500">
        <f>_xll.BDP(TICKER&amp;" EQUITY",$F48, "EQY_FUND_RELATIVE_PERIOD", O$10, "EQY_FUND_CRNCY", CURRENCY, "EQY_CONSOLIDATED", DataH!$D$18, "Fill=B")</f>
        <v>57653</v>
      </c>
      <c r="P48" s="500">
        <f>_xll.BDP(TICKER&amp;" EQUITY",$F48, "EQY_FUND_RELATIVE_PERIOD", P$10, "EQY_FUND_CRNCY", CURRENCY, "EQY_CONSOLIDATED", DataH!$D$18, "Fill=B")</f>
        <v>73286</v>
      </c>
      <c r="Q48" s="501">
        <f>_xll.BDP(TICKER&amp;" EQUITY",$F48, "EQY_FUND_RELATIVE_PERIOD", Q$10, "EQY_FUND_CRNCY", CURRENCY, "EQY_CONSOLIDATED", DataH!$D$18, "Fill=B")</f>
        <v>68531</v>
      </c>
      <c r="R48" s="535"/>
      <c r="S48" s="536"/>
      <c r="T48" s="537"/>
      <c r="U48" s="216"/>
      <c r="V48" s="216"/>
    </row>
    <row r="49" spans="2:22" ht="15" customHeight="1">
      <c r="B49" s="841" t="str">
        <f>IF(Lang="English","     + Cash &amp; Near Cash Items", IF(Lang="中文","     + 現金及約當現金項目","　+現金および現金同等物 "))</f>
        <v xml:space="preserve">     + Cash &amp; Near Cash Items</v>
      </c>
      <c r="C49" s="842"/>
      <c r="D49" s="842"/>
      <c r="E49" s="843"/>
      <c r="F49" s="129" t="s">
        <v>496</v>
      </c>
      <c r="G49" s="344">
        <f>_xll.BDP(TICKER&amp;" EQUITY",$F49, "EQY_FUND_RELATIVE_PERIOD", G$10, "EQY_FUND_CRNCY", CURRENCY, "EQY_CONSOLIDATED", DataH!$D$18, "Fill=B")</f>
        <v>2969</v>
      </c>
      <c r="H49" s="344">
        <f>_xll.BDP(TICKER&amp;" EQUITY",$F49, "EQY_FUND_RELATIVE_PERIOD", H$10, "EQY_FUND_CRNCY", CURRENCY, "EQY_CONSOLIDATED", DataH!$D$18, "Fill=B")</f>
        <v>3491</v>
      </c>
      <c r="I49" s="344">
        <f>_xll.BDP(TICKER&amp;" EQUITY",$F49, "EQY_FUND_RELATIVE_PERIOD", I$10, "EQY_FUND_CRNCY", CURRENCY, "EQY_CONSOLIDATED", DataH!$D$18, "Fill=B")</f>
        <v>6392</v>
      </c>
      <c r="J49" s="344">
        <f>_xll.BDP(TICKER&amp;" EQUITY",$F49, "EQY_FUND_RELATIVE_PERIOD", J$10, "EQY_FUND_CRNCY", CURRENCY, "EQY_CONSOLIDATED", DataH!$D$18, "Fill=B")</f>
        <v>9352</v>
      </c>
      <c r="K49" s="344">
        <f>_xll.BDP(TICKER&amp;" EQUITY",$F49, "EQY_FUND_RELATIVE_PERIOD", K$10, "EQY_FUND_CRNCY", CURRENCY, "EQY_CONSOLIDATED", DataH!$D$18, "Fill=B")</f>
        <v>11875</v>
      </c>
      <c r="L49" s="344">
        <f>_xll.BDP(TICKER&amp;" EQUITY",$F49, "EQY_FUND_RELATIVE_PERIOD", L$10, "EQY_FUND_CRNCY", CURRENCY, "EQY_CONSOLIDATED", DataH!$D$18, "Fill=B")</f>
        <v>5263</v>
      </c>
      <c r="M49" s="344">
        <f>_xll.BDP(TICKER&amp;" EQUITY",$F49, "EQY_FUND_RELATIVE_PERIOD", M$10, "EQY_FUND_CRNCY", CURRENCY, "EQY_CONSOLIDATED", DataH!$D$18, "Fill=B")</f>
        <v>11261</v>
      </c>
      <c r="N49" s="344">
        <f>_xll.BDP(TICKER&amp;" EQUITY",$F49, "EQY_FUND_RELATIVE_PERIOD", N$10, "EQY_FUND_CRNCY", CURRENCY, "EQY_CONSOLIDATED", DataH!$D$18, "Fill=B")</f>
        <v>9815</v>
      </c>
      <c r="O49" s="344">
        <f>_xll.BDP(TICKER&amp;" EQUITY",$F49, "EQY_FUND_RELATIVE_PERIOD", O$10, "EQY_FUND_CRNCY", CURRENCY, "EQY_CONSOLIDATED", DataH!$D$18, "Fill=B")</f>
        <v>10746</v>
      </c>
      <c r="P49" s="344">
        <f>_xll.BDP(TICKER&amp;" EQUITY",$F49, "EQY_FUND_RELATIVE_PERIOD", P$10, "EQY_FUND_CRNCY", CURRENCY, "EQY_CONSOLIDATED", DataH!$D$18, "Fill=B")</f>
        <v>14259</v>
      </c>
      <c r="Q49" s="345">
        <f>_xll.BDP(TICKER&amp;" EQUITY",$F49, "EQY_FUND_RELATIVE_PERIOD", Q$10, "EQY_FUND_CRNCY", CURRENCY, "EQY_CONSOLIDATED", DataH!$D$18, "Fill=B")</f>
        <v>13844</v>
      </c>
      <c r="R49" s="346"/>
      <c r="S49" s="346"/>
      <c r="T49" s="347"/>
      <c r="U49" s="216"/>
      <c r="V49" s="216"/>
    </row>
    <row r="50" spans="2:22" ht="15" customHeight="1">
      <c r="B50" s="841" t="str">
        <f>IF(Lang="English","     + Short Term Investments",IF(Lang="中文","     + 短期投資","　+有価証券･その他短期投資"))</f>
        <v xml:space="preserve">     + Short Term Investments</v>
      </c>
      <c r="C50" s="842"/>
      <c r="D50" s="842"/>
      <c r="E50" s="843"/>
      <c r="F50" s="129" t="s">
        <v>497</v>
      </c>
      <c r="G50" s="344">
        <f>_xll.BDP(TICKER&amp;" EQUITY",$F50, "EQY_FUND_RELATIVE_PERIOD", G$10, "EQY_FUND_CRNCY", CURRENCY, "EQY_CONSOLIDATED", DataH!$D$18, "Fill=B")</f>
        <v>2495</v>
      </c>
      <c r="H50" s="344">
        <f>_xll.BDP(TICKER&amp;" EQUITY",$F50, "EQY_FUND_RELATIVE_PERIOD", H$10, "EQY_FUND_CRNCY", CURRENCY, "EQY_CONSOLIDATED", DataH!$D$18, "Fill=B")</f>
        <v>4770</v>
      </c>
      <c r="I50" s="344">
        <f>_xll.BDP(TICKER&amp;" EQUITY",$F50, "EQY_FUND_RELATIVE_PERIOD", I$10, "EQY_FUND_CRNCY", CURRENCY, "EQY_CONSOLIDATED", DataH!$D$18, "Fill=B")</f>
        <v>3718</v>
      </c>
      <c r="J50" s="344">
        <f>_xll.BDP(TICKER&amp;" EQUITY",$F50, "EQY_FUND_RELATIVE_PERIOD", J$10, "EQY_FUND_CRNCY", CURRENCY, "EQY_CONSOLIDATED", DataH!$D$18, "Fill=B")</f>
        <v>6034</v>
      </c>
      <c r="K50" s="344">
        <f>_xll.BDP(TICKER&amp;" EQUITY",$F50, "EQY_FUND_RELATIVE_PERIOD", K$10, "EQY_FUND_CRNCY", CURRENCY, "EQY_CONSOLIDATED", DataH!$D$18, "Fill=B")</f>
        <v>10236</v>
      </c>
      <c r="L50" s="344">
        <f>_xll.BDP(TICKER&amp;" EQUITY",$F50, "EQY_FUND_RELATIVE_PERIOD", L$10, "EQY_FUND_CRNCY", CURRENCY, "EQY_CONSOLIDATED", DataH!$D$18, "Fill=B")</f>
        <v>18201</v>
      </c>
      <c r="M50" s="344">
        <f>_xll.BDP(TICKER&amp;" EQUITY",$F50, "EQY_FUND_RELATIVE_PERIOD", M$10, "EQY_FUND_CRNCY", CURRENCY, "EQY_CONSOLIDATED", DataH!$D$18, "Fill=B")</f>
        <v>14359</v>
      </c>
      <c r="N50" s="344">
        <f>_xll.BDP(TICKER&amp;" EQUITY",$F50, "EQY_FUND_RELATIVE_PERIOD", N$10, "EQY_FUND_CRNCY", CURRENCY, "EQY_CONSOLIDATED", DataH!$D$18, "Fill=B")</f>
        <v>16137</v>
      </c>
      <c r="O50" s="344">
        <f>_xll.BDP(TICKER&amp;" EQUITY",$F50, "EQY_FUND_RELATIVE_PERIOD", O$10, "EQY_FUND_CRNCY", CURRENCY, "EQY_CONSOLIDATED", DataH!$D$18, "Fill=B")</f>
        <v>18383</v>
      </c>
      <c r="P50" s="344">
        <f>_xll.BDP(TICKER&amp;" EQUITY",$F50, "EQY_FUND_RELATIVE_PERIOD", P$10, "EQY_FUND_CRNCY", CURRENCY, "EQY_CONSOLIDATED", DataH!$D$18, "Fill=B")</f>
        <v>26287</v>
      </c>
      <c r="Q50" s="345">
        <f>_xll.BDP(TICKER&amp;" EQUITY",$F50, "EQY_FUND_RELATIVE_PERIOD", Q$10, "EQY_FUND_CRNCY", CURRENCY, "EQY_CONSOLIDATED", DataH!$D$18, "Fill=B")</f>
        <v>11233</v>
      </c>
      <c r="R50" s="346"/>
      <c r="S50" s="346"/>
      <c r="T50" s="347"/>
      <c r="U50" s="216"/>
      <c r="V50" s="216"/>
    </row>
    <row r="51" spans="2:22" ht="15" customHeight="1">
      <c r="B51" s="841" t="str">
        <f>IF(Lang="English","     + Accounts &amp; Notes Receivable",IF(Lang="中文","     + 應收帳款及票據","　+売掛金･受取手形 "))</f>
        <v xml:space="preserve">     + Accounts &amp; Notes Receivable</v>
      </c>
      <c r="C51" s="842"/>
      <c r="D51" s="842"/>
      <c r="E51" s="843"/>
      <c r="F51" s="129" t="s">
        <v>498</v>
      </c>
      <c r="G51" s="344">
        <f>_xll.BDP(TICKER&amp;" EQUITY",$F51, "EQY_FUND_RELATIVE_PERIOD", G$10, "EQY_FUND_CRNCY", CURRENCY, "EQY_CONSOLIDATED", DataH!$D$18, "Fill=B")</f>
        <v>774</v>
      </c>
      <c r="H51" s="344">
        <f>_xll.BDP(TICKER&amp;" EQUITY",$F51, "EQY_FUND_RELATIVE_PERIOD", H$10, "EQY_FUND_CRNCY", CURRENCY, "EQY_CONSOLIDATED", DataH!$D$18, "Fill=B")</f>
        <v>895</v>
      </c>
      <c r="I51" s="344">
        <f>_xll.BDP(TICKER&amp;" EQUITY",$F51, "EQY_FUND_RELATIVE_PERIOD", I$10, "EQY_FUND_CRNCY", CURRENCY, "EQY_CONSOLIDATED", DataH!$D$18, "Fill=B")</f>
        <v>1252</v>
      </c>
      <c r="J51" s="344">
        <f>_xll.BDP(TICKER&amp;" EQUITY",$F51, "EQY_FUND_RELATIVE_PERIOD", J$10, "EQY_FUND_CRNCY", CURRENCY, "EQY_CONSOLIDATED", DataH!$D$18, "Fill=B")</f>
        <v>1637</v>
      </c>
      <c r="K51" s="344">
        <f>_xll.BDP(TICKER&amp;" EQUITY",$F51, "EQY_FUND_RELATIVE_PERIOD", K$10, "EQY_FUND_CRNCY", CURRENCY, "EQY_CONSOLIDATED", DataH!$D$18, "Fill=B")</f>
        <v>2422</v>
      </c>
      <c r="L51" s="344">
        <f>_xll.BDP(TICKER&amp;" EQUITY",$F51, "EQY_FUND_RELATIVE_PERIOD", L$10, "EQY_FUND_CRNCY", CURRENCY, "EQY_CONSOLIDATED", DataH!$D$18, "Fill=B")</f>
        <v>3361</v>
      </c>
      <c r="M51" s="344">
        <f>_xll.BDP(TICKER&amp;" EQUITY",$F51, "EQY_FUND_RELATIVE_PERIOD", M$10, "EQY_FUND_CRNCY", CURRENCY, "EQY_CONSOLIDATED", DataH!$D$18, "Fill=B")</f>
        <v>5510</v>
      </c>
      <c r="N51" s="344">
        <f>_xll.BDP(TICKER&amp;" EQUITY",$F51, "EQY_FUND_RELATIVE_PERIOD", N$10, "EQY_FUND_CRNCY", CURRENCY, "EQY_CONSOLIDATED", DataH!$D$18, "Fill=B")</f>
        <v>5369</v>
      </c>
      <c r="O51" s="344">
        <f>_xll.BDP(TICKER&amp;" EQUITY",$F51, "EQY_FUND_RELATIVE_PERIOD", O$10, "EQY_FUND_CRNCY", CURRENCY, "EQY_CONSOLIDATED", DataH!$D$18, "Fill=B")</f>
        <v>10930</v>
      </c>
      <c r="P51" s="344">
        <f>_xll.BDP(TICKER&amp;" EQUITY",$F51, "EQY_FUND_RELATIVE_PERIOD", P$10, "EQY_FUND_CRNCY", CURRENCY, "EQY_CONSOLIDATED", DataH!$D$18, "Fill=B")</f>
        <v>13102</v>
      </c>
      <c r="Q51" s="345">
        <f>_xll.BDP(TICKER&amp;" EQUITY",$F51, "EQY_FUND_RELATIVE_PERIOD", Q$10, "EQY_FUND_CRNCY", CURRENCY, "EQY_CONSOLIDATED", DataH!$D$18, "Fill=B")</f>
        <v>17460</v>
      </c>
      <c r="R51" s="346"/>
      <c r="S51" s="346"/>
      <c r="T51" s="347"/>
      <c r="U51" s="216"/>
      <c r="V51" s="216"/>
    </row>
    <row r="52" spans="2:22" ht="15" customHeight="1">
      <c r="B52" s="841" t="str">
        <f>IF(Lang="English","     + Inventories",IF(Lang="中文","     + 存貨","　+棚卸資産"))</f>
        <v xml:space="preserve">     + Inventories</v>
      </c>
      <c r="C52" s="842"/>
      <c r="D52" s="842"/>
      <c r="E52" s="843"/>
      <c r="F52" s="129" t="s">
        <v>499</v>
      </c>
      <c r="G52" s="344">
        <f>_xll.BDP(TICKER&amp;" EQUITY",$F52, "EQY_FUND_RELATIVE_PERIOD", G$10, "EQY_FUND_CRNCY", CURRENCY, "EQY_CONSOLIDATED", DataH!$D$18, "Fill=B")</f>
        <v>101</v>
      </c>
      <c r="H52" s="344">
        <f>_xll.BDP(TICKER&amp;" EQUITY",$F52, "EQY_FUND_RELATIVE_PERIOD", H$10, "EQY_FUND_CRNCY", CURRENCY, "EQY_CONSOLIDATED", DataH!$D$18, "Fill=B")</f>
        <v>165</v>
      </c>
      <c r="I52" s="344">
        <f>_xll.BDP(TICKER&amp;" EQUITY",$F52, "EQY_FUND_RELATIVE_PERIOD", I$10, "EQY_FUND_CRNCY", CURRENCY, "EQY_CONSOLIDATED", DataH!$D$18, "Fill=B")</f>
        <v>270</v>
      </c>
      <c r="J52" s="344">
        <f>_xll.BDP(TICKER&amp;" EQUITY",$F52, "EQY_FUND_RELATIVE_PERIOD", J$10, "EQY_FUND_CRNCY", CURRENCY, "EQY_CONSOLIDATED", DataH!$D$18, "Fill=B")</f>
        <v>346</v>
      </c>
      <c r="K52" s="344">
        <f>_xll.BDP(TICKER&amp;" EQUITY",$F52, "EQY_FUND_RELATIVE_PERIOD", K$10, "EQY_FUND_CRNCY", CURRENCY, "EQY_CONSOLIDATED", DataH!$D$18, "Fill=B")</f>
        <v>509</v>
      </c>
      <c r="L52" s="344">
        <f>_xll.BDP(TICKER&amp;" EQUITY",$F52, "EQY_FUND_RELATIVE_PERIOD", L$10, "EQY_FUND_CRNCY", CURRENCY, "EQY_CONSOLIDATED", DataH!$D$18, "Fill=B")</f>
        <v>455</v>
      </c>
      <c r="M52" s="344">
        <f>_xll.BDP(TICKER&amp;" EQUITY",$F52, "EQY_FUND_RELATIVE_PERIOD", M$10, "EQY_FUND_CRNCY", CURRENCY, "EQY_CONSOLIDATED", DataH!$D$18, "Fill=B")</f>
        <v>1051</v>
      </c>
      <c r="N52" s="344">
        <f>_xll.BDP(TICKER&amp;" EQUITY",$F52, "EQY_FUND_RELATIVE_PERIOD", N$10, "EQY_FUND_CRNCY", CURRENCY, "EQY_CONSOLIDATED", DataH!$D$18, "Fill=B")</f>
        <v>776</v>
      </c>
      <c r="O52" s="344">
        <f>_xll.BDP(TICKER&amp;" EQUITY",$F52, "EQY_FUND_RELATIVE_PERIOD", O$10, "EQY_FUND_CRNCY", CURRENCY, "EQY_CONSOLIDATED", DataH!$D$18, "Fill=B")</f>
        <v>791</v>
      </c>
      <c r="P52" s="344">
        <f>_xll.BDP(TICKER&amp;" EQUITY",$F52, "EQY_FUND_RELATIVE_PERIOD", P$10, "EQY_FUND_CRNCY", CURRENCY, "EQY_CONSOLIDATED", DataH!$D$18, "Fill=B")</f>
        <v>1764</v>
      </c>
      <c r="Q52" s="345">
        <f>_xll.BDP(TICKER&amp;" EQUITY",$F52, "EQY_FUND_RELATIVE_PERIOD", Q$10, "EQY_FUND_CRNCY", CURRENCY, "EQY_CONSOLIDATED", DataH!$D$18, "Fill=B")</f>
        <v>2111</v>
      </c>
      <c r="R52" s="346"/>
      <c r="S52" s="346"/>
      <c r="T52" s="347"/>
      <c r="U52" s="216"/>
      <c r="V52" s="216"/>
    </row>
    <row r="53" spans="2:22" ht="15" customHeight="1">
      <c r="B53" s="841" t="str">
        <f>IF(Lang="English","     + Other Current Assets",IF(Lang="中文","    + 其他流動資產","　+その他流動資産 "))</f>
        <v xml:space="preserve">     + Other Current Assets</v>
      </c>
      <c r="C53" s="842"/>
      <c r="D53" s="842"/>
      <c r="E53" s="843"/>
      <c r="F53" s="129" t="s">
        <v>500</v>
      </c>
      <c r="G53" s="344">
        <f>_xll.BDP(TICKER&amp;" EQUITY",$F53, "EQY_FUND_RELATIVE_PERIOD", G$10, "EQY_FUND_CRNCY", CURRENCY, "EQY_CONSOLIDATED", DataH!$D$18, "Fill=B")</f>
        <v>716</v>
      </c>
      <c r="H53" s="344">
        <f>_xll.BDP(TICKER&amp;" EQUITY",$F53, "EQY_FUND_RELATIVE_PERIOD", H$10, "EQY_FUND_CRNCY", CURRENCY, "EQY_CONSOLIDATED", DataH!$D$18, "Fill=B")</f>
        <v>979</v>
      </c>
      <c r="I53" s="344">
        <f>_xll.BDP(TICKER&amp;" EQUITY",$F53, "EQY_FUND_RELATIVE_PERIOD", I$10, "EQY_FUND_CRNCY", CURRENCY, "EQY_CONSOLIDATED", DataH!$D$18, "Fill=B")</f>
        <v>2877</v>
      </c>
      <c r="J53" s="344">
        <f>_xll.BDP(TICKER&amp;" EQUITY",$F53, "EQY_FUND_RELATIVE_PERIOD", J$10, "EQY_FUND_CRNCY", CURRENCY, "EQY_CONSOLIDATED", DataH!$D$18, "Fill=B")</f>
        <v>4332</v>
      </c>
      <c r="K53" s="344">
        <f>_xll.BDP(TICKER&amp;" EQUITY",$F53, "EQY_FUND_RELATIVE_PERIOD", K$10, "EQY_FUND_CRNCY", CURRENCY, "EQY_CONSOLIDATED", DataH!$D$18, "Fill=B")</f>
        <v>4964</v>
      </c>
      <c r="L53" s="344">
        <f>_xll.BDP(TICKER&amp;" EQUITY",$F53, "EQY_FUND_RELATIVE_PERIOD", L$10, "EQY_FUND_CRNCY", CURRENCY, "EQY_CONSOLIDATED", DataH!$D$18, "Fill=B")</f>
        <v>4275</v>
      </c>
      <c r="M53" s="344">
        <f>_xll.BDP(TICKER&amp;" EQUITY",$F53, "EQY_FUND_RELATIVE_PERIOD", M$10, "EQY_FUND_CRNCY", CURRENCY, "EQY_CONSOLIDATED", DataH!$D$18, "Fill=B")</f>
        <v>9497</v>
      </c>
      <c r="N53" s="344">
        <f>_xll.BDP(TICKER&amp;" EQUITY",$F53, "EQY_FUND_RELATIVE_PERIOD", N$10, "EQY_FUND_CRNCY", CURRENCY, "EQY_CONSOLIDATED", DataH!$D$18, "Fill=B")</f>
        <v>12891</v>
      </c>
      <c r="O53" s="344">
        <f>_xll.BDP(TICKER&amp;" EQUITY",$F53, "EQY_FUND_RELATIVE_PERIOD", O$10, "EQY_FUND_CRNCY", CURRENCY, "EQY_CONSOLIDATED", DataH!$D$18, "Fill=B")</f>
        <v>16803</v>
      </c>
      <c r="P53" s="344">
        <f>_xll.BDP(TICKER&amp;" EQUITY",$F53, "EQY_FUND_RELATIVE_PERIOD", P$10, "EQY_FUND_CRNCY", CURRENCY, "EQY_CONSOLIDATED", DataH!$D$18, "Fill=B")</f>
        <v>17874</v>
      </c>
      <c r="Q53" s="345">
        <f>_xll.BDP(TICKER&amp;" EQUITY",$F53, "EQY_FUND_RELATIVE_PERIOD", Q$10, "EQY_FUND_CRNCY", CURRENCY, "EQY_CONSOLIDATED", DataH!$D$18, "Fill=B")</f>
        <v>23883</v>
      </c>
      <c r="R53" s="346"/>
      <c r="S53" s="346"/>
      <c r="T53" s="347"/>
      <c r="U53" s="216"/>
      <c r="V53" s="216"/>
    </row>
    <row r="54" spans="2:22" ht="15" customHeight="1">
      <c r="B54" s="841"/>
      <c r="C54" s="842"/>
      <c r="D54" s="842"/>
      <c r="E54" s="843"/>
      <c r="F54" s="129"/>
      <c r="G54" s="344"/>
      <c r="H54" s="344"/>
      <c r="I54" s="344"/>
      <c r="J54" s="344"/>
      <c r="K54" s="344"/>
      <c r="L54" s="344"/>
      <c r="M54" s="344"/>
      <c r="N54" s="344"/>
      <c r="O54" s="344"/>
      <c r="P54" s="344"/>
      <c r="Q54" s="345"/>
      <c r="R54" s="346"/>
      <c r="S54" s="346"/>
      <c r="T54" s="347"/>
      <c r="U54" s="216"/>
      <c r="V54" s="216"/>
    </row>
    <row r="55" spans="2:22" ht="15" customHeight="1">
      <c r="B55" s="853" t="str">
        <f>IF(Lang="English","Total Long-Term Assets",IF(Lang="中文"," 長期資產總額","非流動資産合計 "))</f>
        <v>Total Long-Term Assets</v>
      </c>
      <c r="C55" s="854"/>
      <c r="D55" s="854"/>
      <c r="E55" s="855"/>
      <c r="F55" s="377" t="s">
        <v>495</v>
      </c>
      <c r="G55" s="500">
        <f>_xll.BDP(TICKER&amp;" EQUITY",$F55, "EQY_FUND_RELATIVE_PERIOD", G$10, "EQY_FUND_CRNCY", CURRENCY, "EQY_CONSOLIDATED", DataH!$D$18, "Fill=B")</f>
        <v>995</v>
      </c>
      <c r="H55" s="500">
        <f>_xll.BDP(TICKER&amp;" EQUITY",$F55, "EQY_FUND_RELATIVE_PERIOD", H$10, "EQY_FUND_CRNCY", CURRENCY, "EQY_CONSOLIDATED", DataH!$D$18, "Fill=B")</f>
        <v>1251</v>
      </c>
      <c r="I55" s="500">
        <f>_xll.BDP(TICKER&amp;" EQUITY",$F55, "EQY_FUND_RELATIVE_PERIOD", I$10, "EQY_FUND_CRNCY", CURRENCY, "EQY_CONSOLIDATED", DataH!$D$18, "Fill=B")</f>
        <v>2696</v>
      </c>
      <c r="J55" s="500">
        <f>_xll.BDP(TICKER&amp;" EQUITY",$F55, "EQY_FUND_RELATIVE_PERIOD", J$10, "EQY_FUND_CRNCY", CURRENCY, "EQY_CONSOLIDATED", DataH!$D$18, "Fill=B")</f>
        <v>3177</v>
      </c>
      <c r="K55" s="500">
        <f>_xll.BDP(TICKER&amp;" EQUITY",$F55, "EQY_FUND_RELATIVE_PERIOD", K$10, "EQY_FUND_CRNCY", CURRENCY, "EQY_CONSOLIDATED", DataH!$D$18, "Fill=B")</f>
        <v>6165</v>
      </c>
      <c r="L55" s="500">
        <f>_xll.BDP(TICKER&amp;" EQUITY",$F55, "EQY_FUND_RELATIVE_PERIOD", L$10, "EQY_FUND_CRNCY", CURRENCY, "EQY_CONSOLIDATED", DataH!$D$18, "Fill=B")</f>
        <v>15946</v>
      </c>
      <c r="M55" s="500">
        <f>_xll.BDP(TICKER&amp;" EQUITY",$F55, "EQY_FUND_RELATIVE_PERIOD", M$10, "EQY_FUND_CRNCY", CURRENCY, "EQY_CONSOLIDATED", DataH!$D$18, "Fill=B")</f>
        <v>33505</v>
      </c>
      <c r="N55" s="500">
        <f>_xll.BDP(TICKER&amp;" EQUITY",$F55, "EQY_FUND_RELATIVE_PERIOD", N$10, "EQY_FUND_CRNCY", CURRENCY, "EQY_CONSOLIDATED", DataH!$D$18, "Fill=B")</f>
        <v>71383</v>
      </c>
      <c r="O55" s="500">
        <f>_xll.BDP(TICKER&amp;" EQUITY",$F55, "EQY_FUND_RELATIVE_PERIOD", O$10, "EQY_FUND_CRNCY", CURRENCY, "EQY_CONSOLIDATED", DataH!$D$18, "Fill=B")</f>
        <v>118411</v>
      </c>
      <c r="P55" s="500">
        <f>_xll.BDP(TICKER&amp;" EQUITY",$F55, "EQY_FUND_RELATIVE_PERIOD", P$10, "EQY_FUND_CRNCY", CURRENCY, "EQY_CONSOLIDATED", DataH!$D$18, "Fill=B")</f>
        <v>133714</v>
      </c>
      <c r="Q55" s="501">
        <f>_xll.BDP(TICKER&amp;" EQUITY",$F55, "EQY_FUND_RELATIVE_PERIOD", Q$10, "EQY_FUND_CRNCY", CURRENCY, "EQY_CONSOLIDATED", DataH!$D$18, "Fill=B")</f>
        <v>163308</v>
      </c>
      <c r="R55" s="535"/>
      <c r="S55" s="536"/>
      <c r="T55" s="537"/>
      <c r="U55" s="216"/>
      <c r="V55" s="216"/>
    </row>
    <row r="56" spans="2:22" ht="15" customHeight="1">
      <c r="B56" s="841" t="str">
        <f>IF(Lang="English","     + Long Term Investments",IF(Lang="中文","     + 長期投資","　+長期投資"))</f>
        <v xml:space="preserve">     + Long Term Investments</v>
      </c>
      <c r="C56" s="842"/>
      <c r="D56" s="842"/>
      <c r="E56" s="843"/>
      <c r="F56" s="129" t="s">
        <v>490</v>
      </c>
      <c r="G56" s="344">
        <f>_xll.BDP(TICKER&amp;" EQUITY",$F56, "EQY_FUND_RELATIVE_PERIOD", G$10, "EQY_FUND_CRNCY", CURRENCY, "EQY_CONSOLIDATED", DataH!$D$18, "Fill=B")</f>
        <v>0</v>
      </c>
      <c r="H56" s="344">
        <f>_xll.BDP(TICKER&amp;" EQUITY",$F56, "EQY_FUND_RELATIVE_PERIOD", H$10, "EQY_FUND_CRNCY", CURRENCY, "EQY_CONSOLIDATED", DataH!$D$18, "Fill=B")</f>
        <v>0</v>
      </c>
      <c r="I56" s="344">
        <f>_xll.BDP(TICKER&amp;" EQUITY",$F56, "EQY_FUND_RELATIVE_PERIOD", I$10, "EQY_FUND_CRNCY", CURRENCY, "EQY_CONSOLIDATED", DataH!$D$18, "Fill=B")</f>
        <v>0</v>
      </c>
      <c r="J56" s="344">
        <f>_xll.BDP(TICKER&amp;" EQUITY",$F56, "EQY_FUND_RELATIVE_PERIOD", J$10, "EQY_FUND_CRNCY", CURRENCY, "EQY_CONSOLIDATED", DataH!$D$18, "Fill=B")</f>
        <v>0</v>
      </c>
      <c r="K56" s="344">
        <f>_xll.BDP(TICKER&amp;" EQUITY",$F56, "EQY_FUND_RELATIVE_PERIOD", K$10, "EQY_FUND_CRNCY", CURRENCY, "EQY_CONSOLIDATED", DataH!$D$18, "Fill=B")</f>
        <v>2379</v>
      </c>
      <c r="L56" s="344">
        <f>_xll.BDP(TICKER&amp;" EQUITY",$F56, "EQY_FUND_RELATIVE_PERIOD", L$10, "EQY_FUND_CRNCY", CURRENCY, "EQY_CONSOLIDATED", DataH!$D$18, "Fill=B")</f>
        <v>10528</v>
      </c>
      <c r="M56" s="344">
        <f>_xll.BDP(TICKER&amp;" EQUITY",$F56, "EQY_FUND_RELATIVE_PERIOD", M$10, "EQY_FUND_CRNCY", CURRENCY, "EQY_CONSOLIDATED", DataH!$D$18, "Fill=B")</f>
        <v>25391</v>
      </c>
      <c r="N56" s="344">
        <f>_xll.BDP(TICKER&amp;" EQUITY",$F56, "EQY_FUND_RELATIVE_PERIOD", N$10, "EQY_FUND_CRNCY", CURRENCY, "EQY_CONSOLIDATED", DataH!$D$18, "Fill=B")</f>
        <v>55618</v>
      </c>
      <c r="O56" s="344">
        <f>_xll.BDP(TICKER&amp;" EQUITY",$F56, "EQY_FUND_RELATIVE_PERIOD", O$10, "EQY_FUND_CRNCY", CURRENCY, "EQY_CONSOLIDATED", DataH!$D$18, "Fill=B")</f>
        <v>92122</v>
      </c>
      <c r="P56" s="344">
        <f>_xll.BDP(TICKER&amp;" EQUITY",$F56, "EQY_FUND_RELATIVE_PERIOD", P$10, "EQY_FUND_CRNCY", CURRENCY, "EQY_CONSOLIDATED", DataH!$D$18, "Fill=B")</f>
        <v>106215</v>
      </c>
      <c r="Q56" s="345">
        <f>_xll.BDP(TICKER&amp;" EQUITY",$F56, "EQY_FUND_RELATIVE_PERIOD", Q$10, "EQY_FUND_CRNCY", CURRENCY, "EQY_CONSOLIDATED", DataH!$D$18, "Fill=B")</f>
        <v>130162</v>
      </c>
      <c r="R56" s="346"/>
      <c r="S56" s="346"/>
      <c r="T56" s="347"/>
      <c r="U56" s="216"/>
      <c r="V56" s="216"/>
    </row>
    <row r="57" spans="2:22" ht="15" customHeight="1">
      <c r="B57" s="841" t="str">
        <f>IF(Lang="English","                Gross Fixed Assets",IF(Lang="中文","                固定資產總額","　　　固定資産総額"))</f>
        <v xml:space="preserve">                Gross Fixed Assets</v>
      </c>
      <c r="C57" s="842"/>
      <c r="D57" s="842"/>
      <c r="E57" s="843"/>
      <c r="F57" s="129" t="s">
        <v>491</v>
      </c>
      <c r="G57" s="344">
        <f>_xll.BDP(TICKER&amp;" EQUITY",$F57, "EQY_FUND_RELATIVE_PERIOD", G$10, "EQY_FUND_CRNCY", CURRENCY, "EQY_CONSOLIDATED", DataH!$D$18, "Fill=B")</f>
        <v>1298</v>
      </c>
      <c r="H57" s="344">
        <f>_xll.BDP(TICKER&amp;" EQUITY",$F57, "EQY_FUND_RELATIVE_PERIOD", H$10, "EQY_FUND_CRNCY", CURRENCY, "EQY_CONSOLIDATED", DataH!$D$18, "Fill=B")</f>
        <v>1481</v>
      </c>
      <c r="I57" s="344">
        <f>_xll.BDP(TICKER&amp;" EQUITY",$F57, "EQY_FUND_RELATIVE_PERIOD", I$10, "EQY_FUND_CRNCY", CURRENCY, "EQY_CONSOLIDATED", DataH!$D$18, "Fill=B")</f>
        <v>2075</v>
      </c>
      <c r="J57" s="344">
        <f>_xll.BDP(TICKER&amp;" EQUITY",$F57, "EQY_FUND_RELATIVE_PERIOD", J$10, "EQY_FUND_CRNCY", CURRENCY, "EQY_CONSOLIDATED", DataH!$D$18, "Fill=B")</f>
        <v>2841</v>
      </c>
      <c r="K57" s="344">
        <f>_xll.BDP(TICKER&amp;" EQUITY",$F57, "EQY_FUND_RELATIVE_PERIOD", K$10, "EQY_FUND_CRNCY", CURRENCY, "EQY_CONSOLIDATED", DataH!$D$18, "Fill=B")</f>
        <v>3747</v>
      </c>
      <c r="L57" s="344">
        <f>_xll.BDP(TICKER&amp;" EQUITY",$F57, "EQY_FUND_RELATIVE_PERIOD", L$10, "EQY_FUND_CRNCY", CURRENCY, "EQY_CONSOLIDATED", DataH!$D$18, "Fill=B")</f>
        <v>4667</v>
      </c>
      <c r="M57" s="344">
        <f>_xll.BDP(TICKER&amp;" EQUITY",$F57, "EQY_FUND_RELATIVE_PERIOD", M$10, "EQY_FUND_CRNCY", CURRENCY, "EQY_CONSOLIDATED", DataH!$D$18, "Fill=B")</f>
        <v>7234</v>
      </c>
      <c r="N57" s="344">
        <f>_xll.BDP(TICKER&amp;" EQUITY",$F57, "EQY_FUND_RELATIVE_PERIOD", N$10, "EQY_FUND_CRNCY", CURRENCY, "EQY_CONSOLIDATED", DataH!$D$18, "Fill=B")</f>
        <v>11768</v>
      </c>
      <c r="O57" s="344">
        <f>_xll.BDP(TICKER&amp;" EQUITY",$F57, "EQY_FUND_RELATIVE_PERIOD", O$10, "EQY_FUND_CRNCY", CURRENCY, "EQY_CONSOLIDATED", DataH!$D$18, "Fill=B")</f>
        <v>21887</v>
      </c>
      <c r="P57" s="344">
        <f>_xll.BDP(TICKER&amp;" EQUITY",$F57, "EQY_FUND_RELATIVE_PERIOD", P$10, "EQY_FUND_CRNCY", CURRENCY, "EQY_CONSOLIDATED", DataH!$D$18, "Fill=B")</f>
        <v>28519</v>
      </c>
      <c r="Q57" s="345">
        <f>_xll.BDP(TICKER&amp;" EQUITY",$F57, "EQY_FUND_RELATIVE_PERIOD", Q$10, "EQY_FUND_CRNCY", CURRENCY, "EQY_CONSOLIDATED", DataH!$D$18, "Fill=B")</f>
        <v>39015</v>
      </c>
      <c r="R57" s="346"/>
      <c r="S57" s="346"/>
      <c r="T57" s="347"/>
      <c r="U57" s="216"/>
      <c r="V57" s="216"/>
    </row>
    <row r="58" spans="2:22" ht="15" customHeight="1">
      <c r="B58" s="841" t="str">
        <f>IF(Lang="English","                Accumulated Depreciation",IF(Lang="中文","               累計折舊","　　　減価償却累計額"))</f>
        <v xml:space="preserve">                Accumulated Depreciation</v>
      </c>
      <c r="C58" s="842"/>
      <c r="D58" s="842"/>
      <c r="E58" s="843"/>
      <c r="F58" s="129" t="s">
        <v>492</v>
      </c>
      <c r="G58" s="344">
        <f>_xll.BDP(TICKER&amp;" EQUITY",$F58, "EQY_FUND_RELATIVE_PERIOD", G$10, "EQY_FUND_CRNCY", CURRENCY, "EQY_CONSOLIDATED", DataH!$D$18, "Fill=B")</f>
        <v>591</v>
      </c>
      <c r="H58" s="344">
        <f>_xll.BDP(TICKER&amp;" EQUITY",$F58, "EQY_FUND_RELATIVE_PERIOD", H$10, "EQY_FUND_CRNCY", CURRENCY, "EQY_CONSOLIDATED", DataH!$D$18, "Fill=B")</f>
        <v>664</v>
      </c>
      <c r="I58" s="344">
        <f>_xll.BDP(TICKER&amp;" EQUITY",$F58, "EQY_FUND_RELATIVE_PERIOD", I$10, "EQY_FUND_CRNCY", CURRENCY, "EQY_CONSOLIDATED", DataH!$D$18, "Fill=B")</f>
        <v>794</v>
      </c>
      <c r="J58" s="344">
        <f>_xll.BDP(TICKER&amp;" EQUITY",$F58, "EQY_FUND_RELATIVE_PERIOD", J$10, "EQY_FUND_CRNCY", CURRENCY, "EQY_CONSOLIDATED", DataH!$D$18, "Fill=B")</f>
        <v>1009</v>
      </c>
      <c r="K58" s="344">
        <f>_xll.BDP(TICKER&amp;" EQUITY",$F58, "EQY_FUND_RELATIVE_PERIOD", K$10, "EQY_FUND_CRNCY", CURRENCY, "EQY_CONSOLIDATED", DataH!$D$18, "Fill=B")</f>
        <v>1292</v>
      </c>
      <c r="L58" s="344">
        <f>_xll.BDP(TICKER&amp;" EQUITY",$F58, "EQY_FUND_RELATIVE_PERIOD", L$10, "EQY_FUND_CRNCY", CURRENCY, "EQY_CONSOLIDATED", DataH!$D$18, "Fill=B")</f>
        <v>1713</v>
      </c>
      <c r="M58" s="344">
        <f>_xll.BDP(TICKER&amp;" EQUITY",$F58, "EQY_FUND_RELATIVE_PERIOD", M$10, "EQY_FUND_CRNCY", CURRENCY, "EQY_CONSOLIDATED", DataH!$D$18, "Fill=B")</f>
        <v>2466</v>
      </c>
      <c r="N58" s="344">
        <f>_xll.BDP(TICKER&amp;" EQUITY",$F58, "EQY_FUND_RELATIVE_PERIOD", N$10, "EQY_FUND_CRNCY", CURRENCY, "EQY_CONSOLIDATED", DataH!$D$18, "Fill=B")</f>
        <v>3991</v>
      </c>
      <c r="O58" s="344">
        <f>_xll.BDP(TICKER&amp;" EQUITY",$F58, "EQY_FUND_RELATIVE_PERIOD", O$10, "EQY_FUND_CRNCY", CURRENCY, "EQY_CONSOLIDATED", DataH!$D$18, "Fill=B")</f>
        <v>6435</v>
      </c>
      <c r="P58" s="344">
        <f>_xll.BDP(TICKER&amp;" EQUITY",$F58, "EQY_FUND_RELATIVE_PERIOD", P$10, "EQY_FUND_CRNCY", CURRENCY, "EQY_CONSOLIDATED", DataH!$D$18, "Fill=B")</f>
        <v>11922</v>
      </c>
      <c r="Q58" s="345">
        <f>_xll.BDP(TICKER&amp;" EQUITY",$F58, "EQY_FUND_RELATIVE_PERIOD", Q$10, "EQY_FUND_CRNCY", CURRENCY, "EQY_CONSOLIDATED", DataH!$D$18, "Fill=B")</f>
        <v>18391</v>
      </c>
      <c r="R58" s="346"/>
      <c r="S58" s="346"/>
      <c r="T58" s="347"/>
      <c r="U58" s="216"/>
      <c r="V58" s="216"/>
    </row>
    <row r="59" spans="2:22" ht="15" customHeight="1">
      <c r="B59" s="841" t="str">
        <f>IF(Lang="English","     + Net Fixed Assets",IF(Lang="中文","     + 固定資產淨額","　+固定資産純額"))</f>
        <v xml:space="preserve">     + Net Fixed Assets</v>
      </c>
      <c r="C59" s="842"/>
      <c r="D59" s="842"/>
      <c r="E59" s="843"/>
      <c r="F59" s="129" t="s">
        <v>493</v>
      </c>
      <c r="G59" s="344">
        <f>_xll.BDP(TICKER&amp;" EQUITY",$F59, "EQY_FUND_RELATIVE_PERIOD", G$10, "EQY_FUND_CRNCY", CURRENCY, "EQY_CONSOLIDATED", DataH!$D$18, "Fill=B")</f>
        <v>707</v>
      </c>
      <c r="H59" s="344">
        <f>_xll.BDP(TICKER&amp;" EQUITY",$F59, "EQY_FUND_RELATIVE_PERIOD", H$10, "EQY_FUND_CRNCY", CURRENCY, "EQY_CONSOLIDATED", DataH!$D$18, "Fill=B")</f>
        <v>817</v>
      </c>
      <c r="I59" s="344">
        <f>_xll.BDP(TICKER&amp;" EQUITY",$F59, "EQY_FUND_RELATIVE_PERIOD", I$10, "EQY_FUND_CRNCY", CURRENCY, "EQY_CONSOLIDATED", DataH!$D$18, "Fill=B")</f>
        <v>1281</v>
      </c>
      <c r="J59" s="344">
        <f>_xll.BDP(TICKER&amp;" EQUITY",$F59, "EQY_FUND_RELATIVE_PERIOD", J$10, "EQY_FUND_CRNCY", CURRENCY, "EQY_CONSOLIDATED", DataH!$D$18, "Fill=B")</f>
        <v>1832</v>
      </c>
      <c r="K59" s="344">
        <f>_xll.BDP(TICKER&amp;" EQUITY",$F59, "EQY_FUND_RELATIVE_PERIOD", K$10, "EQY_FUND_CRNCY", CURRENCY, "EQY_CONSOLIDATED", DataH!$D$18, "Fill=B")</f>
        <v>2455</v>
      </c>
      <c r="L59" s="344">
        <f>_xll.BDP(TICKER&amp;" EQUITY",$F59, "EQY_FUND_RELATIVE_PERIOD", L$10, "EQY_FUND_CRNCY", CURRENCY, "EQY_CONSOLIDATED", DataH!$D$18, "Fill=B")</f>
        <v>2954</v>
      </c>
      <c r="M59" s="344">
        <f>_xll.BDP(TICKER&amp;" EQUITY",$F59, "EQY_FUND_RELATIVE_PERIOD", M$10, "EQY_FUND_CRNCY", CURRENCY, "EQY_CONSOLIDATED", DataH!$D$18, "Fill=B")</f>
        <v>4768</v>
      </c>
      <c r="N59" s="344">
        <f>_xll.BDP(TICKER&amp;" EQUITY",$F59, "EQY_FUND_RELATIVE_PERIOD", N$10, "EQY_FUND_CRNCY", CURRENCY, "EQY_CONSOLIDATED", DataH!$D$18, "Fill=B")</f>
        <v>7777</v>
      </c>
      <c r="O59" s="344">
        <f>_xll.BDP(TICKER&amp;" EQUITY",$F59, "EQY_FUND_RELATIVE_PERIOD", O$10, "EQY_FUND_CRNCY", CURRENCY, "EQY_CONSOLIDATED", DataH!$D$18, "Fill=B")</f>
        <v>15452</v>
      </c>
      <c r="P59" s="344">
        <f>_xll.BDP(TICKER&amp;" EQUITY",$F59, "EQY_FUND_RELATIVE_PERIOD", P$10, "EQY_FUND_CRNCY", CURRENCY, "EQY_CONSOLIDATED", DataH!$D$18, "Fill=B")</f>
        <v>16597</v>
      </c>
      <c r="Q59" s="345">
        <f>_xll.BDP(TICKER&amp;" EQUITY",$F59, "EQY_FUND_RELATIVE_PERIOD", Q$10, "EQY_FUND_CRNCY", CURRENCY, "EQY_CONSOLIDATED", DataH!$D$18, "Fill=B")</f>
        <v>20624</v>
      </c>
      <c r="R59" s="346"/>
      <c r="S59" s="346"/>
      <c r="T59" s="347"/>
      <c r="U59" s="216"/>
      <c r="V59" s="216"/>
    </row>
    <row r="60" spans="2:22" ht="15" customHeight="1">
      <c r="B60" s="841" t="str">
        <f>IF(Lang="English","     + Other Long Term Assets",IF(Lang="中文","     + 其他長期資產","　+その他資産/繰延資産等"))</f>
        <v xml:space="preserve">     + Other Long Term Assets</v>
      </c>
      <c r="C60" s="842"/>
      <c r="D60" s="842"/>
      <c r="E60" s="843"/>
      <c r="F60" s="129" t="s">
        <v>494</v>
      </c>
      <c r="G60" s="344">
        <f>_xll.BDP(TICKER&amp;" EQUITY",$F60, "EQY_FUND_RELATIVE_PERIOD", G$10, "EQY_FUND_CRNCY", CURRENCY, "EQY_CONSOLIDATED", DataH!$D$18, "Fill=B")</f>
        <v>288</v>
      </c>
      <c r="H60" s="344">
        <f>_xll.BDP(TICKER&amp;" EQUITY",$F60, "EQY_FUND_RELATIVE_PERIOD", H$10, "EQY_FUND_CRNCY", CURRENCY, "EQY_CONSOLIDATED", DataH!$D$18, "Fill=B")</f>
        <v>434</v>
      </c>
      <c r="I60" s="344">
        <f>_xll.BDP(TICKER&amp;" EQUITY",$F60, "EQY_FUND_RELATIVE_PERIOD", I$10, "EQY_FUND_CRNCY", CURRENCY, "EQY_CONSOLIDATED", DataH!$D$18, "Fill=B")</f>
        <v>1415</v>
      </c>
      <c r="J60" s="344">
        <f>_xll.BDP(TICKER&amp;" EQUITY",$F60, "EQY_FUND_RELATIVE_PERIOD", J$10, "EQY_FUND_CRNCY", CURRENCY, "EQY_CONSOLIDATED", DataH!$D$18, "Fill=B")</f>
        <v>1345</v>
      </c>
      <c r="K60" s="344">
        <f>_xll.BDP(TICKER&amp;" EQUITY",$F60, "EQY_FUND_RELATIVE_PERIOD", K$10, "EQY_FUND_CRNCY", CURRENCY, "EQY_CONSOLIDATED", DataH!$D$18, "Fill=B")</f>
        <v>1331</v>
      </c>
      <c r="L60" s="344">
        <f>_xll.BDP(TICKER&amp;" EQUITY",$F60, "EQY_FUND_RELATIVE_PERIOD", L$10, "EQY_FUND_CRNCY", CURRENCY, "EQY_CONSOLIDATED", DataH!$D$18, "Fill=B")</f>
        <v>2464</v>
      </c>
      <c r="M60" s="344">
        <f>_xll.BDP(TICKER&amp;" EQUITY",$F60, "EQY_FUND_RELATIVE_PERIOD", M$10, "EQY_FUND_CRNCY", CURRENCY, "EQY_CONSOLIDATED", DataH!$D$18, "Fill=B")</f>
        <v>3346</v>
      </c>
      <c r="N60" s="344">
        <f>_xll.BDP(TICKER&amp;" EQUITY",$F60, "EQY_FUND_RELATIVE_PERIOD", N$10, "EQY_FUND_CRNCY", CURRENCY, "EQY_CONSOLIDATED", DataH!$D$18, "Fill=B")</f>
        <v>7988</v>
      </c>
      <c r="O60" s="344">
        <f>_xll.BDP(TICKER&amp;" EQUITY",$F60, "EQY_FUND_RELATIVE_PERIOD", O$10, "EQY_FUND_CRNCY", CURRENCY, "EQY_CONSOLIDATED", DataH!$D$18, "Fill=B")</f>
        <v>10837</v>
      </c>
      <c r="P60" s="344">
        <f>_xll.BDP(TICKER&amp;" EQUITY",$F60, "EQY_FUND_RELATIVE_PERIOD", P$10, "EQY_FUND_CRNCY", CURRENCY, "EQY_CONSOLIDATED", DataH!$D$18, "Fill=B")</f>
        <v>10902</v>
      </c>
      <c r="Q60" s="345">
        <f>_xll.BDP(TICKER&amp;" EQUITY",$F60, "EQY_FUND_RELATIVE_PERIOD", Q$10, "EQY_FUND_CRNCY", CURRENCY, "EQY_CONSOLIDATED", DataH!$D$18, "Fill=B")</f>
        <v>12522</v>
      </c>
      <c r="R60" s="346"/>
      <c r="S60" s="346"/>
      <c r="T60" s="347"/>
      <c r="U60" s="216"/>
      <c r="V60" s="216"/>
    </row>
    <row r="61" spans="2:22" ht="15" customHeight="1">
      <c r="B61" s="841"/>
      <c r="C61" s="842"/>
      <c r="D61" s="842"/>
      <c r="E61" s="843"/>
      <c r="F61" s="129"/>
      <c r="G61" s="344"/>
      <c r="H61" s="344"/>
      <c r="I61" s="344"/>
      <c r="J61" s="344"/>
      <c r="K61" s="344"/>
      <c r="L61" s="344"/>
      <c r="M61" s="344"/>
      <c r="N61" s="344"/>
      <c r="O61" s="344"/>
      <c r="P61" s="344"/>
      <c r="Q61" s="345"/>
      <c r="R61" s="346"/>
      <c r="S61" s="346"/>
      <c r="T61" s="347"/>
      <c r="U61" s="216"/>
      <c r="V61" s="216"/>
    </row>
    <row r="62" spans="2:22" ht="15" customHeight="1">
      <c r="B62" s="877" t="str">
        <f>IF(Lang="English","Total Current Liabilities", IF(Lang="中文","流動負債總額","流動負債合計"))</f>
        <v>Total Current Liabilities</v>
      </c>
      <c r="C62" s="878"/>
      <c r="D62" s="878"/>
      <c r="E62" s="879"/>
      <c r="F62" s="126" t="s">
        <v>489</v>
      </c>
      <c r="G62" s="506">
        <f>_xll.BDP(TICKER&amp;" EQUITY",$F62, "EQY_FUND_RELATIVE_PERIOD", G$10, "EQY_FUND_CRNCY", CURRENCY, "EQY_CONSOLIDATED", DataH!$D$18, "Fill=B")</f>
        <v>2680</v>
      </c>
      <c r="H62" s="506">
        <f>_xll.BDP(TICKER&amp;" EQUITY",$F62, "EQY_FUND_RELATIVE_PERIOD", H$10, "EQY_FUND_CRNCY", CURRENCY, "EQY_CONSOLIDATED", DataH!$D$18, "Fill=B")</f>
        <v>3484</v>
      </c>
      <c r="I62" s="506">
        <f>_xll.BDP(TICKER&amp;" EQUITY",$F62, "EQY_FUND_RELATIVE_PERIOD", I$10, "EQY_FUND_CRNCY", CURRENCY, "EQY_CONSOLIDATED", DataH!$D$18, "Fill=B")</f>
        <v>6471</v>
      </c>
      <c r="J62" s="506">
        <f>_xll.BDP(TICKER&amp;" EQUITY",$F62, "EQY_FUND_RELATIVE_PERIOD", J$10, "EQY_FUND_CRNCY", CURRENCY, "EQY_CONSOLIDATED", DataH!$D$18, "Fill=B")</f>
        <v>9106</v>
      </c>
      <c r="K62" s="506">
        <f>_xll.BDP(TICKER&amp;" EQUITY",$F62, "EQY_FUND_RELATIVE_PERIOD", K$10, "EQY_FUND_CRNCY", CURRENCY, "EQY_CONSOLIDATED", DataH!$D$18, "Fill=B")</f>
        <v>11361</v>
      </c>
      <c r="L62" s="506">
        <f>_xll.BDP(TICKER&amp;" EQUITY",$F62, "EQY_FUND_RELATIVE_PERIOD", L$10, "EQY_FUND_CRNCY", CURRENCY, "EQY_CONSOLIDATED", DataH!$D$18, "Fill=B")</f>
        <v>11506</v>
      </c>
      <c r="M62" s="506">
        <f>_xll.BDP(TICKER&amp;" EQUITY",$F62, "EQY_FUND_RELATIVE_PERIOD", M$10, "EQY_FUND_CRNCY", CURRENCY, "EQY_CONSOLIDATED", DataH!$D$18, "Fill=B")</f>
        <v>20722</v>
      </c>
      <c r="N62" s="506">
        <f>_xll.BDP(TICKER&amp;" EQUITY",$F62, "EQY_FUND_RELATIVE_PERIOD", N$10, "EQY_FUND_CRNCY", CURRENCY, "EQY_CONSOLIDATED", DataH!$D$18, "Fill=B")</f>
        <v>27970</v>
      </c>
      <c r="O62" s="506">
        <f>_xll.BDP(TICKER&amp;" EQUITY",$F62, "EQY_FUND_RELATIVE_PERIOD", O$10, "EQY_FUND_CRNCY", CURRENCY, "EQY_CONSOLIDATED", DataH!$D$18, "Fill=B")</f>
        <v>38542</v>
      </c>
      <c r="P62" s="506">
        <f>_xll.BDP(TICKER&amp;" EQUITY",$F62, "EQY_FUND_RELATIVE_PERIOD", P$10, "EQY_FUND_CRNCY", CURRENCY, "EQY_CONSOLIDATED", DataH!$D$18, "Fill=B")</f>
        <v>43658</v>
      </c>
      <c r="Q62" s="507">
        <f>_xll.BDP(TICKER&amp;" EQUITY",$F62, "EQY_FUND_RELATIVE_PERIOD", Q$10, "EQY_FUND_CRNCY", CURRENCY, "EQY_CONSOLIDATED", DataH!$D$18, "Fill=B")</f>
        <v>63448</v>
      </c>
      <c r="R62" s="535"/>
      <c r="S62" s="536"/>
      <c r="T62" s="537"/>
      <c r="U62" s="216"/>
      <c r="V62" s="216"/>
    </row>
    <row r="63" spans="2:22" ht="15" customHeight="1">
      <c r="B63" s="841" t="str">
        <f>IF(Lang="English","     + Accounts Payable", IF(Lang="中文","     + 應付帳款","　+買掛金"))</f>
        <v xml:space="preserve">     + Accounts Payable</v>
      </c>
      <c r="C63" s="842"/>
      <c r="D63" s="842"/>
      <c r="E63" s="843"/>
      <c r="F63" s="129" t="s">
        <v>486</v>
      </c>
      <c r="G63" s="344">
        <f>_xll.BDP(TICKER&amp;" EQUITY",$F63, "EQY_FUND_RELATIVE_PERIOD", G$10, "EQY_FUND_CRNCY", CURRENCY, "EQY_CONSOLIDATED", DataH!$D$18, "Fill=B")</f>
        <v>1451</v>
      </c>
      <c r="H63" s="344">
        <f>_xll.BDP(TICKER&amp;" EQUITY",$F63, "EQY_FUND_RELATIVE_PERIOD", H$10, "EQY_FUND_CRNCY", CURRENCY, "EQY_CONSOLIDATED", DataH!$D$18, "Fill=B")</f>
        <v>1779</v>
      </c>
      <c r="I63" s="344">
        <f>_xll.BDP(TICKER&amp;" EQUITY",$F63, "EQY_FUND_RELATIVE_PERIOD", I$10, "EQY_FUND_CRNCY", CURRENCY, "EQY_CONSOLIDATED", DataH!$D$18, "Fill=B")</f>
        <v>3390</v>
      </c>
      <c r="J63" s="344">
        <f>_xll.BDP(TICKER&amp;" EQUITY",$F63, "EQY_FUND_RELATIVE_PERIOD", J$10, "EQY_FUND_CRNCY", CURRENCY, "EQY_CONSOLIDATED", DataH!$D$18, "Fill=B")</f>
        <v>4970</v>
      </c>
      <c r="K63" s="344">
        <f>_xll.BDP(TICKER&amp;" EQUITY",$F63, "EQY_FUND_RELATIVE_PERIOD", K$10, "EQY_FUND_CRNCY", CURRENCY, "EQY_CONSOLIDATED", DataH!$D$18, "Fill=B")</f>
        <v>5520</v>
      </c>
      <c r="L63" s="344">
        <f>_xll.BDP(TICKER&amp;" EQUITY",$F63, "EQY_FUND_RELATIVE_PERIOD", L$10, "EQY_FUND_CRNCY", CURRENCY, "EQY_CONSOLIDATED", DataH!$D$18, "Fill=B")</f>
        <v>5601</v>
      </c>
      <c r="M63" s="344">
        <f>_xll.BDP(TICKER&amp;" EQUITY",$F63, "EQY_FUND_RELATIVE_PERIOD", M$10, "EQY_FUND_CRNCY", CURRENCY, "EQY_CONSOLIDATED", DataH!$D$18, "Fill=B")</f>
        <v>12015</v>
      </c>
      <c r="N63" s="344">
        <f>_xll.BDP(TICKER&amp;" EQUITY",$F63, "EQY_FUND_RELATIVE_PERIOD", N$10, "EQY_FUND_CRNCY", CURRENCY, "EQY_CONSOLIDATED", DataH!$D$18, "Fill=B")</f>
        <v>14632</v>
      </c>
      <c r="O63" s="344">
        <f>_xll.BDP(TICKER&amp;" EQUITY",$F63, "EQY_FUND_RELATIVE_PERIOD", O$10, "EQY_FUND_CRNCY", CURRENCY, "EQY_CONSOLIDATED", DataH!$D$18, "Fill=B")</f>
        <v>21175</v>
      </c>
      <c r="P63" s="344">
        <f>_xll.BDP(TICKER&amp;" EQUITY",$F63, "EQY_FUND_RELATIVE_PERIOD", P$10, "EQY_FUND_CRNCY", CURRENCY, "EQY_CONSOLIDATED", DataH!$D$18, "Fill=B")</f>
        <v>22367</v>
      </c>
      <c r="Q63" s="345">
        <f>_xll.BDP(TICKER&amp;" EQUITY",$F63, "EQY_FUND_RELATIVE_PERIOD", Q$10, "EQY_FUND_CRNCY", CURRENCY, "EQY_CONSOLIDATED", DataH!$D$18, "Fill=B")</f>
        <v>30196</v>
      </c>
      <c r="R63" s="346"/>
      <c r="S63" s="346"/>
      <c r="T63" s="347"/>
      <c r="U63" s="216"/>
      <c r="V63" s="216"/>
    </row>
    <row r="64" spans="2:22" ht="15" customHeight="1">
      <c r="B64" s="841" t="str">
        <f>IF(Lang="English","     + Short Term Borrowings", IF(Lang="中文","     + 短期借款","　+短期借入金"))</f>
        <v xml:space="preserve">     + Short Term Borrowings</v>
      </c>
      <c r="C64" s="842"/>
      <c r="D64" s="842"/>
      <c r="E64" s="843"/>
      <c r="F64" s="129" t="s">
        <v>487</v>
      </c>
      <c r="G64" s="344">
        <f>_xll.BDP(TICKER&amp;" EQUITY",$F64, "EQY_FUND_RELATIVE_PERIOD", G$10, "EQY_FUND_CRNCY", CURRENCY, "EQY_CONSOLIDATED", DataH!$D$18, "Fill=B")</f>
        <v>0</v>
      </c>
      <c r="H64" s="344">
        <f>_xll.BDP(TICKER&amp;" EQUITY",$F64, "EQY_FUND_RELATIVE_PERIOD", H$10, "EQY_FUND_CRNCY", CURRENCY, "EQY_CONSOLIDATED", DataH!$D$18, "Fill=B")</f>
        <v>0</v>
      </c>
      <c r="I64" s="344">
        <f>_xll.BDP(TICKER&amp;" EQUITY",$F64, "EQY_FUND_RELATIVE_PERIOD", I$10, "EQY_FUND_CRNCY", CURRENCY, "EQY_CONSOLIDATED", DataH!$D$18, "Fill=B")</f>
        <v>0</v>
      </c>
      <c r="J64" s="344">
        <f>_xll.BDP(TICKER&amp;" EQUITY",$F64, "EQY_FUND_RELATIVE_PERIOD", J$10, "EQY_FUND_CRNCY", CURRENCY, "EQY_CONSOLIDATED", DataH!$D$18, "Fill=B")</f>
        <v>0</v>
      </c>
      <c r="K64" s="344">
        <f>_xll.BDP(TICKER&amp;" EQUITY",$F64, "EQY_FUND_RELATIVE_PERIOD", K$10, "EQY_FUND_CRNCY", CURRENCY, "EQY_CONSOLIDATED", DataH!$D$18, "Fill=B")</f>
        <v>0</v>
      </c>
      <c r="L64" s="344">
        <f>_xll.BDP(TICKER&amp;" EQUITY",$F64, "EQY_FUND_RELATIVE_PERIOD", L$10, "EQY_FUND_CRNCY", CURRENCY, "EQY_CONSOLIDATED", DataH!$D$18, "Fill=B")</f>
        <v>0</v>
      </c>
      <c r="M64" s="344">
        <f>_xll.BDP(TICKER&amp;" EQUITY",$F64, "EQY_FUND_RELATIVE_PERIOD", M$10, "EQY_FUND_CRNCY", CURRENCY, "EQY_CONSOLIDATED", DataH!$D$18, "Fill=B")</f>
        <v>0</v>
      </c>
      <c r="N64" s="344">
        <f>_xll.BDP(TICKER&amp;" EQUITY",$F64, "EQY_FUND_RELATIVE_PERIOD", N$10, "EQY_FUND_CRNCY", CURRENCY, "EQY_CONSOLIDATED", DataH!$D$18, "Fill=B")</f>
        <v>0</v>
      </c>
      <c r="O64" s="344">
        <f>_xll.BDP(TICKER&amp;" EQUITY",$F64, "EQY_FUND_RELATIVE_PERIOD", O$10, "EQY_FUND_CRNCY", CURRENCY, "EQY_CONSOLIDATED", DataH!$D$18, "Fill=B")</f>
        <v>0</v>
      </c>
      <c r="P64" s="344">
        <f>_xll.BDP(TICKER&amp;" EQUITY",$F64, "EQY_FUND_RELATIVE_PERIOD", P$10, "EQY_FUND_CRNCY", CURRENCY, "EQY_CONSOLIDATED", DataH!$D$18, "Fill=B")</f>
        <v>0</v>
      </c>
      <c r="Q64" s="345">
        <f>_xll.BDP(TICKER&amp;" EQUITY",$F64, "EQY_FUND_RELATIVE_PERIOD", Q$10, "EQY_FUND_CRNCY", CURRENCY, "EQY_CONSOLIDATED", DataH!$D$18, "Fill=B")</f>
        <v>6308</v>
      </c>
      <c r="R64" s="346"/>
      <c r="S64" s="346"/>
      <c r="T64" s="347"/>
      <c r="U64" s="216"/>
      <c r="V64" s="216"/>
    </row>
    <row r="65" spans="2:22" ht="15" customHeight="1">
      <c r="B65" s="841" t="str">
        <f>IF(Lang="English","     + Other Short Term Liabilities", IF(Lang="中文","     + 其他短期負債","　+その他流動負債"))</f>
        <v xml:space="preserve">     + Other Short Term Liabilities</v>
      </c>
      <c r="C65" s="842"/>
      <c r="D65" s="842"/>
      <c r="E65" s="843"/>
      <c r="F65" s="129" t="s">
        <v>488</v>
      </c>
      <c r="G65" s="344">
        <f>_xll.BDP(TICKER&amp;" EQUITY",$F65, "EQY_FUND_RELATIVE_PERIOD", G$10, "EQY_FUND_CRNCY", CURRENCY, "EQY_CONSOLIDATED", DataH!$D$18, "Fill=B")</f>
        <v>1229</v>
      </c>
      <c r="H65" s="344">
        <f>_xll.BDP(TICKER&amp;" EQUITY",$F65, "EQY_FUND_RELATIVE_PERIOD", H$10, "EQY_FUND_CRNCY", CURRENCY, "EQY_CONSOLIDATED", DataH!$D$18, "Fill=B")</f>
        <v>1705</v>
      </c>
      <c r="I65" s="344">
        <f>_xll.BDP(TICKER&amp;" EQUITY",$F65, "EQY_FUND_RELATIVE_PERIOD", I$10, "EQY_FUND_CRNCY", CURRENCY, "EQY_CONSOLIDATED", DataH!$D$18, "Fill=B")</f>
        <v>3081</v>
      </c>
      <c r="J65" s="344">
        <f>_xll.BDP(TICKER&amp;" EQUITY",$F65, "EQY_FUND_RELATIVE_PERIOD", J$10, "EQY_FUND_CRNCY", CURRENCY, "EQY_CONSOLIDATED", DataH!$D$18, "Fill=B")</f>
        <v>4136</v>
      </c>
      <c r="K65" s="344">
        <f>_xll.BDP(TICKER&amp;" EQUITY",$F65, "EQY_FUND_RELATIVE_PERIOD", K$10, "EQY_FUND_CRNCY", CURRENCY, "EQY_CONSOLIDATED", DataH!$D$18, "Fill=B")</f>
        <v>5841</v>
      </c>
      <c r="L65" s="344">
        <f>_xll.BDP(TICKER&amp;" EQUITY",$F65, "EQY_FUND_RELATIVE_PERIOD", L$10, "EQY_FUND_CRNCY", CURRENCY, "EQY_CONSOLIDATED", DataH!$D$18, "Fill=B")</f>
        <v>5905</v>
      </c>
      <c r="M65" s="344">
        <f>_xll.BDP(TICKER&amp;" EQUITY",$F65, "EQY_FUND_RELATIVE_PERIOD", M$10, "EQY_FUND_CRNCY", CURRENCY, "EQY_CONSOLIDATED", DataH!$D$18, "Fill=B")</f>
        <v>8707</v>
      </c>
      <c r="N65" s="344">
        <f>_xll.BDP(TICKER&amp;" EQUITY",$F65, "EQY_FUND_RELATIVE_PERIOD", N$10, "EQY_FUND_CRNCY", CURRENCY, "EQY_CONSOLIDATED", DataH!$D$18, "Fill=B")</f>
        <v>13338</v>
      </c>
      <c r="O65" s="344">
        <f>_xll.BDP(TICKER&amp;" EQUITY",$F65, "EQY_FUND_RELATIVE_PERIOD", O$10, "EQY_FUND_CRNCY", CURRENCY, "EQY_CONSOLIDATED", DataH!$D$18, "Fill=B")</f>
        <v>17367</v>
      </c>
      <c r="P65" s="344">
        <f>_xll.BDP(TICKER&amp;" EQUITY",$F65, "EQY_FUND_RELATIVE_PERIOD", P$10, "EQY_FUND_CRNCY", CURRENCY, "EQY_CONSOLIDATED", DataH!$D$18, "Fill=B")</f>
        <v>21291</v>
      </c>
      <c r="Q65" s="345">
        <f>_xll.BDP(TICKER&amp;" EQUITY",$F65, "EQY_FUND_RELATIVE_PERIOD", Q$10, "EQY_FUND_CRNCY", CURRENCY, "EQY_CONSOLIDATED", DataH!$D$18, "Fill=B")</f>
        <v>26944</v>
      </c>
      <c r="R65" s="346"/>
      <c r="S65" s="346"/>
      <c r="T65" s="347"/>
      <c r="U65" s="216"/>
      <c r="V65" s="216"/>
    </row>
    <row r="66" spans="2:22" ht="15" customHeight="1">
      <c r="B66" s="841" t="str">
        <f>IF(Lang="English","", "" )</f>
        <v/>
      </c>
      <c r="C66" s="842"/>
      <c r="D66" s="842"/>
      <c r="E66" s="843"/>
      <c r="F66" s="129"/>
      <c r="G66" s="344"/>
      <c r="H66" s="344"/>
      <c r="I66" s="344"/>
      <c r="J66" s="344"/>
      <c r="K66" s="344"/>
      <c r="L66" s="344"/>
      <c r="M66" s="344"/>
      <c r="N66" s="344"/>
      <c r="O66" s="344"/>
      <c r="P66" s="344"/>
      <c r="Q66" s="345"/>
      <c r="R66" s="346"/>
      <c r="S66" s="346"/>
      <c r="T66" s="347"/>
      <c r="U66" s="216"/>
      <c r="V66" s="216"/>
    </row>
    <row r="67" spans="2:22" ht="15" customHeight="1">
      <c r="B67" s="877" t="str">
        <f>IF(Lang="English","Total Long Term Liabilities", IF(Lang="中文","總長期負債","固定負債"))</f>
        <v>Total Long Term Liabilities</v>
      </c>
      <c r="C67" s="878"/>
      <c r="D67" s="878"/>
      <c r="E67" s="879"/>
      <c r="F67" s="126" t="s">
        <v>485</v>
      </c>
      <c r="G67" s="506">
        <f>_xll.BDP(TICKER&amp;" EQUITY",$F67, "EQY_FUND_RELATIVE_PERIOD", G$10, "EQY_FUND_CRNCY", CURRENCY, "EQY_CONSOLIDATED", DataH!$D$18, "Fill=B")</f>
        <v>294</v>
      </c>
      <c r="H67" s="506">
        <f>_xll.BDP(TICKER&amp;" EQUITY",$F67, "EQY_FUND_RELATIVE_PERIOD", H$10, "EQY_FUND_CRNCY", CURRENCY, "EQY_CONSOLIDATED", DataH!$D$18, "Fill=B")</f>
        <v>601</v>
      </c>
      <c r="I67" s="506">
        <f>_xll.BDP(TICKER&amp;" EQUITY",$F67, "EQY_FUND_RELATIVE_PERIOD", I$10, "EQY_FUND_CRNCY", CURRENCY, "EQY_CONSOLIDATED", DataH!$D$18, "Fill=B")</f>
        <v>750</v>
      </c>
      <c r="J67" s="506">
        <f>_xll.BDP(TICKER&amp;" EQUITY",$F67, "EQY_FUND_RELATIVE_PERIOD", J$10, "EQY_FUND_CRNCY", CURRENCY, "EQY_CONSOLIDATED", DataH!$D$18, "Fill=B")</f>
        <v>1241</v>
      </c>
      <c r="K67" s="506">
        <f>_xll.BDP(TICKER&amp;" EQUITY",$F67, "EQY_FUND_RELATIVE_PERIOD", K$10, "EQY_FUND_CRNCY", CURRENCY, "EQY_CONSOLIDATED", DataH!$D$18, "Fill=B")</f>
        <v>2513</v>
      </c>
      <c r="L67" s="506">
        <f>_xll.BDP(TICKER&amp;" EQUITY",$F67, "EQY_FUND_RELATIVE_PERIOD", L$10, "EQY_FUND_CRNCY", CURRENCY, "EQY_CONSOLIDATED", DataH!$D$18, "Fill=B")</f>
        <v>4355</v>
      </c>
      <c r="M67" s="506">
        <f>_xll.BDP(TICKER&amp;" EQUITY",$F67, "EQY_FUND_RELATIVE_PERIOD", M$10, "EQY_FUND_CRNCY", CURRENCY, "EQY_CONSOLIDATED", DataH!$D$18, "Fill=B")</f>
        <v>6670</v>
      </c>
      <c r="N67" s="506">
        <f>_xll.BDP(TICKER&amp;" EQUITY",$F67, "EQY_FUND_RELATIVE_PERIOD", N$10, "EQY_FUND_CRNCY", CURRENCY, "EQY_CONSOLIDATED", DataH!$D$18, "Fill=B")</f>
        <v>11786</v>
      </c>
      <c r="O67" s="506">
        <f>_xll.BDP(TICKER&amp;" EQUITY",$F67, "EQY_FUND_RELATIVE_PERIOD", O$10, "EQY_FUND_CRNCY", CURRENCY, "EQY_CONSOLIDATED", DataH!$D$18, "Fill=B")</f>
        <v>19312</v>
      </c>
      <c r="P67" s="506">
        <f>_xll.BDP(TICKER&amp;" EQUITY",$F67, "EQY_FUND_RELATIVE_PERIOD", P$10, "EQY_FUND_CRNCY", CURRENCY, "EQY_CONSOLIDATED", DataH!$D$18, "Fill=B")</f>
        <v>39793</v>
      </c>
      <c r="Q67" s="507">
        <f>_xll.BDP(TICKER&amp;" EQUITY",$F67, "EQY_FUND_RELATIVE_PERIOD", Q$10, "EQY_FUND_CRNCY", CURRENCY, "EQY_CONSOLIDATED", DataH!$D$18, "Fill=B")</f>
        <v>56844</v>
      </c>
      <c r="R67" s="535"/>
      <c r="S67" s="536"/>
      <c r="T67" s="537"/>
      <c r="U67" s="216"/>
      <c r="V67" s="216"/>
    </row>
    <row r="68" spans="2:22" ht="15" customHeight="1">
      <c r="B68" s="841" t="str">
        <f>IF(Lang="English","     + Long Term Borrowings", IF(Lang="中文","     + 長期借款","　+長期借入金 "))</f>
        <v xml:space="preserve">     + Long Term Borrowings</v>
      </c>
      <c r="C68" s="842"/>
      <c r="D68" s="842"/>
      <c r="E68" s="843"/>
      <c r="F68" s="129" t="s">
        <v>484</v>
      </c>
      <c r="G68" s="344">
        <f>_xll.BDP(TICKER&amp;" EQUITY",$F68, "EQY_FUND_RELATIVE_PERIOD", G$10, "EQY_FUND_CRNCY", CURRENCY, "EQY_CONSOLIDATED", DataH!$D$18, "Fill=B")</f>
        <v>0</v>
      </c>
      <c r="H68" s="344">
        <f>_xll.BDP(TICKER&amp;" EQUITY",$F68, "EQY_FUND_RELATIVE_PERIOD", H$10, "EQY_FUND_CRNCY", CURRENCY, "EQY_CONSOLIDATED", DataH!$D$18, "Fill=B")</f>
        <v>0</v>
      </c>
      <c r="I68" s="344">
        <f>_xll.BDP(TICKER&amp;" EQUITY",$F68, "EQY_FUND_RELATIVE_PERIOD", I$10, "EQY_FUND_CRNCY", CURRENCY, "EQY_CONSOLIDATED", DataH!$D$18, "Fill=B")</f>
        <v>0</v>
      </c>
      <c r="J68" s="344">
        <f>_xll.BDP(TICKER&amp;" EQUITY",$F68, "EQY_FUND_RELATIVE_PERIOD", J$10, "EQY_FUND_CRNCY", CURRENCY, "EQY_CONSOLIDATED", DataH!$D$18, "Fill=B")</f>
        <v>0</v>
      </c>
      <c r="K68" s="344">
        <f>_xll.BDP(TICKER&amp;" EQUITY",$F68, "EQY_FUND_RELATIVE_PERIOD", K$10, "EQY_FUND_CRNCY", CURRENCY, "EQY_CONSOLIDATED", DataH!$D$18, "Fill=B")</f>
        <v>0</v>
      </c>
      <c r="L68" s="344">
        <f>_xll.BDP(TICKER&amp;" EQUITY",$F68, "EQY_FUND_RELATIVE_PERIOD", L$10, "EQY_FUND_CRNCY", CURRENCY, "EQY_CONSOLIDATED", DataH!$D$18, "Fill=B")</f>
        <v>0</v>
      </c>
      <c r="M68" s="344">
        <f>_xll.BDP(TICKER&amp;" EQUITY",$F68, "EQY_FUND_RELATIVE_PERIOD", M$10, "EQY_FUND_CRNCY", CURRENCY, "EQY_CONSOLIDATED", DataH!$D$18, "Fill=B")</f>
        <v>0</v>
      </c>
      <c r="N68" s="344">
        <f>_xll.BDP(TICKER&amp;" EQUITY",$F68, "EQY_FUND_RELATIVE_PERIOD", N$10, "EQY_FUND_CRNCY", CURRENCY, "EQY_CONSOLIDATED", DataH!$D$18, "Fill=B")</f>
        <v>0</v>
      </c>
      <c r="O68" s="344">
        <f>_xll.BDP(TICKER&amp;" EQUITY",$F68, "EQY_FUND_RELATIVE_PERIOD", O$10, "EQY_FUND_CRNCY", CURRENCY, "EQY_CONSOLIDATED", DataH!$D$18, "Fill=B")</f>
        <v>0</v>
      </c>
      <c r="P68" s="344">
        <f>_xll.BDP(TICKER&amp;" EQUITY",$F68, "EQY_FUND_RELATIVE_PERIOD", P$10, "EQY_FUND_CRNCY", CURRENCY, "EQY_CONSOLIDATED", DataH!$D$18, "Fill=B")</f>
        <v>16960</v>
      </c>
      <c r="Q68" s="345">
        <f>_xll.BDP(TICKER&amp;" EQUITY",$F68, "EQY_FUND_RELATIVE_PERIOD", Q$10, "EQY_FUND_CRNCY", CURRENCY, "EQY_CONSOLIDATED", DataH!$D$18, "Fill=B")</f>
        <v>28987</v>
      </c>
      <c r="R68" s="346"/>
      <c r="S68" s="346"/>
      <c r="T68" s="347"/>
      <c r="U68" s="216"/>
      <c r="V68" s="216"/>
    </row>
    <row r="69" spans="2:22" ht="15" customHeight="1">
      <c r="B69" s="841" t="str">
        <f>IF(Lang="English","     + Other Long Term Borrowings", IF(Lang="中文","     + 其他長期借款","　+その他固定負債"))</f>
        <v xml:space="preserve">     + Other Long Term Borrowings</v>
      </c>
      <c r="C69" s="842"/>
      <c r="D69" s="842"/>
      <c r="E69" s="843"/>
      <c r="F69" s="129" t="s">
        <v>483</v>
      </c>
      <c r="G69" s="344">
        <f>_xll.BDP(TICKER&amp;" EQUITY",$F69, "EQY_FUND_RELATIVE_PERIOD", G$10, "EQY_FUND_CRNCY", CURRENCY, "EQY_CONSOLIDATED", DataH!$D$18, "Fill=B")</f>
        <v>294</v>
      </c>
      <c r="H69" s="344">
        <f>_xll.BDP(TICKER&amp;" EQUITY",$F69, "EQY_FUND_RELATIVE_PERIOD", H$10, "EQY_FUND_CRNCY", CURRENCY, "EQY_CONSOLIDATED", DataH!$D$18, "Fill=B")</f>
        <v>601</v>
      </c>
      <c r="I69" s="344">
        <f>_xll.BDP(TICKER&amp;" EQUITY",$F69, "EQY_FUND_RELATIVE_PERIOD", I$10, "EQY_FUND_CRNCY", CURRENCY, "EQY_CONSOLIDATED", DataH!$D$18, "Fill=B")</f>
        <v>750</v>
      </c>
      <c r="J69" s="344">
        <f>_xll.BDP(TICKER&amp;" EQUITY",$F69, "EQY_FUND_RELATIVE_PERIOD", J$10, "EQY_FUND_CRNCY", CURRENCY, "EQY_CONSOLIDATED", DataH!$D$18, "Fill=B")</f>
        <v>1241</v>
      </c>
      <c r="K69" s="344">
        <f>_xll.BDP(TICKER&amp;" EQUITY",$F69, "EQY_FUND_RELATIVE_PERIOD", K$10, "EQY_FUND_CRNCY", CURRENCY, "EQY_CONSOLIDATED", DataH!$D$18, "Fill=B")</f>
        <v>2513</v>
      </c>
      <c r="L69" s="344">
        <f>_xll.BDP(TICKER&amp;" EQUITY",$F69, "EQY_FUND_RELATIVE_PERIOD", L$10, "EQY_FUND_CRNCY", CURRENCY, "EQY_CONSOLIDATED", DataH!$D$18, "Fill=B")</f>
        <v>4355</v>
      </c>
      <c r="M69" s="344">
        <f>_xll.BDP(TICKER&amp;" EQUITY",$F69, "EQY_FUND_RELATIVE_PERIOD", M$10, "EQY_FUND_CRNCY", CURRENCY, "EQY_CONSOLIDATED", DataH!$D$18, "Fill=B")</f>
        <v>6670</v>
      </c>
      <c r="N69" s="344">
        <f>_xll.BDP(TICKER&amp;" EQUITY",$F69, "EQY_FUND_RELATIVE_PERIOD", N$10, "EQY_FUND_CRNCY", CURRENCY, "EQY_CONSOLIDATED", DataH!$D$18, "Fill=B")</f>
        <v>11786</v>
      </c>
      <c r="O69" s="344">
        <f>_xll.BDP(TICKER&amp;" EQUITY",$F69, "EQY_FUND_RELATIVE_PERIOD", O$10, "EQY_FUND_CRNCY", CURRENCY, "EQY_CONSOLIDATED", DataH!$D$18, "Fill=B")</f>
        <v>19312</v>
      </c>
      <c r="P69" s="344">
        <f>_xll.BDP(TICKER&amp;" EQUITY",$F69, "EQY_FUND_RELATIVE_PERIOD", P$10, "EQY_FUND_CRNCY", CURRENCY, "EQY_CONSOLIDATED", DataH!$D$18, "Fill=B")</f>
        <v>22833</v>
      </c>
      <c r="Q69" s="345">
        <f>_xll.BDP(TICKER&amp;" EQUITY",$F69, "EQY_FUND_RELATIVE_PERIOD", Q$10, "EQY_FUND_CRNCY", CURRENCY, "EQY_CONSOLIDATED", DataH!$D$18, "Fill=B")</f>
        <v>27857</v>
      </c>
      <c r="R69" s="346"/>
      <c r="S69" s="346"/>
      <c r="T69" s="347"/>
      <c r="U69" s="216"/>
      <c r="V69" s="216"/>
    </row>
    <row r="70" spans="2:22" ht="15" customHeight="1">
      <c r="B70" s="841" t="str">
        <f>IF(Lang="English","", "" )</f>
        <v/>
      </c>
      <c r="C70" s="842"/>
      <c r="D70" s="842"/>
      <c r="E70" s="843"/>
      <c r="F70" s="129"/>
      <c r="G70" s="344"/>
      <c r="H70" s="344"/>
      <c r="I70" s="344"/>
      <c r="J70" s="344"/>
      <c r="K70" s="344"/>
      <c r="L70" s="344"/>
      <c r="M70" s="344"/>
      <c r="N70" s="344"/>
      <c r="O70" s="344"/>
      <c r="P70" s="344"/>
      <c r="Q70" s="345"/>
      <c r="R70" s="346"/>
      <c r="S70" s="346"/>
      <c r="T70" s="347"/>
      <c r="U70" s="216"/>
      <c r="V70" s="216"/>
    </row>
    <row r="71" spans="2:22" ht="15" customHeight="1">
      <c r="B71" s="877" t="str">
        <f>IF(Lang="English","Total Liabilities", IF(Lang="中文","總負債","負債合計"))</f>
        <v>Total Liabilities</v>
      </c>
      <c r="C71" s="878"/>
      <c r="D71" s="878"/>
      <c r="E71" s="879"/>
      <c r="F71" s="126" t="s">
        <v>482</v>
      </c>
      <c r="G71" s="506">
        <f>_xll.BDP(TICKER&amp;" EQUITY",$F71, "EQY_FUND_RELATIVE_PERIOD", G$10, "EQY_FUND_CRNCY", CURRENCY, "EQY_CONSOLIDATED", DataH!$D$18, "Fill=B")</f>
        <v>2974</v>
      </c>
      <c r="H71" s="506">
        <f>_xll.BDP(TICKER&amp;" EQUITY",$F71, "EQY_FUND_RELATIVE_PERIOD", H$10, "EQY_FUND_CRNCY", CURRENCY, "EQY_CONSOLIDATED", DataH!$D$18, "Fill=B")</f>
        <v>4085</v>
      </c>
      <c r="I71" s="506">
        <f>_xll.BDP(TICKER&amp;" EQUITY",$F71, "EQY_FUND_RELATIVE_PERIOD", I$10, "EQY_FUND_CRNCY", CURRENCY, "EQY_CONSOLIDATED", DataH!$D$18, "Fill=B")</f>
        <v>7221</v>
      </c>
      <c r="J71" s="506">
        <f>_xll.BDP(TICKER&amp;" EQUITY",$F71, "EQY_FUND_RELATIVE_PERIOD", J$10, "EQY_FUND_CRNCY", CURRENCY, "EQY_CONSOLIDATED", DataH!$D$18, "Fill=B")</f>
        <v>10347</v>
      </c>
      <c r="K71" s="506">
        <f>_xll.BDP(TICKER&amp;" EQUITY",$F71, "EQY_FUND_RELATIVE_PERIOD", K$10, "EQY_FUND_CRNCY", CURRENCY, "EQY_CONSOLIDATED", DataH!$D$18, "Fill=B")</f>
        <v>13874</v>
      </c>
      <c r="L71" s="506">
        <f>_xll.BDP(TICKER&amp;" EQUITY",$F71, "EQY_FUND_RELATIVE_PERIOD", L$10, "EQY_FUND_CRNCY", CURRENCY, "EQY_CONSOLIDATED", DataH!$D$18, "Fill=B")</f>
        <v>15861</v>
      </c>
      <c r="M71" s="506">
        <f>_xll.BDP(TICKER&amp;" EQUITY",$F71, "EQY_FUND_RELATIVE_PERIOD", M$10, "EQY_FUND_CRNCY", CURRENCY, "EQY_CONSOLIDATED", DataH!$D$18, "Fill=B")</f>
        <v>27392</v>
      </c>
      <c r="N71" s="506">
        <f>_xll.BDP(TICKER&amp;" EQUITY",$F71, "EQY_FUND_RELATIVE_PERIOD", N$10, "EQY_FUND_CRNCY", CURRENCY, "EQY_CONSOLIDATED", DataH!$D$18, "Fill=B")</f>
        <v>39756</v>
      </c>
      <c r="O71" s="506">
        <f>_xll.BDP(TICKER&amp;" EQUITY",$F71, "EQY_FUND_RELATIVE_PERIOD", O$10, "EQY_FUND_CRNCY", CURRENCY, "EQY_CONSOLIDATED", DataH!$D$18, "Fill=B")</f>
        <v>57854</v>
      </c>
      <c r="P71" s="506">
        <f>_xll.BDP(TICKER&amp;" EQUITY",$F71, "EQY_FUND_RELATIVE_PERIOD", P$10, "EQY_FUND_CRNCY", CURRENCY, "EQY_CONSOLIDATED", DataH!$D$18, "Fill=B")</f>
        <v>83451</v>
      </c>
      <c r="Q71" s="507">
        <f>_xll.BDP(TICKER&amp;" EQUITY",$F71, "EQY_FUND_RELATIVE_PERIOD", Q$10, "EQY_FUND_CRNCY", CURRENCY, "EQY_CONSOLIDATED", DataH!$D$18, "Fill=B")</f>
        <v>120292</v>
      </c>
      <c r="R71" s="535"/>
      <c r="S71" s="536"/>
      <c r="T71" s="537"/>
      <c r="U71" s="216"/>
      <c r="V71" s="216"/>
    </row>
    <row r="72" spans="2:22" ht="15" customHeight="1">
      <c r="B72" s="841" t="str">
        <f>IF(Lang="English","     + Long Preferred Equity", IF(Lang="中文","     + 長優先股","　+優先株式"))</f>
        <v xml:space="preserve">     + Long Preferred Equity</v>
      </c>
      <c r="C72" s="842"/>
      <c r="D72" s="842"/>
      <c r="E72" s="843"/>
      <c r="F72" s="129" t="s">
        <v>478</v>
      </c>
      <c r="G72" s="344">
        <f>_xll.BDP(TICKER&amp;" EQUITY",$F72, "EQY_FUND_RELATIVE_PERIOD", G$10, "EQY_FUND_CRNCY", CURRENCY, "EQY_CONSOLIDATED", DataH!$D$18, "Fill=B")</f>
        <v>0</v>
      </c>
      <c r="H72" s="344">
        <f>_xll.BDP(TICKER&amp;" EQUITY",$F72, "EQY_FUND_RELATIVE_PERIOD", H$10, "EQY_FUND_CRNCY", CURRENCY, "EQY_CONSOLIDATED", DataH!$D$18, "Fill=B")</f>
        <v>0</v>
      </c>
      <c r="I72" s="344">
        <f>_xll.BDP(TICKER&amp;" EQUITY",$F72, "EQY_FUND_RELATIVE_PERIOD", I$10, "EQY_FUND_CRNCY", CURRENCY, "EQY_CONSOLIDATED", DataH!$D$18, "Fill=B")</f>
        <v>0</v>
      </c>
      <c r="J72" s="344">
        <f>_xll.BDP(TICKER&amp;" EQUITY",$F72, "EQY_FUND_RELATIVE_PERIOD", J$10, "EQY_FUND_CRNCY", CURRENCY, "EQY_CONSOLIDATED", DataH!$D$18, "Fill=B")</f>
        <v>0</v>
      </c>
      <c r="K72" s="344">
        <f>_xll.BDP(TICKER&amp;" EQUITY",$F72, "EQY_FUND_RELATIVE_PERIOD", K$10, "EQY_FUND_CRNCY", CURRENCY, "EQY_CONSOLIDATED", DataH!$D$18, "Fill=B")</f>
        <v>0</v>
      </c>
      <c r="L72" s="344">
        <f>_xll.BDP(TICKER&amp;" EQUITY",$F72, "EQY_FUND_RELATIVE_PERIOD", L$10, "EQY_FUND_CRNCY", CURRENCY, "EQY_CONSOLIDATED", DataH!$D$18, "Fill=B")</f>
        <v>0</v>
      </c>
      <c r="M72" s="344">
        <f>_xll.BDP(TICKER&amp;" EQUITY",$F72, "EQY_FUND_RELATIVE_PERIOD", M$10, "EQY_FUND_CRNCY", CURRENCY, "EQY_CONSOLIDATED", DataH!$D$18, "Fill=B")</f>
        <v>0</v>
      </c>
      <c r="N72" s="344">
        <f>_xll.BDP(TICKER&amp;" EQUITY",$F72, "EQY_FUND_RELATIVE_PERIOD", N$10, "EQY_FUND_CRNCY", CURRENCY, "EQY_CONSOLIDATED", DataH!$D$18, "Fill=B")</f>
        <v>0</v>
      </c>
      <c r="O72" s="344">
        <f>_xll.BDP(TICKER&amp;" EQUITY",$F72, "EQY_FUND_RELATIVE_PERIOD", O$10, "EQY_FUND_CRNCY", CURRENCY, "EQY_CONSOLIDATED", DataH!$D$18, "Fill=B")</f>
        <v>0</v>
      </c>
      <c r="P72" s="344">
        <f>_xll.BDP(TICKER&amp;" EQUITY",$F72, "EQY_FUND_RELATIVE_PERIOD", P$10, "EQY_FUND_CRNCY", CURRENCY, "EQY_CONSOLIDATED", DataH!$D$18, "Fill=B")</f>
        <v>0</v>
      </c>
      <c r="Q72" s="345">
        <f>_xll.BDP(TICKER&amp;" EQUITY",$F72, "EQY_FUND_RELATIVE_PERIOD", Q$10, "EQY_FUND_CRNCY", CURRENCY, "EQY_CONSOLIDATED", DataH!$D$18, "Fill=B")</f>
        <v>0</v>
      </c>
      <c r="R72" s="346"/>
      <c r="S72" s="346"/>
      <c r="T72" s="347"/>
      <c r="U72" s="216"/>
      <c r="V72" s="216"/>
    </row>
    <row r="73" spans="2:22" ht="15" customHeight="1">
      <c r="B73" s="841" t="str">
        <f>IF(Lang="English","     + Minority Interest", IF(Lang="中文","     + 少數股權","　+少数株主持分/非支配株主持分"))</f>
        <v xml:space="preserve">     + Minority Interest</v>
      </c>
      <c r="C73" s="842"/>
      <c r="D73" s="842"/>
      <c r="E73" s="843"/>
      <c r="F73" s="129" t="s">
        <v>479</v>
      </c>
      <c r="G73" s="344">
        <f>_xll.BDP(TICKER&amp;" EQUITY",$F73, "EQY_FUND_RELATIVE_PERIOD", G$10, "EQY_FUND_CRNCY", CURRENCY, "EQY_CONSOLIDATED", DataH!$D$18, "Fill=B")</f>
        <v>0</v>
      </c>
      <c r="H73" s="344">
        <f>_xll.BDP(TICKER&amp;" EQUITY",$F73, "EQY_FUND_RELATIVE_PERIOD", H$10, "EQY_FUND_CRNCY", CURRENCY, "EQY_CONSOLIDATED", DataH!$D$18, "Fill=B")</f>
        <v>0</v>
      </c>
      <c r="I73" s="344">
        <f>_xll.BDP(TICKER&amp;" EQUITY",$F73, "EQY_FUND_RELATIVE_PERIOD", I$10, "EQY_FUND_CRNCY", CURRENCY, "EQY_CONSOLIDATED", DataH!$D$18, "Fill=B")</f>
        <v>0</v>
      </c>
      <c r="J73" s="344">
        <f>_xll.BDP(TICKER&amp;" EQUITY",$F73, "EQY_FUND_RELATIVE_PERIOD", J$10, "EQY_FUND_CRNCY", CURRENCY, "EQY_CONSOLIDATED", DataH!$D$18, "Fill=B")</f>
        <v>0</v>
      </c>
      <c r="K73" s="344">
        <f>_xll.BDP(TICKER&amp;" EQUITY",$F73, "EQY_FUND_RELATIVE_PERIOD", K$10, "EQY_FUND_CRNCY", CURRENCY, "EQY_CONSOLIDATED", DataH!$D$18, "Fill=B")</f>
        <v>0</v>
      </c>
      <c r="L73" s="344">
        <f>_xll.BDP(TICKER&amp;" EQUITY",$F73, "EQY_FUND_RELATIVE_PERIOD", L$10, "EQY_FUND_CRNCY", CURRENCY, "EQY_CONSOLIDATED", DataH!$D$18, "Fill=B")</f>
        <v>0</v>
      </c>
      <c r="M73" s="344">
        <f>_xll.BDP(TICKER&amp;" EQUITY",$F73, "EQY_FUND_RELATIVE_PERIOD", M$10, "EQY_FUND_CRNCY", CURRENCY, "EQY_CONSOLIDATED", DataH!$D$18, "Fill=B")</f>
        <v>0</v>
      </c>
      <c r="N73" s="344">
        <f>_xll.BDP(TICKER&amp;" EQUITY",$F73, "EQY_FUND_RELATIVE_PERIOD", N$10, "EQY_FUND_CRNCY", CURRENCY, "EQY_CONSOLIDATED", DataH!$D$18, "Fill=B")</f>
        <v>0</v>
      </c>
      <c r="O73" s="344">
        <f>_xll.BDP(TICKER&amp;" EQUITY",$F73, "EQY_FUND_RELATIVE_PERIOD", O$10, "EQY_FUND_CRNCY", CURRENCY, "EQY_CONSOLIDATED", DataH!$D$18, "Fill=B")</f>
        <v>0</v>
      </c>
      <c r="P73" s="344">
        <f>_xll.BDP(TICKER&amp;" EQUITY",$F73, "EQY_FUND_RELATIVE_PERIOD", P$10, "EQY_FUND_CRNCY", CURRENCY, "EQY_CONSOLIDATED", DataH!$D$18, "Fill=B")</f>
        <v>0</v>
      </c>
      <c r="Q73" s="345">
        <f>_xll.BDP(TICKER&amp;" EQUITY",$F73, "EQY_FUND_RELATIVE_PERIOD", Q$10, "EQY_FUND_CRNCY", CURRENCY, "EQY_CONSOLIDATED", DataH!$D$18, "Fill=B")</f>
        <v>0</v>
      </c>
      <c r="R73" s="346"/>
      <c r="S73" s="346"/>
      <c r="T73" s="347"/>
      <c r="U73" s="216"/>
      <c r="V73" s="216"/>
    </row>
    <row r="74" spans="2:22" ht="15" customHeight="1">
      <c r="B74" s="841" t="str">
        <f>IF(Lang="English","     + Share Capital &amp; APIC", IF(Lang="中文","     + 股本及資本公積","　+資本金･払込剰余金"))</f>
        <v xml:space="preserve">     + Share Capital &amp; APIC</v>
      </c>
      <c r="C74" s="842"/>
      <c r="D74" s="842"/>
      <c r="E74" s="843"/>
      <c r="F74" s="129" t="s">
        <v>480</v>
      </c>
      <c r="G74" s="344">
        <f>_xll.BDP(TICKER&amp;" EQUITY",$F74, "EQY_FUND_RELATIVE_PERIOD", G$10, "EQY_FUND_CRNCY", CURRENCY, "EQY_CONSOLIDATED", DataH!$D$18, "Fill=B")</f>
        <v>2514</v>
      </c>
      <c r="H74" s="344">
        <f>_xll.BDP(TICKER&amp;" EQUITY",$F74, "EQY_FUND_RELATIVE_PERIOD", H$10, "EQY_FUND_CRNCY", CURRENCY, "EQY_CONSOLIDATED", DataH!$D$18, "Fill=B")</f>
        <v>3521</v>
      </c>
      <c r="I74" s="344">
        <f>_xll.BDP(TICKER&amp;" EQUITY",$F74, "EQY_FUND_RELATIVE_PERIOD", I$10, "EQY_FUND_CRNCY", CURRENCY, "EQY_CONSOLIDATED", DataH!$D$18, "Fill=B")</f>
        <v>4355</v>
      </c>
      <c r="J74" s="344">
        <f>_xll.BDP(TICKER&amp;" EQUITY",$F74, "EQY_FUND_RELATIVE_PERIOD", J$10, "EQY_FUND_CRNCY", CURRENCY, "EQY_CONSOLIDATED", DataH!$D$18, "Fill=B")</f>
        <v>5368</v>
      </c>
      <c r="K74" s="344">
        <f>_xll.BDP(TICKER&amp;" EQUITY",$F74, "EQY_FUND_RELATIVE_PERIOD", K$10, "EQY_FUND_CRNCY", CURRENCY, "EQY_CONSOLIDATED", DataH!$D$18, "Fill=B")</f>
        <v>7177</v>
      </c>
      <c r="L74" s="344">
        <f>_xll.BDP(TICKER&amp;" EQUITY",$F74, "EQY_FUND_RELATIVE_PERIOD", L$10, "EQY_FUND_CRNCY", CURRENCY, "EQY_CONSOLIDATED", DataH!$D$18, "Fill=B")</f>
        <v>8210</v>
      </c>
      <c r="M74" s="344">
        <f>_xll.BDP(TICKER&amp;" EQUITY",$F74, "EQY_FUND_RELATIVE_PERIOD", M$10, "EQY_FUND_CRNCY", CURRENCY, "EQY_CONSOLIDATED", DataH!$D$18, "Fill=B")</f>
        <v>10668</v>
      </c>
      <c r="N74" s="344">
        <f>_xll.BDP(TICKER&amp;" EQUITY",$F74, "EQY_FUND_RELATIVE_PERIOD", N$10, "EQY_FUND_CRNCY", CURRENCY, "EQY_CONSOLIDATED", DataH!$D$18, "Fill=B")</f>
        <v>13331</v>
      </c>
      <c r="O74" s="344">
        <f>_xll.BDP(TICKER&amp;" EQUITY",$F74, "EQY_FUND_RELATIVE_PERIOD", O$10, "EQY_FUND_CRNCY", CURRENCY, "EQY_CONSOLIDATED", DataH!$D$18, "Fill=B")</f>
        <v>16422</v>
      </c>
      <c r="P74" s="344">
        <f>_xll.BDP(TICKER&amp;" EQUITY",$F74, "EQY_FUND_RELATIVE_PERIOD", P$10, "EQY_FUND_CRNCY", CURRENCY, "EQY_CONSOLIDATED", DataH!$D$18, "Fill=B")</f>
        <v>19764</v>
      </c>
      <c r="Q74" s="345">
        <f>_xll.BDP(TICKER&amp;" EQUITY",$F74, "EQY_FUND_RELATIVE_PERIOD", Q$10, "EQY_FUND_CRNCY", CURRENCY, "EQY_CONSOLIDATED", DataH!$D$18, "Fill=B")</f>
        <v>23313</v>
      </c>
      <c r="R74" s="346"/>
      <c r="S74" s="346"/>
      <c r="T74" s="347"/>
      <c r="U74" s="216"/>
      <c r="V74" s="216"/>
    </row>
    <row r="75" spans="2:22" ht="15" customHeight="1">
      <c r="B75" s="841" t="str">
        <f>IF(Lang="English","     + Retained Earnings &amp; Other Equity", IF(Lang="中文","     + 保留盈利及其他權益","　+剰余金･その他持分"))</f>
        <v xml:space="preserve">     + Retained Earnings &amp; Other Equity</v>
      </c>
      <c r="C75" s="842"/>
      <c r="D75" s="842"/>
      <c r="E75" s="843"/>
      <c r="F75" s="129" t="s">
        <v>481</v>
      </c>
      <c r="G75" s="344">
        <f>_xll.BDP(TICKER&amp;" EQUITY",$F75, "EQY_FUND_RELATIVE_PERIOD", G$10, "EQY_FUND_CRNCY", CURRENCY, "EQY_CONSOLIDATED", DataH!$D$18, "Fill=B")</f>
        <v>2562</v>
      </c>
      <c r="H75" s="344">
        <f>_xll.BDP(TICKER&amp;" EQUITY",$F75, "EQY_FUND_RELATIVE_PERIOD", H$10, "EQY_FUND_CRNCY", CURRENCY, "EQY_CONSOLIDATED", DataH!$D$18, "Fill=B")</f>
        <v>3945</v>
      </c>
      <c r="I75" s="344">
        <f>_xll.BDP(TICKER&amp;" EQUITY",$F75, "EQY_FUND_RELATIVE_PERIOD", I$10, "EQY_FUND_CRNCY", CURRENCY, "EQY_CONSOLIDATED", DataH!$D$18, "Fill=B")</f>
        <v>5629</v>
      </c>
      <c r="J75" s="344">
        <f>_xll.BDP(TICKER&amp;" EQUITY",$F75, "EQY_FUND_RELATIVE_PERIOD", J$10, "EQY_FUND_CRNCY", CURRENCY, "EQY_CONSOLIDATED", DataH!$D$18, "Fill=B")</f>
        <v>9163</v>
      </c>
      <c r="K75" s="344">
        <f>_xll.BDP(TICKER&amp;" EQUITY",$F75, "EQY_FUND_RELATIVE_PERIOD", K$10, "EQY_FUND_CRNCY", CURRENCY, "EQY_CONSOLIDATED", DataH!$D$18, "Fill=B")</f>
        <v>15120</v>
      </c>
      <c r="L75" s="344">
        <f>_xll.BDP(TICKER&amp;" EQUITY",$F75, "EQY_FUND_RELATIVE_PERIOD", L$10, "EQY_FUND_CRNCY", CURRENCY, "EQY_CONSOLIDATED", DataH!$D$18, "Fill=B")</f>
        <v>23430</v>
      </c>
      <c r="M75" s="344">
        <f>_xll.BDP(TICKER&amp;" EQUITY",$F75, "EQY_FUND_RELATIVE_PERIOD", M$10, "EQY_FUND_CRNCY", CURRENCY, "EQY_CONSOLIDATED", DataH!$D$18, "Fill=B")</f>
        <v>37123</v>
      </c>
      <c r="N75" s="344">
        <f>_xll.BDP(TICKER&amp;" EQUITY",$F75, "EQY_FUND_RELATIVE_PERIOD", N$10, "EQY_FUND_CRNCY", CURRENCY, "EQY_CONSOLIDATED", DataH!$D$18, "Fill=B")</f>
        <v>63284</v>
      </c>
      <c r="O75" s="344">
        <f>_xll.BDP(TICKER&amp;" EQUITY",$F75, "EQY_FUND_RELATIVE_PERIOD", O$10, "EQY_FUND_CRNCY", CURRENCY, "EQY_CONSOLIDATED", DataH!$D$18, "Fill=B")</f>
        <v>101788</v>
      </c>
      <c r="P75" s="344">
        <f>_xll.BDP(TICKER&amp;" EQUITY",$F75, "EQY_FUND_RELATIVE_PERIOD", P$10, "EQY_FUND_CRNCY", CURRENCY, "EQY_CONSOLIDATED", DataH!$D$18, "Fill=B")</f>
        <v>103785</v>
      </c>
      <c r="Q75" s="345">
        <f>_xll.BDP(TICKER&amp;" EQUITY",$F75, "EQY_FUND_RELATIVE_PERIOD", Q$10, "EQY_FUND_CRNCY", CURRENCY, "EQY_CONSOLIDATED", DataH!$D$18, "Fill=B")</f>
        <v>88234</v>
      </c>
      <c r="R75" s="346"/>
      <c r="S75" s="346"/>
      <c r="T75" s="347"/>
      <c r="U75" s="216"/>
      <c r="V75" s="216"/>
    </row>
    <row r="76" spans="2:22" ht="15" customHeight="1">
      <c r="B76" s="841" t="str">
        <f>IF(Lang="English","", "" )</f>
        <v/>
      </c>
      <c r="C76" s="842"/>
      <c r="D76" s="842"/>
      <c r="E76" s="843"/>
      <c r="F76" s="129"/>
      <c r="G76" s="344"/>
      <c r="H76" s="344"/>
      <c r="I76" s="344"/>
      <c r="J76" s="344"/>
      <c r="K76" s="344"/>
      <c r="L76" s="344"/>
      <c r="M76" s="344"/>
      <c r="N76" s="344"/>
      <c r="O76" s="344"/>
      <c r="P76" s="344"/>
      <c r="Q76" s="345"/>
      <c r="R76" s="346"/>
      <c r="S76" s="346"/>
      <c r="T76" s="347"/>
      <c r="U76" s="216"/>
      <c r="V76" s="216"/>
    </row>
    <row r="77" spans="2:22" ht="15" customHeight="1">
      <c r="B77" s="877" t="str">
        <f>IF(Lang="English","Total Shareholders Equity", IF(Lang="中文","股東權益合計","自己資本合計"))</f>
        <v>Total Shareholders Equity</v>
      </c>
      <c r="C77" s="878"/>
      <c r="D77" s="878"/>
      <c r="E77" s="879"/>
      <c r="F77" s="126" t="s">
        <v>477</v>
      </c>
      <c r="G77" s="506">
        <f>_xll.BDP(TICKER&amp;" EQUITY",$F77, "EQY_FUND_RELATIVE_PERIOD", G$10, "EQY_FUND_CRNCY", CURRENCY, "EQY_CONSOLIDATED", DataH!$D$18, "Fill=B")</f>
        <v>5076</v>
      </c>
      <c r="H77" s="506">
        <f>_xll.BDP(TICKER&amp;" EQUITY",$F77, "EQY_FUND_RELATIVE_PERIOD", H$10, "EQY_FUND_CRNCY", CURRENCY, "EQY_CONSOLIDATED", DataH!$D$18, "Fill=B")</f>
        <v>7466</v>
      </c>
      <c r="I77" s="506">
        <f>_xll.BDP(TICKER&amp;" EQUITY",$F77, "EQY_FUND_RELATIVE_PERIOD", I$10, "EQY_FUND_CRNCY", CURRENCY, "EQY_CONSOLIDATED", DataH!$D$18, "Fill=B")</f>
        <v>9984</v>
      </c>
      <c r="J77" s="506">
        <f>_xll.BDP(TICKER&amp;" EQUITY",$F77, "EQY_FUND_RELATIVE_PERIOD", J$10, "EQY_FUND_CRNCY", CURRENCY, "EQY_CONSOLIDATED", DataH!$D$18, "Fill=B")</f>
        <v>14531</v>
      </c>
      <c r="K77" s="506">
        <f>_xll.BDP(TICKER&amp;" EQUITY",$F77, "EQY_FUND_RELATIVE_PERIOD", K$10, "EQY_FUND_CRNCY", CURRENCY, "EQY_CONSOLIDATED", DataH!$D$18, "Fill=B")</f>
        <v>22297</v>
      </c>
      <c r="L77" s="506">
        <f>_xll.BDP(TICKER&amp;" EQUITY",$F77, "EQY_FUND_RELATIVE_PERIOD", L$10, "EQY_FUND_CRNCY", CURRENCY, "EQY_CONSOLIDATED", DataH!$D$18, "Fill=B")</f>
        <v>31640</v>
      </c>
      <c r="M77" s="506">
        <f>_xll.BDP(TICKER&amp;" EQUITY",$F77, "EQY_FUND_RELATIVE_PERIOD", M$10, "EQY_FUND_CRNCY", CURRENCY, "EQY_CONSOLIDATED", DataH!$D$18, "Fill=B")</f>
        <v>47791</v>
      </c>
      <c r="N77" s="506">
        <f>_xll.BDP(TICKER&amp;" EQUITY",$F77, "EQY_FUND_RELATIVE_PERIOD", N$10, "EQY_FUND_CRNCY", CURRENCY, "EQY_CONSOLIDATED", DataH!$D$18, "Fill=B")</f>
        <v>76615</v>
      </c>
      <c r="O77" s="506">
        <f>_xll.BDP(TICKER&amp;" EQUITY",$F77, "EQY_FUND_RELATIVE_PERIOD", O$10, "EQY_FUND_CRNCY", CURRENCY, "EQY_CONSOLIDATED", DataH!$D$18, "Fill=B")</f>
        <v>118210</v>
      </c>
      <c r="P77" s="506">
        <f>_xll.BDP(TICKER&amp;" EQUITY",$F77, "EQY_FUND_RELATIVE_PERIOD", P$10, "EQY_FUND_CRNCY", CURRENCY, "EQY_CONSOLIDATED", DataH!$D$18, "Fill=B")</f>
        <v>123549</v>
      </c>
      <c r="Q77" s="507">
        <f>_xll.BDP(TICKER&amp;" EQUITY",$F77, "EQY_FUND_RELATIVE_PERIOD", Q$10, "EQY_FUND_CRNCY", CURRENCY, "EQY_CONSOLIDATED", DataH!$D$18, "Fill=B")</f>
        <v>111547</v>
      </c>
      <c r="R77" s="535"/>
      <c r="S77" s="536"/>
      <c r="T77" s="537"/>
      <c r="U77" s="216"/>
      <c r="V77" s="216"/>
    </row>
    <row r="78" spans="2:22" ht="15" customHeight="1">
      <c r="B78" s="841" t="str">
        <f>IF(Lang="English","", "" )</f>
        <v/>
      </c>
      <c r="C78" s="842"/>
      <c r="D78" s="842"/>
      <c r="E78" s="843"/>
      <c r="F78" s="129"/>
      <c r="G78" s="344"/>
      <c r="H78" s="344"/>
      <c r="I78" s="344"/>
      <c r="J78" s="344"/>
      <c r="K78" s="344"/>
      <c r="L78" s="344"/>
      <c r="M78" s="344"/>
      <c r="N78" s="344"/>
      <c r="O78" s="344"/>
      <c r="P78" s="344"/>
      <c r="Q78" s="345"/>
      <c r="R78" s="346"/>
      <c r="S78" s="346"/>
      <c r="T78" s="347"/>
      <c r="U78" s="216"/>
      <c r="V78" s="216"/>
    </row>
    <row r="79" spans="2:22" ht="15" customHeight="1">
      <c r="B79" s="877" t="str">
        <f>IF(Lang="English","Total Liabilities &amp; Equity", IF(Lang="中文","總負債及權益","総資本(負債+資本)"))</f>
        <v>Total Liabilities &amp; Equity</v>
      </c>
      <c r="C79" s="878"/>
      <c r="D79" s="878"/>
      <c r="E79" s="879"/>
      <c r="F79" s="126" t="s">
        <v>476</v>
      </c>
      <c r="G79" s="506">
        <f>_xll.BDP(TICKER&amp;" EQUITY",$F79, "EQY_FUND_RELATIVE_PERIOD", G$10, "EQY_FUND_CRNCY", CURRENCY, "EQY_CONSOLIDATED", DataH!$D$18, "Fill=B")</f>
        <v>8050</v>
      </c>
      <c r="H79" s="506">
        <f>_xll.BDP(TICKER&amp;" EQUITY",$F79, "EQY_FUND_RELATIVE_PERIOD", H$10, "EQY_FUND_CRNCY", CURRENCY, "EQY_CONSOLIDATED", DataH!$D$18, "Fill=B")</f>
        <v>11551</v>
      </c>
      <c r="I79" s="506">
        <f>_xll.BDP(TICKER&amp;" EQUITY",$F79, "EQY_FUND_RELATIVE_PERIOD", I$10, "EQY_FUND_CRNCY", CURRENCY, "EQY_CONSOLIDATED", DataH!$D$18, "Fill=B")</f>
        <v>17205</v>
      </c>
      <c r="J79" s="506">
        <f>_xll.BDP(TICKER&amp;" EQUITY",$F79, "EQY_FUND_RELATIVE_PERIOD", J$10, "EQY_FUND_CRNCY", CURRENCY, "EQY_CONSOLIDATED", DataH!$D$18, "Fill=B")</f>
        <v>24878</v>
      </c>
      <c r="K79" s="506">
        <f>_xll.BDP(TICKER&amp;" EQUITY",$F79, "EQY_FUND_RELATIVE_PERIOD", K$10, "EQY_FUND_CRNCY", CURRENCY, "EQY_CONSOLIDATED", DataH!$D$18, "Fill=B")</f>
        <v>36171</v>
      </c>
      <c r="L79" s="506">
        <f>_xll.BDP(TICKER&amp;" EQUITY",$F79, "EQY_FUND_RELATIVE_PERIOD", L$10, "EQY_FUND_CRNCY", CURRENCY, "EQY_CONSOLIDATED", DataH!$D$18, "Fill=B")</f>
        <v>47501</v>
      </c>
      <c r="M79" s="506">
        <f>_xll.BDP(TICKER&amp;" EQUITY",$F79, "EQY_FUND_RELATIVE_PERIOD", M$10, "EQY_FUND_CRNCY", CURRENCY, "EQY_CONSOLIDATED", DataH!$D$18, "Fill=B")</f>
        <v>75183</v>
      </c>
      <c r="N79" s="506">
        <f>_xll.BDP(TICKER&amp;" EQUITY",$F79, "EQY_FUND_RELATIVE_PERIOD", N$10, "EQY_FUND_CRNCY", CURRENCY, "EQY_CONSOLIDATED", DataH!$D$18, "Fill=B")</f>
        <v>116371</v>
      </c>
      <c r="O79" s="506">
        <f>_xll.BDP(TICKER&amp;" EQUITY",$F79, "EQY_FUND_RELATIVE_PERIOD", O$10, "EQY_FUND_CRNCY", CURRENCY, "EQY_CONSOLIDATED", DataH!$D$18, "Fill=B")</f>
        <v>176064</v>
      </c>
      <c r="P79" s="506">
        <f>_xll.BDP(TICKER&amp;" EQUITY",$F79, "EQY_FUND_RELATIVE_PERIOD", P$10, "EQY_FUND_CRNCY", CURRENCY, "EQY_CONSOLIDATED", DataH!$D$18, "Fill=B")</f>
        <v>207000</v>
      </c>
      <c r="Q79" s="507">
        <f>_xll.BDP(TICKER&amp;" EQUITY",$F79, "EQY_FUND_RELATIVE_PERIOD", Q$10, "EQY_FUND_CRNCY", CURRENCY, "EQY_CONSOLIDATED", DataH!$D$18, "Fill=B")</f>
        <v>231839</v>
      </c>
      <c r="R79" s="535"/>
      <c r="S79" s="536"/>
      <c r="T79" s="537"/>
      <c r="U79" s="216"/>
      <c r="V79" s="216"/>
    </row>
    <row r="80" spans="2:22" ht="15" customHeight="1">
      <c r="B80" s="841" t="str">
        <f>IF(Lang="English","", "" )</f>
        <v/>
      </c>
      <c r="C80" s="842"/>
      <c r="D80" s="842"/>
      <c r="E80" s="843"/>
      <c r="F80" s="129"/>
      <c r="G80" s="344"/>
      <c r="H80" s="344"/>
      <c r="I80" s="344"/>
      <c r="J80" s="344"/>
      <c r="K80" s="344"/>
      <c r="L80" s="344"/>
      <c r="M80" s="344"/>
      <c r="N80" s="344"/>
      <c r="O80" s="344"/>
      <c r="P80" s="344"/>
      <c r="Q80" s="345"/>
      <c r="R80" s="346"/>
      <c r="S80" s="346"/>
      <c r="T80" s="347"/>
      <c r="U80" s="216"/>
      <c r="V80" s="216"/>
    </row>
    <row r="81" spans="2:22" ht="15" customHeight="1">
      <c r="B81" s="877" t="str">
        <f>IF(Lang="English","Book Value Per Share", IF(Lang="中文","每股帳面價值","1株当り純資産額"))</f>
        <v>Book Value Per Share</v>
      </c>
      <c r="C81" s="878"/>
      <c r="D81" s="878"/>
      <c r="E81" s="879"/>
      <c r="F81" s="126" t="s">
        <v>475</v>
      </c>
      <c r="G81" s="506">
        <f>_xll.BDP(TICKER&amp;" EQUITY",$F81, "EQY_FUND_RELATIVE_PERIOD", G$10, "EQY_FUND_CRNCY", CURRENCY, "EQY_CONSOLIDATED", DataH!$D$18, "Fill=B")</f>
        <v>0.92624176976023731</v>
      </c>
      <c r="H81" s="506">
        <f>_xll.BDP(TICKER&amp;" EQUITY",$F81, "EQY_FUND_RELATIVE_PERIOD", H$10, "EQY_FUND_CRNCY", CURRENCY, "EQY_CONSOLIDATED", DataH!$D$18, "Fill=B")</f>
        <v>1.2773014310257704</v>
      </c>
      <c r="I81" s="506">
        <f>_xll.BDP(TICKER&amp;" EQUITY",$F81, "EQY_FUND_RELATIVE_PERIOD", I$10, "EQY_FUND_CRNCY", CURRENCY, "EQY_CONSOLIDATED", DataH!$D$18, "Fill=B")</f>
        <v>1.6676582930795518</v>
      </c>
      <c r="J81" s="506">
        <f>_xll.BDP(TICKER&amp;" EQUITY",$F81, "EQY_FUND_RELATIVE_PERIOD", J$10, "EQY_FUND_CRNCY", CURRENCY, "EQY_CONSOLIDATED", DataH!$D$18, "Fill=B")</f>
        <v>2.3796723592680844</v>
      </c>
      <c r="K81" s="506">
        <f>_xll.BDP(TICKER&amp;" EQUITY",$F81, "EQY_FUND_RELATIVE_PERIOD", K$10, "EQY_FUND_CRNCY", CURRENCY, "EQY_CONSOLIDATED", DataH!$D$18, "Fill=B")</f>
        <v>3.5857171928999922</v>
      </c>
      <c r="L81" s="506">
        <f>_xll.BDP(TICKER&amp;" EQUITY",$F81, "EQY_FUND_RELATIVE_PERIOD", L$10, "EQY_FUND_CRNCY", CURRENCY, "EQY_CONSOLIDATED", DataH!$D$18, "Fill=B")</f>
        <v>5.023307814855543</v>
      </c>
      <c r="M81" s="506">
        <f>_xll.BDP(TICKER&amp;" EQUITY",$F81, "EQY_FUND_RELATIVE_PERIOD", M$10, "EQY_FUND_CRNCY", CURRENCY, "EQY_CONSOLIDATED", DataH!$D$18, "Fill=B")</f>
        <v>7.4536123908043876</v>
      </c>
      <c r="N81" s="506">
        <f>_xll.BDP(TICKER&amp;" EQUITY",$F81, "EQY_FUND_RELATIVE_PERIOD", N$10, "EQY_FUND_CRNCY", CURRENCY, "EQY_CONSOLIDATED", DataH!$D$18, "Fill=B")</f>
        <v>11.777973628961009</v>
      </c>
      <c r="O81" s="506">
        <f>_xll.BDP(TICKER&amp;" EQUITY",$F81, "EQY_FUND_RELATIVE_PERIOD", O$10, "EQY_FUND_CRNCY", CURRENCY, "EQY_CONSOLIDATED", DataH!$D$18, "Fill=B")</f>
        <v>17.980194863270818</v>
      </c>
      <c r="P81" s="506">
        <f>_xll.BDP(TICKER&amp;" EQUITY",$F81, "EQY_FUND_RELATIVE_PERIOD", P$10, "EQY_FUND_CRNCY", CURRENCY, "EQY_CONSOLIDATED", DataH!$D$18, "Fill=B")</f>
        <v>19.628116078011711</v>
      </c>
      <c r="Q81" s="507">
        <f>_xll.BDP(TICKER&amp;" EQUITY",$F81, "EQY_FUND_RELATIVE_PERIOD", Q$10, "EQY_FUND_CRNCY", CURRENCY, "EQY_CONSOLIDATED", DataH!$D$18, "Fill=B")</f>
        <v>19.015332173801571</v>
      </c>
      <c r="R81" s="535">
        <f>_xll.BDP(TICKER&amp;" EQUITY",$U81, "BEST_FPERIOD_OVERRIDE", R$10, "EQY_FUND_CRNCY", CURRENCY, "BEST_CONSOLIDATED_OVERRIDE", DataH!$D$19, "Fill=B")</f>
        <v>22.69</v>
      </c>
      <c r="S81" s="536">
        <f>_xll.BDP(TICKER&amp;" EQUITY",$U81, "BEST_FPERIOD_OVERRIDE", S$10, "EQY_FUND_CRNCY", CURRENCY, "BEST_CONSOLIDATED_OVERRIDE", DataH!$D$19, "Fill=B")</f>
        <v>27.675000000000001</v>
      </c>
      <c r="T81" s="537">
        <f>_xll.BDP(TICKER&amp;" EQUITY",$U81, "BEST_FPERIOD_OVERRIDE", T$10, "EQY_FUND_CRNCY", CURRENCY, "BEST_CONSOLIDATED_OVERRIDE", DataH!$D$19, "Fill=B")</f>
        <v>33.49</v>
      </c>
      <c r="U81" s="216" t="s">
        <v>522</v>
      </c>
      <c r="V81" s="216"/>
    </row>
    <row r="82" spans="2:22" ht="15" customHeight="1">
      <c r="B82" s="889" t="str">
        <f>IF(Lang="English","     Tangible Book Value Per Share", IF(Lang="中文","     每股有形資產帳面價值","1株当り有形純資産"))</f>
        <v xml:space="preserve">     Tangible Book Value Per Share</v>
      </c>
      <c r="C82" s="890"/>
      <c r="D82" s="890"/>
      <c r="E82" s="891"/>
      <c r="F82" s="132" t="s">
        <v>474</v>
      </c>
      <c r="G82" s="556">
        <f>_xll.BDP(TICKER&amp;" EQUITY",$F82, "EQY_FUND_RELATIVE_PERIOD", G$10, "EQY_FUND_CRNCY", CURRENCY, "EQY_CONSOLIDATED", DataH!$D$18, "Fill=B")</f>
        <v>0.90854172018050083</v>
      </c>
      <c r="H82" s="556">
        <f>_xll.BDP(TICKER&amp;" EQUITY",$F82, "EQY_FUND_RELATIVE_PERIOD", H$10, "EQY_FUND_CRNCY", CURRENCY, "EQY_CONSOLIDATED", DataH!$D$18, "Fill=B")</f>
        <v>1.2608775176346005</v>
      </c>
      <c r="I82" s="556">
        <f>_xll.BDP(TICKER&amp;" EQUITY",$F82, "EQY_FUND_RELATIVE_PERIOD", I$10, "EQY_FUND_CRNCY", CURRENCY, "EQY_CONSOLIDATED", DataH!$D$18, "Fill=B")</f>
        <v>1.6380934375231537</v>
      </c>
      <c r="J82" s="556">
        <f>_xll.BDP(TICKER&amp;" EQUITY",$F82, "EQY_FUND_RELATIVE_PERIOD", J$10, "EQY_FUND_CRNCY", CURRENCY, "EQY_CONSOLIDATED", DataH!$D$18, "Fill=B")</f>
        <v>2.3108909683870307</v>
      </c>
      <c r="K82" s="556">
        <f>_xll.BDP(TICKER&amp;" EQUITY",$F82, "EQY_FUND_RELATIVE_PERIOD", K$10, "EQY_FUND_CRNCY", CURRENCY, "EQY_CONSOLIDATED", DataH!$D$18, "Fill=B")</f>
        <v>3.4958209776768188</v>
      </c>
      <c r="L82" s="556">
        <f>_xll.BDP(TICKER&amp;" EQUITY",$F82, "EQY_FUND_RELATIVE_PERIOD", L$10, "EQY_FUND_CRNCY", CURRENCY, "EQY_CONSOLIDATED", DataH!$D$18, "Fill=B")</f>
        <v>4.9513875101738254</v>
      </c>
      <c r="M82" s="556">
        <f>_xll.BDP(TICKER&amp;" EQUITY",$F82, "EQY_FUND_RELATIVE_PERIOD", M$10, "EQY_FUND_CRNCY", CURRENCY, "EQY_CONSOLIDATED", DataH!$D$18, "Fill=B")</f>
        <v>7.2847048094764988</v>
      </c>
      <c r="N82" s="556">
        <f>_xll.BDP(TICKER&amp;" EQUITY",$F82, "EQY_FUND_RELATIVE_PERIOD", N$10, "EQY_FUND_CRNCY", CURRENCY, "EQY_CONSOLIDATED", DataH!$D$18, "Fill=B")</f>
        <v>11.096645179916367</v>
      </c>
      <c r="O82" s="556">
        <f>_xll.BDP(TICKER&amp;" EQUITY",$F82, "EQY_FUND_RELATIVE_PERIOD", O$10, "EQY_FUND_CRNCY", CURRENCY, "EQY_CONSOLIDATED", DataH!$D$18, "Fill=B")</f>
        <v>17.165070387572751</v>
      </c>
      <c r="P82" s="556">
        <f>_xll.BDP(TICKER&amp;" EQUITY",$F82, "EQY_FUND_RELATIVE_PERIOD", P$10, "EQY_FUND_CRNCY", CURRENCY, "EQY_CONSOLIDATED", DataH!$D$18, "Fill=B")</f>
        <v>18.7136656482629</v>
      </c>
      <c r="Q82" s="557">
        <f>_xll.BDP(TICKER&amp;" EQUITY",$F82, "EQY_FUND_RELATIVE_PERIOD", Q$10, "EQY_FUND_CRNCY", CURRENCY, "EQY_CONSOLIDATED", DataH!$D$18, "Fill=B")</f>
        <v>17.522362580911093</v>
      </c>
      <c r="R82" s="558"/>
      <c r="S82" s="558"/>
      <c r="T82" s="559"/>
      <c r="U82" s="216"/>
      <c r="V82" s="216"/>
    </row>
    <row r="83" spans="2:22" ht="5.0999999999999996" customHeight="1">
      <c r="E83" s="268"/>
      <c r="F83" s="268"/>
      <c r="G83" s="352"/>
      <c r="H83" s="352"/>
      <c r="I83" s="352"/>
      <c r="J83" s="352"/>
      <c r="K83" s="352"/>
      <c r="L83" s="352"/>
      <c r="M83" s="352"/>
      <c r="N83" s="352"/>
      <c r="O83" s="352"/>
      <c r="P83" s="352"/>
      <c r="Q83" s="352"/>
      <c r="R83" s="352"/>
      <c r="S83" s="352"/>
      <c r="T83" s="352"/>
      <c r="U83" s="216"/>
      <c r="V83" s="216"/>
    </row>
    <row r="84" spans="2:22" ht="15" customHeight="1">
      <c r="B84" s="872" t="str">
        <f>IF(Lang="English","Cash Flows", IF(Lang="中文","現金流量","キャッシュフロー"))</f>
        <v>Cash Flows</v>
      </c>
      <c r="C84" s="873"/>
      <c r="D84" s="873"/>
      <c r="E84" s="873"/>
      <c r="F84" s="873"/>
      <c r="G84" s="873"/>
      <c r="H84" s="873"/>
      <c r="I84" s="873"/>
      <c r="J84" s="873"/>
      <c r="K84" s="873"/>
      <c r="L84" s="873"/>
      <c r="M84" s="873"/>
      <c r="N84" s="873"/>
      <c r="O84" s="873"/>
      <c r="P84" s="873"/>
      <c r="Q84" s="873"/>
      <c r="R84" s="873"/>
      <c r="S84" s="873"/>
      <c r="T84" s="874"/>
      <c r="U84" s="216"/>
      <c r="V84" s="216"/>
    </row>
    <row r="85" spans="2:22" ht="15" customHeight="1">
      <c r="B85" s="841" t="str">
        <f>IF(Lang="English","Net Income", IF(Lang="中文","淨利","純利益 "))</f>
        <v>Net Income</v>
      </c>
      <c r="C85" s="842"/>
      <c r="D85" s="842"/>
      <c r="E85" s="843"/>
      <c r="F85" s="129" t="s">
        <v>470</v>
      </c>
      <c r="G85" s="344">
        <f>_xll.BDP(TICKER&amp;" EQUITY",$F85, "EQY_FUND_RELATIVE_PERIOD", G$10, "EQY_FUND_CRNCY", CURRENCY, "EQY_CONSOLIDATED", DataH!$D$18, "Fill=B")</f>
        <v>276</v>
      </c>
      <c r="H85" s="344">
        <f>_xll.BDP(TICKER&amp;" EQUITY",$F85, "EQY_FUND_RELATIVE_PERIOD", H$10, "EQY_FUND_CRNCY", CURRENCY, "EQY_CONSOLIDATED", DataH!$D$18, "Fill=B")</f>
        <v>1335</v>
      </c>
      <c r="I85" s="344">
        <f>_xll.BDP(TICKER&amp;" EQUITY",$F85, "EQY_FUND_RELATIVE_PERIOD", I$10, "EQY_FUND_CRNCY", CURRENCY, "EQY_CONSOLIDATED", DataH!$D$18, "Fill=B")</f>
        <v>1989</v>
      </c>
      <c r="J85" s="344">
        <f>_xll.BDP(TICKER&amp;" EQUITY",$F85, "EQY_FUND_RELATIVE_PERIOD", J$10, "EQY_FUND_CRNCY", CURRENCY, "EQY_CONSOLIDATED", DataH!$D$18, "Fill=B")</f>
        <v>3495</v>
      </c>
      <c r="K85" s="344">
        <f>_xll.BDP(TICKER&amp;" EQUITY",$F85, "EQY_FUND_RELATIVE_PERIOD", K$10, "EQY_FUND_CRNCY", CURRENCY, "EQY_CONSOLIDATED", DataH!$D$18, "Fill=B")</f>
        <v>6119</v>
      </c>
      <c r="L85" s="344">
        <f>_xll.BDP(TICKER&amp;" EQUITY",$F85, "EQY_FUND_RELATIVE_PERIOD", L$10, "EQY_FUND_CRNCY", CURRENCY, "EQY_CONSOLIDATED", DataH!$D$18, "Fill=B")</f>
        <v>8235</v>
      </c>
      <c r="M85" s="344">
        <f>_xll.BDP(TICKER&amp;" EQUITY",$F85, "EQY_FUND_RELATIVE_PERIOD", M$10, "EQY_FUND_CRNCY", CURRENCY, "EQY_CONSOLIDATED", DataH!$D$18, "Fill=B")</f>
        <v>14013</v>
      </c>
      <c r="N85" s="344">
        <f>_xll.BDP(TICKER&amp;" EQUITY",$F85, "EQY_FUND_RELATIVE_PERIOD", N$10, "EQY_FUND_CRNCY", CURRENCY, "EQY_CONSOLIDATED", DataH!$D$18, "Fill=B")</f>
        <v>25922</v>
      </c>
      <c r="O85" s="344">
        <f>_xll.BDP(TICKER&amp;" EQUITY",$F85, "EQY_FUND_RELATIVE_PERIOD", O$10, "EQY_FUND_CRNCY", CURRENCY, "EQY_CONSOLIDATED", DataH!$D$18, "Fill=B")</f>
        <v>41733</v>
      </c>
      <c r="P85" s="344">
        <f>_xll.BDP(TICKER&amp;" EQUITY",$F85, "EQY_FUND_RELATIVE_PERIOD", P$10, "EQY_FUND_CRNCY", CURRENCY, "EQY_CONSOLIDATED", DataH!$D$18, "Fill=B")</f>
        <v>37037</v>
      </c>
      <c r="Q85" s="345">
        <f>_xll.BDP(TICKER&amp;" EQUITY",$F85, "EQY_FUND_RELATIVE_PERIOD", Q$10, "EQY_FUND_CRNCY", CURRENCY, "EQY_CONSOLIDATED", DataH!$D$18, "Fill=B")</f>
        <v>39510</v>
      </c>
      <c r="R85" s="346">
        <f>_xll.BDP(TICKER&amp;" EQUITY",$U85, "BEST_FPERIOD_OVERRIDE", R$10, "EQY_FUND_CRNCY", CURRENCY, "BEST_CONSOLIDATED_OVERRIDE", DataH!$D$19, "Fill=B")</f>
        <v>53195.65</v>
      </c>
      <c r="S85" s="346">
        <f>_xll.BDP(TICKER&amp;" EQUITY",$U85, "BEST_FPERIOD_OVERRIDE", S$10, "EQY_FUND_CRNCY", CURRENCY, "BEST_CONSOLIDATED_OVERRIDE", DataH!$D$19, "Fill=B")</f>
        <v>54714.125</v>
      </c>
      <c r="T85" s="347">
        <f>_xll.BDP(TICKER&amp;" EQUITY",$U85, "BEST_FPERIOD_OVERRIDE", T$10, "EQY_FUND_CRNCY", CURRENCY, "BEST_CONSOLIDATED_OVERRIDE", DataH!$D$19, "Fill=B")</f>
        <v>58310.421000000002</v>
      </c>
      <c r="U85" s="216" t="s">
        <v>523</v>
      </c>
      <c r="V85" s="216"/>
    </row>
    <row r="86" spans="2:22" ht="15" customHeight="1">
      <c r="B86" s="841" t="str">
        <f>IF(Lang="English","     + Depreciation &amp; Amortization", IF(Lang="中文","     + 折舊及攤銷","     + 減価償却費(有形･無形)"))</f>
        <v xml:space="preserve">     + Depreciation &amp; Amortization</v>
      </c>
      <c r="C86" s="842"/>
      <c r="D86" s="842"/>
      <c r="E86" s="843"/>
      <c r="F86" s="129" t="s">
        <v>471</v>
      </c>
      <c r="G86" s="344">
        <f>_xll.BDP(TICKER&amp;" EQUITY",$F86, "EQY_FUND_RELATIVE_PERIOD", G$10, "EQY_FUND_CRNCY", CURRENCY, "EQY_CONSOLIDATED", DataH!$D$18, "Fill=B")</f>
        <v>150</v>
      </c>
      <c r="H86" s="344">
        <f>_xll.BDP(TICKER&amp;" EQUITY",$F86, "EQY_FUND_RELATIVE_PERIOD", H$10, "EQY_FUND_CRNCY", CURRENCY, "EQY_CONSOLIDATED", DataH!$D$18, "Fill=B")</f>
        <v>179</v>
      </c>
      <c r="I86" s="344">
        <f>_xll.BDP(TICKER&amp;" EQUITY",$F86, "EQY_FUND_RELATIVE_PERIOD", I$10, "EQY_FUND_CRNCY", CURRENCY, "EQY_CONSOLIDATED", DataH!$D$18, "Fill=B")</f>
        <v>225</v>
      </c>
      <c r="J86" s="344">
        <f>_xll.BDP(TICKER&amp;" EQUITY",$F86, "EQY_FUND_RELATIVE_PERIOD", J$10, "EQY_FUND_CRNCY", CURRENCY, "EQY_CONSOLIDATED", DataH!$D$18, "Fill=B")</f>
        <v>327</v>
      </c>
      <c r="K86" s="344">
        <f>_xll.BDP(TICKER&amp;" EQUITY",$F86, "EQY_FUND_RELATIVE_PERIOD", K$10, "EQY_FUND_CRNCY", CURRENCY, "EQY_CONSOLIDATED", DataH!$D$18, "Fill=B")</f>
        <v>496</v>
      </c>
      <c r="L86" s="344">
        <f>_xll.BDP(TICKER&amp;" EQUITY",$F86, "EQY_FUND_RELATIVE_PERIOD", L$10, "EQY_FUND_CRNCY", CURRENCY, "EQY_CONSOLIDATED", DataH!$D$18, "Fill=B")</f>
        <v>734</v>
      </c>
      <c r="M86" s="344">
        <f>_xll.BDP(TICKER&amp;" EQUITY",$F86, "EQY_FUND_RELATIVE_PERIOD", M$10, "EQY_FUND_CRNCY", CURRENCY, "EQY_CONSOLIDATED", DataH!$D$18, "Fill=B")</f>
        <v>1027</v>
      </c>
      <c r="N86" s="344">
        <f>_xll.BDP(TICKER&amp;" EQUITY",$F86, "EQY_FUND_RELATIVE_PERIOD", N$10, "EQY_FUND_CRNCY", CURRENCY, "EQY_CONSOLIDATED", DataH!$D$18, "Fill=B")</f>
        <v>1814</v>
      </c>
      <c r="O86" s="344">
        <f>_xll.BDP(TICKER&amp;" EQUITY",$F86, "EQY_FUND_RELATIVE_PERIOD", O$10, "EQY_FUND_CRNCY", CURRENCY, "EQY_CONSOLIDATED", DataH!$D$18, "Fill=B")</f>
        <v>3277</v>
      </c>
      <c r="P86" s="344">
        <f>_xll.BDP(TICKER&amp;" EQUITY",$F86, "EQY_FUND_RELATIVE_PERIOD", P$10, "EQY_FUND_CRNCY", CURRENCY, "EQY_CONSOLIDATED", DataH!$D$18, "Fill=B")</f>
        <v>6757</v>
      </c>
      <c r="Q86" s="345">
        <f>_xll.BDP(TICKER&amp;" EQUITY",$F86, "EQY_FUND_RELATIVE_PERIOD", Q$10, "EQY_FUND_CRNCY", CURRENCY, "EQY_CONSOLIDATED", DataH!$D$18, "Fill=B")</f>
        <v>7946</v>
      </c>
      <c r="R86" s="346"/>
      <c r="S86" s="346"/>
      <c r="T86" s="347"/>
      <c r="U86" s="216"/>
      <c r="V86" s="216"/>
    </row>
    <row r="87" spans="2:22" ht="15" customHeight="1">
      <c r="B87" s="841" t="str">
        <f>IF(Lang="English","     + Other Non-Cash Adjustments", IF(Lang="中文","     + 其他非現金調整數","     + その他非現金項目調整額 "))</f>
        <v xml:space="preserve">     + Other Non-Cash Adjustments</v>
      </c>
      <c r="C87" s="842"/>
      <c r="D87" s="842"/>
      <c r="E87" s="843"/>
      <c r="F87" s="129" t="s">
        <v>472</v>
      </c>
      <c r="G87" s="344">
        <f>_xll.BDP(TICKER&amp;" EQUITY",$F87, "EQY_FUND_RELATIVE_PERIOD", G$10, "EQY_FUND_CRNCY", CURRENCY, "EQY_CONSOLIDATED", DataH!$D$18, "Fill=B")</f>
        <v>440</v>
      </c>
      <c r="H87" s="344">
        <f>_xll.BDP(TICKER&amp;" EQUITY",$F87, "EQY_FUND_RELATIVE_PERIOD", H$10, "EQY_FUND_CRNCY", CURRENCY, "EQY_CONSOLIDATED", DataH!$D$18, "Fill=B")</f>
        <v>1028</v>
      </c>
      <c r="I87" s="344">
        <f>_xll.BDP(TICKER&amp;" EQUITY",$F87, "EQY_FUND_RELATIVE_PERIOD", I$10, "EQY_FUND_CRNCY", CURRENCY, "EQY_CONSOLIDATED", DataH!$D$18, "Fill=B")</f>
        <v>483</v>
      </c>
      <c r="J87" s="344">
        <f>_xll.BDP(TICKER&amp;" EQUITY",$F87, "EQY_FUND_RELATIVE_PERIOD", J$10, "EQY_FUND_CRNCY", CURRENCY, "EQY_CONSOLIDATED", DataH!$D$18, "Fill=B")</f>
        <v>1328</v>
      </c>
      <c r="K87" s="344">
        <f>_xll.BDP(TICKER&amp;" EQUITY",$F87, "EQY_FUND_RELATIVE_PERIOD", K$10, "EQY_FUND_CRNCY", CURRENCY, "EQY_CONSOLIDATED", DataH!$D$18, "Fill=B")</f>
        <v>2889</v>
      </c>
      <c r="L87" s="344">
        <f>_xll.BDP(TICKER&amp;" EQUITY",$F87, "EQY_FUND_RELATIVE_PERIOD", L$10, "EQY_FUND_CRNCY", CURRENCY, "EQY_CONSOLIDATED", DataH!$D$18, "Fill=B")</f>
        <v>713</v>
      </c>
      <c r="M87" s="344">
        <f>_xll.BDP(TICKER&amp;" EQUITY",$F87, "EQY_FUND_RELATIVE_PERIOD", M$10, "EQY_FUND_CRNCY", CURRENCY, "EQY_CONSOLIDATED", DataH!$D$18, "Fill=B")</f>
        <v>3001</v>
      </c>
      <c r="N87" s="344">
        <f>_xll.BDP(TICKER&amp;" EQUITY",$F87, "EQY_FUND_RELATIVE_PERIOD", N$10, "EQY_FUND_CRNCY", CURRENCY, "EQY_CONSOLIDATED", DataH!$D$18, "Fill=B")</f>
        <v>8531</v>
      </c>
      <c r="O87" s="344">
        <f>_xll.BDP(TICKER&amp;" EQUITY",$F87, "EQY_FUND_RELATIVE_PERIOD", O$10, "EQY_FUND_CRNCY", CURRENCY, "EQY_CONSOLIDATED", DataH!$D$18, "Fill=B")</f>
        <v>5535</v>
      </c>
      <c r="P87" s="344">
        <f>_xll.BDP(TICKER&amp;" EQUITY",$F87, "EQY_FUND_RELATIVE_PERIOD", P$10, "EQY_FUND_CRNCY", CURRENCY, "EQY_CONSOLIDATED", DataH!$D$18, "Fill=B")</f>
        <v>8995</v>
      </c>
      <c r="Q87" s="345">
        <f>_xll.BDP(TICKER&amp;" EQUITY",$F87, "EQY_FUND_RELATIVE_PERIOD", Q$10, "EQY_FUND_CRNCY", CURRENCY, "EQY_CONSOLIDATED", DataH!$D$18, "Fill=B")</f>
        <v>11387</v>
      </c>
      <c r="R87" s="346"/>
      <c r="S87" s="346"/>
      <c r="T87" s="347"/>
      <c r="U87" s="216"/>
      <c r="V87" s="216"/>
    </row>
    <row r="88" spans="2:22" ht="15" customHeight="1">
      <c r="B88" s="841" t="str">
        <f>IF(Lang="English","     + Changes in Non-Cash Capital", IF(Lang="中文","     + 非現金資金變動","     + 非現金収支の運転資本増減"))</f>
        <v xml:space="preserve">     + Changes in Non-Cash Capital</v>
      </c>
      <c r="C88" s="842"/>
      <c r="D88" s="842"/>
      <c r="E88" s="843"/>
      <c r="F88" s="129" t="s">
        <v>473</v>
      </c>
      <c r="G88" s="344">
        <f>_xll.BDP(TICKER&amp;" EQUITY",$F88, "EQY_FUND_RELATIVE_PERIOD", G$10, "EQY_FUND_CRNCY", CURRENCY, "EQY_CONSOLIDATED", DataH!$D$18, "Fill=B")</f>
        <v>68</v>
      </c>
      <c r="H88" s="344">
        <f>_xll.BDP(TICKER&amp;" EQUITY",$F88, "EQY_FUND_RELATIVE_PERIOD", H$10, "EQY_FUND_CRNCY", CURRENCY, "EQY_CONSOLIDATED", DataH!$D$18, "Fill=B")</f>
        <v>-7</v>
      </c>
      <c r="I88" s="344">
        <f>_xll.BDP(TICKER&amp;" EQUITY",$F88, "EQY_FUND_RELATIVE_PERIOD", I$10, "EQY_FUND_CRNCY", CURRENCY, "EQY_CONSOLIDATED", DataH!$D$18, "Fill=B")</f>
        <v>-477</v>
      </c>
      <c r="J88" s="344">
        <f>_xll.BDP(TICKER&amp;" EQUITY",$F88, "EQY_FUND_RELATIVE_PERIOD", J$10, "EQY_FUND_CRNCY", CURRENCY, "EQY_CONSOLIDATED", DataH!$D$18, "Fill=B")</f>
        <v>320</v>
      </c>
      <c r="K88" s="344">
        <f>_xll.BDP(TICKER&amp;" EQUITY",$F88, "EQY_FUND_RELATIVE_PERIOD", K$10, "EQY_FUND_CRNCY", CURRENCY, "EQY_CONSOLIDATED", DataH!$D$18, "Fill=B")</f>
        <v>92</v>
      </c>
      <c r="L88" s="344">
        <f>_xll.BDP(TICKER&amp;" EQUITY",$F88, "EQY_FUND_RELATIVE_PERIOD", L$10, "EQY_FUND_CRNCY", CURRENCY, "EQY_CONSOLIDATED", DataH!$D$18, "Fill=B")</f>
        <v>477</v>
      </c>
      <c r="M88" s="344">
        <f>_xll.BDP(TICKER&amp;" EQUITY",$F88, "EQY_FUND_RELATIVE_PERIOD", M$10, "EQY_FUND_CRNCY", CURRENCY, "EQY_CONSOLIDATED", DataH!$D$18, "Fill=B")</f>
        <v>554</v>
      </c>
      <c r="N88" s="344">
        <f>_xll.BDP(TICKER&amp;" EQUITY",$F88, "EQY_FUND_RELATIVE_PERIOD", N$10, "EQY_FUND_CRNCY", CURRENCY, "EQY_CONSOLIDATED", DataH!$D$18, "Fill=B")</f>
        <v>1262</v>
      </c>
      <c r="O88" s="344">
        <f>_xll.BDP(TICKER&amp;" EQUITY",$F88, "EQY_FUND_RELATIVE_PERIOD", O$10, "EQY_FUND_CRNCY", CURRENCY, "EQY_CONSOLIDATED", DataH!$D$18, "Fill=B")</f>
        <v>311</v>
      </c>
      <c r="P88" s="344">
        <f>_xll.BDP(TICKER&amp;" EQUITY",$F88, "EQY_FUND_RELATIVE_PERIOD", P$10, "EQY_FUND_CRNCY", CURRENCY, "EQY_CONSOLIDATED", DataH!$D$18, "Fill=B")</f>
        <v>877</v>
      </c>
      <c r="Q88" s="345">
        <f>_xll.BDP(TICKER&amp;" EQUITY",$F88, "EQY_FUND_RELATIVE_PERIOD", Q$10, "EQY_FUND_CRNCY", CURRENCY, "EQY_CONSOLIDATED", DataH!$D$18, "Fill=B")</f>
        <v>870</v>
      </c>
      <c r="R88" s="346"/>
      <c r="S88" s="346"/>
      <c r="T88" s="347"/>
      <c r="U88" s="216"/>
      <c r="V88" s="216"/>
    </row>
    <row r="89" spans="2:22" ht="15" customHeight="1">
      <c r="B89" s="877" t="str">
        <f>IF(Lang="English","Cash From Operating Activities", IF(Lang="中文","營業活動現金流量","     + 営業活動によるｷｬｯｼｭﾌﾛｰ"))</f>
        <v>Cash From Operating Activities</v>
      </c>
      <c r="C89" s="878"/>
      <c r="D89" s="878"/>
      <c r="E89" s="879"/>
      <c r="F89" s="126" t="s">
        <v>469</v>
      </c>
      <c r="G89" s="506">
        <f>_xll.BDP(TICKER&amp;" EQUITY",$F89, "EQY_FUND_RELATIVE_PERIOD", G$10, "EQY_FUND_CRNCY", CURRENCY, "EQY_CONSOLIDATED", DataH!$D$18, "Fill=B")</f>
        <v>934</v>
      </c>
      <c r="H89" s="506">
        <f>_xll.BDP(TICKER&amp;" EQUITY",$F89, "EQY_FUND_RELATIVE_PERIOD", H$10, "EQY_FUND_CRNCY", CURRENCY, "EQY_CONSOLIDATED", DataH!$D$18, "Fill=B")</f>
        <v>2535</v>
      </c>
      <c r="I89" s="506">
        <f>_xll.BDP(TICKER&amp;" EQUITY",$F89, "EQY_FUND_RELATIVE_PERIOD", I$10, "EQY_FUND_CRNCY", CURRENCY, "EQY_CONSOLIDATED", DataH!$D$18, "Fill=B")</f>
        <v>2220</v>
      </c>
      <c r="J89" s="506">
        <f>_xll.BDP(TICKER&amp;" EQUITY",$F89, "EQY_FUND_RELATIVE_PERIOD", J$10, "EQY_FUND_CRNCY", CURRENCY, "EQY_CONSOLIDATED", DataH!$D$18, "Fill=B")</f>
        <v>5470</v>
      </c>
      <c r="K89" s="506">
        <f>_xll.BDP(TICKER&amp;" EQUITY",$F89, "EQY_FUND_RELATIVE_PERIOD", K$10, "EQY_FUND_CRNCY", CURRENCY, "EQY_CONSOLIDATED", DataH!$D$18, "Fill=B")</f>
        <v>9596</v>
      </c>
      <c r="L89" s="506">
        <f>_xll.BDP(TICKER&amp;" EQUITY",$F89, "EQY_FUND_RELATIVE_PERIOD", L$10, "EQY_FUND_CRNCY", CURRENCY, "EQY_CONSOLIDATED", DataH!$D$18, "Fill=B")</f>
        <v>10159</v>
      </c>
      <c r="M89" s="506">
        <f>_xll.BDP(TICKER&amp;" EQUITY",$F89, "EQY_FUND_RELATIVE_PERIOD", M$10, "EQY_FUND_CRNCY", CURRENCY, "EQY_CONSOLIDATED", DataH!$D$18, "Fill=B")</f>
        <v>18595</v>
      </c>
      <c r="N89" s="506">
        <f>_xll.BDP(TICKER&amp;" EQUITY",$F89, "EQY_FUND_RELATIVE_PERIOD", N$10, "EQY_FUND_CRNCY", CURRENCY, "EQY_CONSOLIDATED", DataH!$D$18, "Fill=B")</f>
        <v>37529</v>
      </c>
      <c r="O89" s="506">
        <f>_xll.BDP(TICKER&amp;" EQUITY",$F89, "EQY_FUND_RELATIVE_PERIOD", O$10, "EQY_FUND_CRNCY", CURRENCY, "EQY_CONSOLIDATED", DataH!$D$18, "Fill=B")</f>
        <v>50856</v>
      </c>
      <c r="P89" s="506">
        <f>_xll.BDP(TICKER&amp;" EQUITY",$F89, "EQY_FUND_RELATIVE_PERIOD", P$10, "EQY_FUND_CRNCY", CURRENCY, "EQY_CONSOLIDATED", DataH!$D$18, "Fill=B")</f>
        <v>53666</v>
      </c>
      <c r="Q89" s="507">
        <f>_xll.BDP(TICKER&amp;" EQUITY",$F89, "EQY_FUND_RELATIVE_PERIOD", Q$10, "EQY_FUND_CRNCY", CURRENCY, "EQY_CONSOLIDATED", DataH!$D$18, "Fill=B")</f>
        <v>59713</v>
      </c>
      <c r="R89" s="535"/>
      <c r="S89" s="536"/>
      <c r="T89" s="537"/>
      <c r="U89" s="216"/>
      <c r="V89" s="216"/>
    </row>
    <row r="90" spans="2:22" ht="15" customHeight="1">
      <c r="B90" s="841" t="str">
        <f>IF(Lang="English","", "" )</f>
        <v/>
      </c>
      <c r="C90" s="842"/>
      <c r="D90" s="842"/>
      <c r="E90" s="843"/>
      <c r="F90" s="129"/>
      <c r="G90" s="344"/>
      <c r="H90" s="344"/>
      <c r="I90" s="344"/>
      <c r="J90" s="344"/>
      <c r="K90" s="344"/>
      <c r="L90" s="344"/>
      <c r="M90" s="344"/>
      <c r="N90" s="344"/>
      <c r="O90" s="344"/>
      <c r="P90" s="344"/>
      <c r="Q90" s="345"/>
      <c r="R90" s="346"/>
      <c r="S90" s="346"/>
      <c r="T90" s="347"/>
      <c r="U90" s="216"/>
      <c r="V90" s="216"/>
    </row>
    <row r="91" spans="2:22" ht="15" customHeight="1">
      <c r="B91" s="841" t="str">
        <f>IF(Lang="English","     + Disposal of Fixed Assets", IF(Lang="中文","     + 固定資產處分","     + 固定資産処分"))</f>
        <v xml:space="preserve">     + Disposal of Fixed Assets</v>
      </c>
      <c r="C91" s="842"/>
      <c r="D91" s="842"/>
      <c r="E91" s="843"/>
      <c r="F91" s="129" t="s">
        <v>464</v>
      </c>
      <c r="G91" s="344">
        <f>_xll.BDP(TICKER&amp;" EQUITY",$F91, "EQY_FUND_RELATIVE_PERIOD", G$10, "EQY_FUND_CRNCY", CURRENCY, "EQY_CONSOLIDATED", DataH!$D$18, "Fill=B")</f>
        <v>0</v>
      </c>
      <c r="H91" s="344">
        <f>_xll.BDP(TICKER&amp;" EQUITY",$F91, "EQY_FUND_RELATIVE_PERIOD", H$10, "EQY_FUND_CRNCY", CURRENCY, "EQY_CONSOLIDATED", DataH!$D$18, "Fill=B")</f>
        <v>0</v>
      </c>
      <c r="I91" s="344">
        <f>_xll.BDP(TICKER&amp;" EQUITY",$F91, "EQY_FUND_RELATIVE_PERIOD", I$10, "EQY_FUND_CRNCY", CURRENCY, "EQY_CONSOLIDATED", DataH!$D$18, "Fill=B")</f>
        <v>0</v>
      </c>
      <c r="J91" s="344">
        <f>_xll.BDP(TICKER&amp;" EQUITY",$F91, "EQY_FUND_RELATIVE_PERIOD", J$10, "EQY_FUND_CRNCY", CURRENCY, "EQY_CONSOLIDATED", DataH!$D$18, "Fill=B")</f>
        <v>0</v>
      </c>
      <c r="K91" s="344">
        <f>_xll.BDP(TICKER&amp;" EQUITY",$F91, "EQY_FUND_RELATIVE_PERIOD", K$10, "EQY_FUND_CRNCY", CURRENCY, "EQY_CONSOLIDATED", DataH!$D$18, "Fill=B")</f>
        <v>0</v>
      </c>
      <c r="L91" s="344">
        <f>_xll.BDP(TICKER&amp;" EQUITY",$F91, "EQY_FUND_RELATIVE_PERIOD", L$10, "EQY_FUND_CRNCY", CURRENCY, "EQY_CONSOLIDATED", DataH!$D$18, "Fill=B")</f>
        <v>0</v>
      </c>
      <c r="M91" s="344">
        <f>_xll.BDP(TICKER&amp;" EQUITY",$F91, "EQY_FUND_RELATIVE_PERIOD", M$10, "EQY_FUND_CRNCY", CURRENCY, "EQY_CONSOLIDATED", DataH!$D$18, "Fill=B")</f>
        <v>0</v>
      </c>
      <c r="N91" s="344">
        <f>_xll.BDP(TICKER&amp;" EQUITY",$F91, "EQY_FUND_RELATIVE_PERIOD", N$10, "EQY_FUND_CRNCY", CURRENCY, "EQY_CONSOLIDATED", DataH!$D$18, "Fill=B")</f>
        <v>0</v>
      </c>
      <c r="O91" s="344">
        <f>_xll.BDP(TICKER&amp;" EQUITY",$F91, "EQY_FUND_RELATIVE_PERIOD", O$10, "EQY_FUND_CRNCY", CURRENCY, "EQY_CONSOLIDATED", DataH!$D$18, "Fill=B")</f>
        <v>0</v>
      </c>
      <c r="P91" s="344">
        <f>_xll.BDP(TICKER&amp;" EQUITY",$F91, "EQY_FUND_RELATIVE_PERIOD", P$10, "EQY_FUND_CRNCY", CURRENCY, "EQY_CONSOLIDATED", DataH!$D$18, "Fill=B")</f>
        <v>0</v>
      </c>
      <c r="Q91" s="345">
        <f>_xll.BDP(TICKER&amp;" EQUITY",$F91, "EQY_FUND_RELATIVE_PERIOD", Q$10, "EQY_FUND_CRNCY", CURRENCY, "EQY_CONSOLIDATED", DataH!$D$18, "Fill=B")</f>
        <v>0</v>
      </c>
      <c r="R91" s="346"/>
      <c r="S91" s="346"/>
      <c r="T91" s="347"/>
      <c r="U91" s="216"/>
      <c r="V91" s="216"/>
    </row>
    <row r="92" spans="2:22" ht="15" customHeight="1">
      <c r="B92" s="841" t="str">
        <f>IF(Lang="English","     + Capital Expenditures", IF(Lang="中文","     + 資本支出","     + 資本的支出・資産追加取得"))</f>
        <v xml:space="preserve">     + Capital Expenditures</v>
      </c>
      <c r="C92" s="842"/>
      <c r="D92" s="842"/>
      <c r="E92" s="843"/>
      <c r="F92" s="129" t="s">
        <v>465</v>
      </c>
      <c r="G92" s="344">
        <f>_xll.BDP(TICKER&amp;" EQUITY",$F92, "EQY_FUND_RELATIVE_PERIOD", G$10, "EQY_FUND_CRNCY", CURRENCY, "EQY_CONSOLIDATED", DataH!$D$18, "Fill=B")</f>
        <v>-176</v>
      </c>
      <c r="H92" s="344">
        <f>_xll.BDP(TICKER&amp;" EQUITY",$F92, "EQY_FUND_RELATIVE_PERIOD", H$10, "EQY_FUND_CRNCY", CURRENCY, "EQY_CONSOLIDATED", DataH!$D$18, "Fill=B")</f>
        <v>-260</v>
      </c>
      <c r="I92" s="344">
        <f>_xll.BDP(TICKER&amp;" EQUITY",$F92, "EQY_FUND_RELATIVE_PERIOD", I$10, "EQY_FUND_CRNCY", CURRENCY, "EQY_CONSOLIDATED", DataH!$D$18, "Fill=B")</f>
        <v>-657</v>
      </c>
      <c r="J92" s="344">
        <f>_xll.BDP(TICKER&amp;" EQUITY",$F92, "EQY_FUND_RELATIVE_PERIOD", J$10, "EQY_FUND_CRNCY", CURRENCY, "EQY_CONSOLIDATED", DataH!$D$18, "Fill=B")</f>
        <v>-735</v>
      </c>
      <c r="K92" s="344">
        <f>_xll.BDP(TICKER&amp;" EQUITY",$F92, "EQY_FUND_RELATIVE_PERIOD", K$10, "EQY_FUND_CRNCY", CURRENCY, "EQY_CONSOLIDATED", DataH!$D$18, "Fill=B")</f>
        <v>-1091</v>
      </c>
      <c r="L92" s="344">
        <f>_xll.BDP(TICKER&amp;" EQUITY",$F92, "EQY_FUND_RELATIVE_PERIOD", L$10, "EQY_FUND_CRNCY", CURRENCY, "EQY_CONSOLIDATED", DataH!$D$18, "Fill=B")</f>
        <v>-1144</v>
      </c>
      <c r="M92" s="344">
        <f>_xll.BDP(TICKER&amp;" EQUITY",$F92, "EQY_FUND_RELATIVE_PERIOD", M$10, "EQY_FUND_CRNCY", CURRENCY, "EQY_CONSOLIDATED", DataH!$D$18, "Fill=B")</f>
        <v>-2005</v>
      </c>
      <c r="N92" s="344">
        <f>_xll.BDP(TICKER&amp;" EQUITY",$F92, "EQY_FUND_RELATIVE_PERIOD", N$10, "EQY_FUND_CRNCY", CURRENCY, "EQY_CONSOLIDATED", DataH!$D$18, "Fill=B")</f>
        <v>-4260</v>
      </c>
      <c r="O92" s="344">
        <f>_xll.BDP(TICKER&amp;" EQUITY",$F92, "EQY_FUND_RELATIVE_PERIOD", O$10, "EQY_FUND_CRNCY", CURRENCY, "EQY_CONSOLIDATED", DataH!$D$18, "Fill=B")</f>
        <v>-8295</v>
      </c>
      <c r="P92" s="344">
        <f>_xll.BDP(TICKER&amp;" EQUITY",$F92, "EQY_FUND_RELATIVE_PERIOD", P$10, "EQY_FUND_CRNCY", CURRENCY, "EQY_CONSOLIDATED", DataH!$D$18, "Fill=B")</f>
        <v>-8165</v>
      </c>
      <c r="Q92" s="345">
        <f>_xll.BDP(TICKER&amp;" EQUITY",$F92, "EQY_FUND_RELATIVE_PERIOD", Q$10, "EQY_FUND_CRNCY", CURRENCY, "EQY_CONSOLIDATED", DataH!$D$18, "Fill=B")</f>
        <v>-9571</v>
      </c>
      <c r="R92" s="346">
        <f>_xll.BDP(TICKER&amp;" EQUITY",$U92, "BEST_FPERIOD_OVERRIDE", R$10, "EQY_FUND_CRNCY", CURRENCY, "BEST_CONSOLIDATED_OVERRIDE", DataH!$D$19, "Fill=B")</f>
        <v>-11121.45</v>
      </c>
      <c r="S92" s="346">
        <f>_xll.BDP(TICKER&amp;" EQUITY",$U92, "BEST_FPERIOD_OVERRIDE", S$10, "EQY_FUND_CRNCY", CURRENCY, "BEST_CONSOLIDATED_OVERRIDE", DataH!$D$19, "Fill=B")</f>
        <v>-12332.105</v>
      </c>
      <c r="T92" s="347">
        <f>_xll.BDP(TICKER&amp;" EQUITY",$U92, "BEST_FPERIOD_OVERRIDE", T$10, "EQY_FUND_CRNCY", CURRENCY, "BEST_CONSOLIDATED_OVERRIDE", DataH!$D$19, "Fill=B")</f>
        <v>-12837</v>
      </c>
      <c r="U92" s="216" t="s">
        <v>524</v>
      </c>
      <c r="V92" s="216"/>
    </row>
    <row r="93" spans="2:22" ht="15" customHeight="1">
      <c r="B93" s="841" t="str">
        <f>IF(Lang="English","     + Increase in Investments", IF(Lang="中文","     + 投資增加","     + 投資取得による支出"))</f>
        <v xml:space="preserve">     + Increase in Investments</v>
      </c>
      <c r="C93" s="842"/>
      <c r="D93" s="842"/>
      <c r="E93" s="843"/>
      <c r="F93" s="129" t="s">
        <v>466</v>
      </c>
      <c r="G93" s="344">
        <f>_xll.BDP(TICKER&amp;" EQUITY",$F93, "EQY_FUND_RELATIVE_PERIOD", G$10, "EQY_FUND_CRNCY", CURRENCY, "EQY_CONSOLIDATED", DataH!$D$18, "Fill=B")</f>
        <v>0</v>
      </c>
      <c r="H93" s="344">
        <f>_xll.BDP(TICKER&amp;" EQUITY",$F93, "EQY_FUND_RELATIVE_PERIOD", H$10, "EQY_FUND_CRNCY", CURRENCY, "EQY_CONSOLIDATED", DataH!$D$18, "Fill=B")</f>
        <v>0</v>
      </c>
      <c r="I93" s="344">
        <f>_xll.BDP(TICKER&amp;" EQUITY",$F93, "EQY_FUND_RELATIVE_PERIOD", I$10, "EQY_FUND_CRNCY", CURRENCY, "EQY_CONSOLIDATED", DataH!$D$18, "Fill=B")</f>
        <v>-25</v>
      </c>
      <c r="J93" s="344">
        <f>_xll.BDP(TICKER&amp;" EQUITY",$F93, "EQY_FUND_RELATIVE_PERIOD", J$10, "EQY_FUND_CRNCY", CURRENCY, "EQY_CONSOLIDATED", DataH!$D$18, "Fill=B")</f>
        <v>-17</v>
      </c>
      <c r="K93" s="344">
        <f>_xll.BDP(TICKER&amp;" EQUITY",$F93, "EQY_FUND_RELATIVE_PERIOD", K$10, "EQY_FUND_CRNCY", CURRENCY, "EQY_CONSOLIDATED", DataH!$D$18, "Fill=B")</f>
        <v>-38</v>
      </c>
      <c r="L93" s="344">
        <f>_xll.BDP(TICKER&amp;" EQUITY",$F93, "EQY_FUND_RELATIVE_PERIOD", L$10, "EQY_FUND_CRNCY", CURRENCY, "EQY_CONSOLIDATED", DataH!$D$18, "Fill=B")</f>
        <v>-101</v>
      </c>
      <c r="M93" s="344">
        <f>_xll.BDP(TICKER&amp;" EQUITY",$F93, "EQY_FUND_RELATIVE_PERIOD", M$10, "EQY_FUND_CRNCY", CURRENCY, "EQY_CONSOLIDATED", DataH!$D$18, "Fill=B")</f>
        <v>-18</v>
      </c>
      <c r="N93" s="344">
        <f>_xll.BDP(TICKER&amp;" EQUITY",$F93, "EQY_FUND_RELATIVE_PERIOD", N$10, "EQY_FUND_CRNCY", CURRENCY, "EQY_CONSOLIDATED", DataH!$D$18, "Fill=B")</f>
        <v>0</v>
      </c>
      <c r="O93" s="344">
        <f>_xll.BDP(TICKER&amp;" EQUITY",$F93, "EQY_FUND_RELATIVE_PERIOD", O$10, "EQY_FUND_CRNCY", CURRENCY, "EQY_CONSOLIDATED", DataH!$D$18, "Fill=B")</f>
        <v>0</v>
      </c>
      <c r="P93" s="344">
        <f>_xll.BDP(TICKER&amp;" EQUITY",$F93, "EQY_FUND_RELATIVE_PERIOD", P$10, "EQY_FUND_CRNCY", CURRENCY, "EQY_CONSOLIDATED", DataH!$D$18, "Fill=B")</f>
        <v>0</v>
      </c>
      <c r="Q93" s="345">
        <f>_xll.BDP(TICKER&amp;" EQUITY",$F93, "EQY_FUND_RELATIVE_PERIOD", Q$10, "EQY_FUND_CRNCY", CURRENCY, "EQY_CONSOLIDATED", DataH!$D$18, "Fill=B")</f>
        <v>0</v>
      </c>
      <c r="R93" s="346"/>
      <c r="S93" s="346"/>
      <c r="T93" s="347"/>
      <c r="U93" s="216"/>
      <c r="V93" s="216"/>
    </row>
    <row r="94" spans="2:22" ht="15" customHeight="1">
      <c r="B94" s="841" t="str">
        <f>IF(Lang="English","     + Decrease in Investments", IF(Lang="中文","     + 投資減少額","     + 投資売却による収入 "))</f>
        <v xml:space="preserve">     + Decrease in Investments</v>
      </c>
      <c r="C94" s="842"/>
      <c r="D94" s="842"/>
      <c r="E94" s="843"/>
      <c r="F94" s="129" t="s">
        <v>467</v>
      </c>
      <c r="G94" s="344">
        <f>_xll.BDP(TICKER&amp;" EQUITY",$F94, "EQY_FUND_RELATIVE_PERIOD", G$10, "EQY_FUND_CRNCY", CURRENCY, "EQY_CONSOLIDATED", DataH!$D$18, "Fill=B")</f>
        <v>5</v>
      </c>
      <c r="H94" s="344">
        <f>_xll.BDP(TICKER&amp;" EQUITY",$F94, "EQY_FUND_RELATIVE_PERIOD", H$10, "EQY_FUND_CRNCY", CURRENCY, "EQY_CONSOLIDATED", DataH!$D$18, "Fill=B")</f>
        <v>0</v>
      </c>
      <c r="I94" s="344">
        <f>_xll.BDP(TICKER&amp;" EQUITY",$F94, "EQY_FUND_RELATIVE_PERIOD", I$10, "EQY_FUND_CRNCY", CURRENCY, "EQY_CONSOLIDATED", DataH!$D$18, "Fill=B")</f>
        <v>0</v>
      </c>
      <c r="J94" s="344">
        <f>_xll.BDP(TICKER&amp;" EQUITY",$F94, "EQY_FUND_RELATIVE_PERIOD", J$10, "EQY_FUND_CRNCY", CURRENCY, "EQY_CONSOLIDATED", DataH!$D$18, "Fill=B")</f>
        <v>0</v>
      </c>
      <c r="K94" s="344">
        <f>_xll.BDP(TICKER&amp;" EQUITY",$F94, "EQY_FUND_RELATIVE_PERIOD", K$10, "EQY_FUND_CRNCY", CURRENCY, "EQY_CONSOLIDATED", DataH!$D$18, "Fill=B")</f>
        <v>0</v>
      </c>
      <c r="L94" s="344">
        <f>_xll.BDP(TICKER&amp;" EQUITY",$F94, "EQY_FUND_RELATIVE_PERIOD", L$10, "EQY_FUND_CRNCY", CURRENCY, "EQY_CONSOLIDATED", DataH!$D$18, "Fill=B")</f>
        <v>0</v>
      </c>
      <c r="M94" s="344">
        <f>_xll.BDP(TICKER&amp;" EQUITY",$F94, "EQY_FUND_RELATIVE_PERIOD", M$10, "EQY_FUND_CRNCY", CURRENCY, "EQY_CONSOLIDATED", DataH!$D$18, "Fill=B")</f>
        <v>0</v>
      </c>
      <c r="N94" s="344">
        <f>_xll.BDP(TICKER&amp;" EQUITY",$F94, "EQY_FUND_RELATIVE_PERIOD", N$10, "EQY_FUND_CRNCY", CURRENCY, "EQY_CONSOLIDATED", DataH!$D$18, "Fill=B")</f>
        <v>0</v>
      </c>
      <c r="O94" s="344">
        <f>_xll.BDP(TICKER&amp;" EQUITY",$F94, "EQY_FUND_RELATIVE_PERIOD", O$10, "EQY_FUND_CRNCY", CURRENCY, "EQY_CONSOLIDATED", DataH!$D$18, "Fill=B")</f>
        <v>0</v>
      </c>
      <c r="P94" s="344">
        <f>_xll.BDP(TICKER&amp;" EQUITY",$F94, "EQY_FUND_RELATIVE_PERIOD", P$10, "EQY_FUND_CRNCY", CURRENCY, "EQY_CONSOLIDATED", DataH!$D$18, "Fill=B")</f>
        <v>0</v>
      </c>
      <c r="Q94" s="345">
        <f>_xll.BDP(TICKER&amp;" EQUITY",$F94, "EQY_FUND_RELATIVE_PERIOD", Q$10, "EQY_FUND_CRNCY", CURRENCY, "EQY_CONSOLIDATED", DataH!$D$18, "Fill=B")</f>
        <v>0</v>
      </c>
      <c r="R94" s="346"/>
      <c r="S94" s="346"/>
      <c r="T94" s="347"/>
      <c r="U94" s="216"/>
      <c r="V94" s="216"/>
    </row>
    <row r="95" spans="2:22" ht="15" customHeight="1">
      <c r="B95" s="841" t="str">
        <f>IF(Lang="English","     + Other Investing Activities", IF(Lang="中文","     + 其它投資活動","     + その他の投資活動 "))</f>
        <v xml:space="preserve">     + Other Investing Activities</v>
      </c>
      <c r="C95" s="842"/>
      <c r="D95" s="842"/>
      <c r="E95" s="843"/>
      <c r="F95" s="129" t="s">
        <v>468</v>
      </c>
      <c r="G95" s="344">
        <f>_xll.BDP(TICKER&amp;" EQUITY",$F95, "EQY_FUND_RELATIVE_PERIOD", G$10, "EQY_FUND_CRNCY", CURRENCY, "EQY_CONSOLIDATED", DataH!$D$18, "Fill=B")</f>
        <v>-1317</v>
      </c>
      <c r="H95" s="344">
        <f>_xll.BDP(TICKER&amp;" EQUITY",$F95, "EQY_FUND_RELATIVE_PERIOD", H$10, "EQY_FUND_CRNCY", CURRENCY, "EQY_CONSOLIDATED", DataH!$D$18, "Fill=B")</f>
        <v>-2296</v>
      </c>
      <c r="I95" s="344">
        <f>_xll.BDP(TICKER&amp;" EQUITY",$F95, "EQY_FUND_RELATIVE_PERIOD", I$10, "EQY_FUND_CRNCY", CURRENCY, "EQY_CONSOLIDATED", DataH!$D$18, "Fill=B")</f>
        <v>1039</v>
      </c>
      <c r="J95" s="344">
        <f>_xll.BDP(TICKER&amp;" EQUITY",$F95, "EQY_FUND_RELATIVE_PERIOD", J$10, "EQY_FUND_CRNCY", CURRENCY, "EQY_CONSOLIDATED", DataH!$D$18, "Fill=B")</f>
        <v>-2497</v>
      </c>
      <c r="K95" s="344">
        <f>_xll.BDP(TICKER&amp;" EQUITY",$F95, "EQY_FUND_RELATIVE_PERIOD", K$10, "EQY_FUND_CRNCY", CURRENCY, "EQY_CONSOLIDATED", DataH!$D$18, "Fill=B")</f>
        <v>-7060</v>
      </c>
      <c r="L95" s="344">
        <f>_xll.BDP(TICKER&amp;" EQUITY",$F95, "EQY_FUND_RELATIVE_PERIOD", L$10, "EQY_FUND_CRNCY", CURRENCY, "EQY_CONSOLIDATED", DataH!$D$18, "Fill=B")</f>
        <v>-16189</v>
      </c>
      <c r="M95" s="344">
        <f>_xll.BDP(TICKER&amp;" EQUITY",$F95, "EQY_FUND_RELATIVE_PERIOD", M$10, "EQY_FUND_CRNCY", CURRENCY, "EQY_CONSOLIDATED", DataH!$D$18, "Fill=B")</f>
        <v>-11831</v>
      </c>
      <c r="N95" s="344">
        <f>_xll.BDP(TICKER&amp;" EQUITY",$F95, "EQY_FUND_RELATIVE_PERIOD", N$10, "EQY_FUND_CRNCY", CURRENCY, "EQY_CONSOLIDATED", DataH!$D$18, "Fill=B")</f>
        <v>-36159</v>
      </c>
      <c r="O95" s="344">
        <f>_xll.BDP(TICKER&amp;" EQUITY",$F95, "EQY_FUND_RELATIVE_PERIOD", O$10, "EQY_FUND_CRNCY", CURRENCY, "EQY_CONSOLIDATED", DataH!$D$18, "Fill=B")</f>
        <v>-39932</v>
      </c>
      <c r="P95" s="344">
        <f>_xll.BDP(TICKER&amp;" EQUITY",$F95, "EQY_FUND_RELATIVE_PERIOD", P$10, "EQY_FUND_CRNCY", CURRENCY, "EQY_CONSOLIDATED", DataH!$D$18, "Fill=B")</f>
        <v>-25609</v>
      </c>
      <c r="Q95" s="345">
        <f>_xll.BDP(TICKER&amp;" EQUITY",$F95, "EQY_FUND_RELATIVE_PERIOD", Q$10, "EQY_FUND_CRNCY", CURRENCY, "EQY_CONSOLIDATED", DataH!$D$18, "Fill=B")</f>
        <v>-13008</v>
      </c>
      <c r="R95" s="346"/>
      <c r="S95" s="346"/>
      <c r="T95" s="347"/>
      <c r="U95" s="216"/>
      <c r="V95" s="216"/>
    </row>
    <row r="96" spans="2:22" ht="15" customHeight="1">
      <c r="B96" s="877" t="str">
        <f>IF(Lang="English","Cash From Investing Activities", IF(Lang="中文","投資活動現金流量","投資活動による資金 "))</f>
        <v>Cash From Investing Activities</v>
      </c>
      <c r="C96" s="878"/>
      <c r="D96" s="878"/>
      <c r="E96" s="879"/>
      <c r="F96" s="126" t="s">
        <v>456</v>
      </c>
      <c r="G96" s="506">
        <f>_xll.BDP(TICKER&amp;" EQUITY",$F96, "EQY_FUND_RELATIVE_PERIOD", G$10, "EQY_FUND_CRNCY", CURRENCY, "EQY_CONSOLIDATED", DataH!$D$18, "Fill=B")</f>
        <v>-1488</v>
      </c>
      <c r="H96" s="506">
        <f>_xll.BDP(TICKER&amp;" EQUITY",$F96, "EQY_FUND_RELATIVE_PERIOD", H$10, "EQY_FUND_CRNCY", CURRENCY, "EQY_CONSOLIDATED", DataH!$D$18, "Fill=B")</f>
        <v>-2556</v>
      </c>
      <c r="I96" s="506">
        <f>_xll.BDP(TICKER&amp;" EQUITY",$F96, "EQY_FUND_RELATIVE_PERIOD", I$10, "EQY_FUND_CRNCY", CURRENCY, "EQY_CONSOLIDATED", DataH!$D$18, "Fill=B")</f>
        <v>357</v>
      </c>
      <c r="J96" s="506">
        <f>_xll.BDP(TICKER&amp;" EQUITY",$F96, "EQY_FUND_RELATIVE_PERIOD", J$10, "EQY_FUND_CRNCY", CURRENCY, "EQY_CONSOLIDATED", DataH!$D$18, "Fill=B")</f>
        <v>-3249</v>
      </c>
      <c r="K96" s="506">
        <f>_xll.BDP(TICKER&amp;" EQUITY",$F96, "EQY_FUND_RELATIVE_PERIOD", K$10, "EQY_FUND_CRNCY", CURRENCY, "EQY_CONSOLIDATED", DataH!$D$18, "Fill=B")</f>
        <v>-8189</v>
      </c>
      <c r="L96" s="506">
        <f>_xll.BDP(TICKER&amp;" EQUITY",$F96, "EQY_FUND_RELATIVE_PERIOD", L$10, "EQY_FUND_CRNCY", CURRENCY, "EQY_CONSOLIDATED", DataH!$D$18, "Fill=B")</f>
        <v>-17434</v>
      </c>
      <c r="M96" s="506">
        <f>_xll.BDP(TICKER&amp;" EQUITY",$F96, "EQY_FUND_RELATIVE_PERIOD", M$10, "EQY_FUND_CRNCY", CURRENCY, "EQY_CONSOLIDATED", DataH!$D$18, "Fill=B")</f>
        <v>-13854</v>
      </c>
      <c r="N96" s="506">
        <f>_xll.BDP(TICKER&amp;" EQUITY",$F96, "EQY_FUND_RELATIVE_PERIOD", N$10, "EQY_FUND_CRNCY", CURRENCY, "EQY_CONSOLIDATED", DataH!$D$18, "Fill=B")</f>
        <v>-40419</v>
      </c>
      <c r="O96" s="506">
        <f>_xll.BDP(TICKER&amp;" EQUITY",$F96, "EQY_FUND_RELATIVE_PERIOD", O$10, "EQY_FUND_CRNCY", CURRENCY, "EQY_CONSOLIDATED", DataH!$D$18, "Fill=B")</f>
        <v>-48227</v>
      </c>
      <c r="P96" s="506">
        <f>_xll.BDP(TICKER&amp;" EQUITY",$F96, "EQY_FUND_RELATIVE_PERIOD", P$10, "EQY_FUND_CRNCY", CURRENCY, "EQY_CONSOLIDATED", DataH!$D$18, "Fill=B")</f>
        <v>-33774</v>
      </c>
      <c r="Q96" s="507">
        <f>_xll.BDP(TICKER&amp;" EQUITY",$F96, "EQY_FUND_RELATIVE_PERIOD", Q$10, "EQY_FUND_CRNCY", CURRENCY, "EQY_CONSOLIDATED", DataH!$D$18, "Fill=B")</f>
        <v>-22579</v>
      </c>
      <c r="R96" s="535"/>
      <c r="S96" s="536"/>
      <c r="T96" s="537"/>
      <c r="U96" s="216"/>
      <c r="V96" s="216"/>
    </row>
    <row r="97" spans="2:22" ht="15" customHeight="1">
      <c r="B97" s="862" t="str">
        <f>IF(Lang="English","", "" )</f>
        <v/>
      </c>
      <c r="C97" s="767"/>
      <c r="D97" s="767"/>
      <c r="E97" s="768"/>
      <c r="F97" s="129"/>
      <c r="G97" s="348"/>
      <c r="H97" s="348"/>
      <c r="I97" s="348"/>
      <c r="J97" s="348"/>
      <c r="K97" s="348"/>
      <c r="L97" s="348"/>
      <c r="M97" s="348"/>
      <c r="N97" s="348"/>
      <c r="O97" s="348"/>
      <c r="P97" s="348"/>
      <c r="Q97" s="349"/>
      <c r="R97" s="346"/>
      <c r="S97" s="346"/>
      <c r="T97" s="347"/>
      <c r="U97" s="216"/>
      <c r="V97" s="216"/>
    </row>
    <row r="98" spans="2:22" ht="15" customHeight="1">
      <c r="B98" s="841" t="str">
        <f>IF(Lang="English","     + Dividends Paid", IF(Lang="中文","     + 支付股利","     + 支払配当金"))</f>
        <v xml:space="preserve">     + Dividends Paid</v>
      </c>
      <c r="C98" s="842"/>
      <c r="D98" s="842"/>
      <c r="E98" s="843"/>
      <c r="F98" s="129" t="s">
        <v>457</v>
      </c>
      <c r="G98" s="344">
        <f>_xll.BDP(TICKER&amp;" EQUITY",$F98, "EQY_FUND_RELATIVE_PERIOD", G$10, "EQY_FUND_CRNCY", CURRENCY, "EQY_CONSOLIDATED", DataH!$D$18, "Fill=B")</f>
        <v>0</v>
      </c>
      <c r="H98" s="344">
        <f>_xll.BDP(TICKER&amp;" EQUITY",$F98, "EQY_FUND_RELATIVE_PERIOD", H$10, "EQY_FUND_CRNCY", CURRENCY, "EQY_CONSOLIDATED", DataH!$D$18, "Fill=B")</f>
        <v>0</v>
      </c>
      <c r="I98" s="344">
        <f>_xll.BDP(TICKER&amp;" EQUITY",$F98, "EQY_FUND_RELATIVE_PERIOD", I$10, "EQY_FUND_CRNCY", CURRENCY, "EQY_CONSOLIDATED", DataH!$D$18, "Fill=B")</f>
        <v>0</v>
      </c>
      <c r="J98" s="344">
        <f>_xll.BDP(TICKER&amp;" EQUITY",$F98, "EQY_FUND_RELATIVE_PERIOD", J$10, "EQY_FUND_CRNCY", CURRENCY, "EQY_CONSOLIDATED", DataH!$D$18, "Fill=B")</f>
        <v>0</v>
      </c>
      <c r="K98" s="344">
        <f>_xll.BDP(TICKER&amp;" EQUITY",$F98, "EQY_FUND_RELATIVE_PERIOD", K$10, "EQY_FUND_CRNCY", CURRENCY, "EQY_CONSOLIDATED", DataH!$D$18, "Fill=B")</f>
        <v>0</v>
      </c>
      <c r="L98" s="344">
        <f>_xll.BDP(TICKER&amp;" EQUITY",$F98, "EQY_FUND_RELATIVE_PERIOD", L$10, "EQY_FUND_CRNCY", CURRENCY, "EQY_CONSOLIDATED", DataH!$D$18, "Fill=B")</f>
        <v>0</v>
      </c>
      <c r="M98" s="344">
        <f>_xll.BDP(TICKER&amp;" EQUITY",$F98, "EQY_FUND_RELATIVE_PERIOD", M$10, "EQY_FUND_CRNCY", CURRENCY, "EQY_CONSOLIDATED", DataH!$D$18, "Fill=B")</f>
        <v>0</v>
      </c>
      <c r="N98" s="344">
        <f>_xll.BDP(TICKER&amp;" EQUITY",$F98, "EQY_FUND_RELATIVE_PERIOD", N$10, "EQY_FUND_CRNCY", CURRENCY, "EQY_CONSOLIDATED", DataH!$D$18, "Fill=B")</f>
        <v>0</v>
      </c>
      <c r="O98" s="344">
        <f>_xll.BDP(TICKER&amp;" EQUITY",$F98, "EQY_FUND_RELATIVE_PERIOD", O$10, "EQY_FUND_CRNCY", CURRENCY, "EQY_CONSOLIDATED", DataH!$D$18, "Fill=B")</f>
        <v>-2488</v>
      </c>
      <c r="P98" s="344">
        <f>_xll.BDP(TICKER&amp;" EQUITY",$F98, "EQY_FUND_RELATIVE_PERIOD", P$10, "EQY_FUND_CRNCY", CURRENCY, "EQY_CONSOLIDATED", DataH!$D$18, "Fill=B")</f>
        <v>-10564</v>
      </c>
      <c r="Q98" s="345">
        <f>_xll.BDP(TICKER&amp;" EQUITY",$F98, "EQY_FUND_RELATIVE_PERIOD", Q$10, "EQY_FUND_CRNCY", CURRENCY, "EQY_CONSOLIDATED", DataH!$D$18, "Fill=B")</f>
        <v>-11126</v>
      </c>
      <c r="R98" s="346"/>
      <c r="S98" s="346"/>
      <c r="T98" s="347"/>
      <c r="U98" s="216"/>
      <c r="V98" s="216"/>
    </row>
    <row r="99" spans="2:22" ht="15" customHeight="1">
      <c r="B99" s="841" t="str">
        <f>IF(Lang="English","     + Change in Short Term Borrowings", IF(Lang="中文","     + 短期借款變動","     + 短期借入金の増減"))</f>
        <v xml:space="preserve">     + Change in Short Term Borrowings</v>
      </c>
      <c r="C99" s="842"/>
      <c r="D99" s="842"/>
      <c r="E99" s="843"/>
      <c r="F99" s="129" t="s">
        <v>458</v>
      </c>
      <c r="G99" s="344">
        <f>_xll.BDP(TICKER&amp;" EQUITY",$F99, "EQY_FUND_RELATIVE_PERIOD", G$10, "EQY_FUND_CRNCY", CURRENCY, "EQY_CONSOLIDATED", DataH!$D$18, "Fill=B")</f>
        <v>0</v>
      </c>
      <c r="H99" s="344">
        <f>_xll.BDP(TICKER&amp;" EQUITY",$F99, "EQY_FUND_RELATIVE_PERIOD", H$10, "EQY_FUND_CRNCY", CURRENCY, "EQY_CONSOLIDATED", DataH!$D$18, "Fill=B")</f>
        <v>0</v>
      </c>
      <c r="I99" s="344">
        <f>_xll.BDP(TICKER&amp;" EQUITY",$F99, "EQY_FUND_RELATIVE_PERIOD", I$10, "EQY_FUND_CRNCY", CURRENCY, "EQY_CONSOLIDATED", DataH!$D$18, "Fill=B")</f>
        <v>0</v>
      </c>
      <c r="J99" s="344">
        <f>_xll.BDP(TICKER&amp;" EQUITY",$F99, "EQY_FUND_RELATIVE_PERIOD", J$10, "EQY_FUND_CRNCY", CURRENCY, "EQY_CONSOLIDATED", DataH!$D$18, "Fill=B")</f>
        <v>0</v>
      </c>
      <c r="K99" s="344">
        <f>_xll.BDP(TICKER&amp;" EQUITY",$F99, "EQY_FUND_RELATIVE_PERIOD", K$10, "EQY_FUND_CRNCY", CURRENCY, "EQY_CONSOLIDATED", DataH!$D$18, "Fill=B")</f>
        <v>0</v>
      </c>
      <c r="L99" s="344">
        <f>_xll.BDP(TICKER&amp;" EQUITY",$F99, "EQY_FUND_RELATIVE_PERIOD", L$10, "EQY_FUND_CRNCY", CURRENCY, "EQY_CONSOLIDATED", DataH!$D$18, "Fill=B")</f>
        <v>0</v>
      </c>
      <c r="M99" s="344">
        <f>_xll.BDP(TICKER&amp;" EQUITY",$F99, "EQY_FUND_RELATIVE_PERIOD", M$10, "EQY_FUND_CRNCY", CURRENCY, "EQY_CONSOLIDATED", DataH!$D$18, "Fill=B")</f>
        <v>0</v>
      </c>
      <c r="N99" s="344">
        <f>_xll.BDP(TICKER&amp;" EQUITY",$F99, "EQY_FUND_RELATIVE_PERIOD", N$10, "EQY_FUND_CRNCY", CURRENCY, "EQY_CONSOLIDATED", DataH!$D$18, "Fill=B")</f>
        <v>0</v>
      </c>
      <c r="O99" s="344">
        <f>_xll.BDP(TICKER&amp;" EQUITY",$F99, "EQY_FUND_RELATIVE_PERIOD", O$10, "EQY_FUND_CRNCY", CURRENCY, "EQY_CONSOLIDATED", DataH!$D$18, "Fill=B")</f>
        <v>0</v>
      </c>
      <c r="P99" s="344">
        <f>_xll.BDP(TICKER&amp;" EQUITY",$F99, "EQY_FUND_RELATIVE_PERIOD", P$10, "EQY_FUND_CRNCY", CURRENCY, "EQY_CONSOLIDATED", DataH!$D$18, "Fill=B")</f>
        <v>0</v>
      </c>
      <c r="Q99" s="345">
        <f>_xll.BDP(TICKER&amp;" EQUITY",$F99, "EQY_FUND_RELATIVE_PERIOD", Q$10, "EQY_FUND_CRNCY", CURRENCY, "EQY_CONSOLIDATED", DataH!$D$18, "Fill=B")</f>
        <v>6306</v>
      </c>
      <c r="R99" s="346"/>
      <c r="S99" s="346"/>
      <c r="T99" s="347"/>
      <c r="U99" s="216"/>
      <c r="V99" s="216"/>
    </row>
    <row r="100" spans="2:22" ht="15" customHeight="1">
      <c r="B100" s="841" t="str">
        <f>IF(Lang="English","     + Increase in Long Term Borrowings", IF(Lang="中文","     + 長期借款增加","     + 長期借入金の増加額"))</f>
        <v xml:space="preserve">     + Increase in Long Term Borrowings</v>
      </c>
      <c r="C100" s="842"/>
      <c r="D100" s="842"/>
      <c r="E100" s="843"/>
      <c r="F100" s="129" t="s">
        <v>459</v>
      </c>
      <c r="G100" s="344">
        <f>_xll.BDP(TICKER&amp;" EQUITY",$F100, "EQY_FUND_RELATIVE_PERIOD", G$10, "EQY_FUND_CRNCY", CURRENCY, "EQY_CONSOLIDATED", DataH!$D$18, "Fill=B")</f>
        <v>0</v>
      </c>
      <c r="H100" s="344">
        <f>_xll.BDP(TICKER&amp;" EQUITY",$F100, "EQY_FUND_RELATIVE_PERIOD", H$10, "EQY_FUND_CRNCY", CURRENCY, "EQY_CONSOLIDATED", DataH!$D$18, "Fill=B")</f>
        <v>0</v>
      </c>
      <c r="I100" s="344">
        <f>_xll.BDP(TICKER&amp;" EQUITY",$F100, "EQY_FUND_RELATIVE_PERIOD", I$10, "EQY_FUND_CRNCY", CURRENCY, "EQY_CONSOLIDATED", DataH!$D$18, "Fill=B")</f>
        <v>0</v>
      </c>
      <c r="J100" s="344">
        <f>_xll.BDP(TICKER&amp;" EQUITY",$F100, "EQY_FUND_RELATIVE_PERIOD", J$10, "EQY_FUND_CRNCY", CURRENCY, "EQY_CONSOLIDATED", DataH!$D$18, "Fill=B")</f>
        <v>0</v>
      </c>
      <c r="K100" s="344">
        <f>_xll.BDP(TICKER&amp;" EQUITY",$F100, "EQY_FUND_RELATIVE_PERIOD", K$10, "EQY_FUND_CRNCY", CURRENCY, "EQY_CONSOLIDATED", DataH!$D$18, "Fill=B")</f>
        <v>0</v>
      </c>
      <c r="L100" s="344">
        <f>_xll.BDP(TICKER&amp;" EQUITY",$F100, "EQY_FUND_RELATIVE_PERIOD", L$10, "EQY_FUND_CRNCY", CURRENCY, "EQY_CONSOLIDATED", DataH!$D$18, "Fill=B")</f>
        <v>0</v>
      </c>
      <c r="M100" s="344">
        <f>_xll.BDP(TICKER&amp;" EQUITY",$F100, "EQY_FUND_RELATIVE_PERIOD", M$10, "EQY_FUND_CRNCY", CURRENCY, "EQY_CONSOLIDATED", DataH!$D$18, "Fill=B")</f>
        <v>0</v>
      </c>
      <c r="N100" s="344">
        <f>_xll.BDP(TICKER&amp;" EQUITY",$F100, "EQY_FUND_RELATIVE_PERIOD", N$10, "EQY_FUND_CRNCY", CURRENCY, "EQY_CONSOLIDATED", DataH!$D$18, "Fill=B")</f>
        <v>0</v>
      </c>
      <c r="O100" s="344">
        <f>_xll.BDP(TICKER&amp;" EQUITY",$F100, "EQY_FUND_RELATIVE_PERIOD", O$10, "EQY_FUND_CRNCY", CURRENCY, "EQY_CONSOLIDATED", DataH!$D$18, "Fill=B")</f>
        <v>0</v>
      </c>
      <c r="P100" s="344">
        <f>_xll.BDP(TICKER&amp;" EQUITY",$F100, "EQY_FUND_RELATIVE_PERIOD", P$10, "EQY_FUND_CRNCY", CURRENCY, "EQY_CONSOLIDATED", DataH!$D$18, "Fill=B")</f>
        <v>16896</v>
      </c>
      <c r="Q100" s="345">
        <f>_xll.BDP(TICKER&amp;" EQUITY",$F100, "EQY_FUND_RELATIVE_PERIOD", Q$10, "EQY_FUND_CRNCY", CURRENCY, "EQY_CONSOLIDATED", DataH!$D$18, "Fill=B")</f>
        <v>11960</v>
      </c>
      <c r="R100" s="346"/>
      <c r="S100" s="346"/>
      <c r="T100" s="347"/>
      <c r="U100" s="216"/>
      <c r="V100" s="216"/>
    </row>
    <row r="101" spans="2:22" ht="15" customHeight="1">
      <c r="B101" s="841" t="str">
        <f>IF(Lang="English","     + Decrease in Long Term Borrowings", IF(Lang="中文","     + 長期借款減少","     + 長期借入金の返済 "))</f>
        <v xml:space="preserve">     + Decrease in Long Term Borrowings</v>
      </c>
      <c r="C101" s="842"/>
      <c r="D101" s="842"/>
      <c r="E101" s="843"/>
      <c r="F101" s="129" t="s">
        <v>460</v>
      </c>
      <c r="G101" s="344">
        <f>_xll.BDP(TICKER&amp;" EQUITY",$F101, "EQY_FUND_RELATIVE_PERIOD", G$10, "EQY_FUND_CRNCY", CURRENCY, "EQY_CONSOLIDATED", DataH!$D$18, "Fill=B")</f>
        <v>-300</v>
      </c>
      <c r="H101" s="344">
        <f>_xll.BDP(TICKER&amp;" EQUITY",$F101, "EQY_FUND_RELATIVE_PERIOD", H$10, "EQY_FUND_CRNCY", CURRENCY, "EQY_CONSOLIDATED", DataH!$D$18, "Fill=B")</f>
        <v>0</v>
      </c>
      <c r="I101" s="344">
        <f>_xll.BDP(TICKER&amp;" EQUITY",$F101, "EQY_FUND_RELATIVE_PERIOD", I$10, "EQY_FUND_CRNCY", CURRENCY, "EQY_CONSOLIDATED", DataH!$D$18, "Fill=B")</f>
        <v>0</v>
      </c>
      <c r="J101" s="344">
        <f>_xll.BDP(TICKER&amp;" EQUITY",$F101, "EQY_FUND_RELATIVE_PERIOD", J$10, "EQY_FUND_CRNCY", CURRENCY, "EQY_CONSOLIDATED", DataH!$D$18, "Fill=B")</f>
        <v>0</v>
      </c>
      <c r="K101" s="344">
        <f>_xll.BDP(TICKER&amp;" EQUITY",$F101, "EQY_FUND_RELATIVE_PERIOD", K$10, "EQY_FUND_CRNCY", CURRENCY, "EQY_CONSOLIDATED", DataH!$D$18, "Fill=B")</f>
        <v>0</v>
      </c>
      <c r="L101" s="344">
        <f>_xll.BDP(TICKER&amp;" EQUITY",$F101, "EQY_FUND_RELATIVE_PERIOD", L$10, "EQY_FUND_CRNCY", CURRENCY, "EQY_CONSOLIDATED", DataH!$D$18, "Fill=B")</f>
        <v>0</v>
      </c>
      <c r="M101" s="344">
        <f>_xll.BDP(TICKER&amp;" EQUITY",$F101, "EQY_FUND_RELATIVE_PERIOD", M$10, "EQY_FUND_CRNCY", CURRENCY, "EQY_CONSOLIDATED", DataH!$D$18, "Fill=B")</f>
        <v>0</v>
      </c>
      <c r="N101" s="344">
        <f>_xll.BDP(TICKER&amp;" EQUITY",$F101, "EQY_FUND_RELATIVE_PERIOD", N$10, "EQY_FUND_CRNCY", CURRENCY, "EQY_CONSOLIDATED", DataH!$D$18, "Fill=B")</f>
        <v>0</v>
      </c>
      <c r="O101" s="344">
        <f>_xll.BDP(TICKER&amp;" EQUITY",$F101, "EQY_FUND_RELATIVE_PERIOD", O$10, "EQY_FUND_CRNCY", CURRENCY, "EQY_CONSOLIDATED", DataH!$D$18, "Fill=B")</f>
        <v>0</v>
      </c>
      <c r="P101" s="344">
        <f>_xll.BDP(TICKER&amp;" EQUITY",$F101, "EQY_FUND_RELATIVE_PERIOD", P$10, "EQY_FUND_CRNCY", CURRENCY, "EQY_CONSOLIDATED", DataH!$D$18, "Fill=B")</f>
        <v>0</v>
      </c>
      <c r="Q101" s="345">
        <f>_xll.BDP(TICKER&amp;" EQUITY",$F101, "EQY_FUND_RELATIVE_PERIOD", Q$10, "EQY_FUND_CRNCY", CURRENCY, "EQY_CONSOLIDATED", DataH!$D$18, "Fill=B")</f>
        <v>0</v>
      </c>
      <c r="R101" s="346"/>
      <c r="S101" s="346"/>
      <c r="T101" s="347"/>
      <c r="U101" s="216"/>
      <c r="V101" s="216"/>
    </row>
    <row r="102" spans="2:22" ht="15" customHeight="1">
      <c r="B102" s="841" t="str">
        <f>IF(Lang="English","     + Increase in Capital Stocks", IF(Lang="中文","     + 股本增加","     + 資本金の増加額 "))</f>
        <v xml:space="preserve">     + Increase in Capital Stocks</v>
      </c>
      <c r="C102" s="842"/>
      <c r="D102" s="842"/>
      <c r="E102" s="843"/>
      <c r="F102" s="129" t="s">
        <v>461</v>
      </c>
      <c r="G102" s="344">
        <f>_xll.BDP(TICKER&amp;" EQUITY",$F102, "EQY_FUND_RELATIVE_PERIOD", G$10, "EQY_FUND_CRNCY", CURRENCY, "EQY_CONSOLIDATED", DataH!$D$18, "Fill=B")</f>
        <v>427</v>
      </c>
      <c r="H102" s="344">
        <f>_xll.BDP(TICKER&amp;" EQUITY",$F102, "EQY_FUND_RELATIVE_PERIOD", H$10, "EQY_FUND_CRNCY", CURRENCY, "EQY_CONSOLIDATED", DataH!$D$18, "Fill=B")</f>
        <v>543</v>
      </c>
      <c r="I102" s="344">
        <f>_xll.BDP(TICKER&amp;" EQUITY",$F102, "EQY_FUND_RELATIVE_PERIOD", I$10, "EQY_FUND_CRNCY", CURRENCY, "EQY_CONSOLIDATED", DataH!$D$18, "Fill=B")</f>
        <v>679</v>
      </c>
      <c r="J102" s="344">
        <f>_xll.BDP(TICKER&amp;" EQUITY",$F102, "EQY_FUND_RELATIVE_PERIOD", J$10, "EQY_FUND_CRNCY", CURRENCY, "EQY_CONSOLIDATED", DataH!$D$18, "Fill=B")</f>
        <v>742</v>
      </c>
      <c r="K102" s="344">
        <f>_xll.BDP(TICKER&amp;" EQUITY",$F102, "EQY_FUND_RELATIVE_PERIOD", K$10, "EQY_FUND_CRNCY", CURRENCY, "EQY_CONSOLIDATED", DataH!$D$18, "Fill=B")</f>
        <v>1240</v>
      </c>
      <c r="L102" s="344">
        <f>_xll.BDP(TICKER&amp;" EQUITY",$F102, "EQY_FUND_RELATIVE_PERIOD", L$10, "EQY_FUND_CRNCY", CURRENCY, "EQY_CONSOLIDATED", DataH!$D$18, "Fill=B")</f>
        <v>745</v>
      </c>
      <c r="M102" s="344">
        <f>_xll.BDP(TICKER&amp;" EQUITY",$F102, "EQY_FUND_RELATIVE_PERIOD", M$10, "EQY_FUND_CRNCY", CURRENCY, "EQY_CONSOLIDATED", DataH!$D$18, "Fill=B")</f>
        <v>1663</v>
      </c>
      <c r="N102" s="344">
        <f>_xll.BDP(TICKER&amp;" EQUITY",$F102, "EQY_FUND_RELATIVE_PERIOD", N$10, "EQY_FUND_CRNCY", CURRENCY, "EQY_CONSOLIDATED", DataH!$D$18, "Fill=B")</f>
        <v>1964</v>
      </c>
      <c r="O102" s="344">
        <f>_xll.BDP(TICKER&amp;" EQUITY",$F102, "EQY_FUND_RELATIVE_PERIOD", O$10, "EQY_FUND_CRNCY", CURRENCY, "EQY_CONSOLIDATED", DataH!$D$18, "Fill=B")</f>
        <v>2016</v>
      </c>
      <c r="P102" s="344">
        <f>_xll.BDP(TICKER&amp;" EQUITY",$F102, "EQY_FUND_RELATIVE_PERIOD", P$10, "EQY_FUND_CRNCY", CURRENCY, "EQY_CONSOLIDATED", DataH!$D$18, "Fill=B")</f>
        <v>1231</v>
      </c>
      <c r="Q102" s="345">
        <f>_xll.BDP(TICKER&amp;" EQUITY",$F102, "EQY_FUND_RELATIVE_PERIOD", Q$10, "EQY_FUND_CRNCY", CURRENCY, "EQY_CONSOLIDATED", DataH!$D$18, "Fill=B")</f>
        <v>1469</v>
      </c>
      <c r="R102" s="346"/>
      <c r="S102" s="346"/>
      <c r="T102" s="347"/>
      <c r="U102" s="216"/>
      <c r="V102" s="216"/>
    </row>
    <row r="103" spans="2:22" ht="15" customHeight="1">
      <c r="B103" s="841" t="str">
        <f>IF(Lang="English","     + Decrease in Capital Stocks", IF(Lang="中文","     + 股本減少","     + 資本金の減少額"))</f>
        <v xml:space="preserve">     + Decrease in Capital Stocks</v>
      </c>
      <c r="C103" s="842"/>
      <c r="D103" s="842"/>
      <c r="E103" s="843"/>
      <c r="F103" s="129" t="s">
        <v>462</v>
      </c>
      <c r="G103" s="344">
        <f>_xll.BDP(TICKER&amp;" EQUITY",$F103, "EQY_FUND_RELATIVE_PERIOD", G$10, "EQY_FUND_CRNCY", CURRENCY, "EQY_CONSOLIDATED", DataH!$D$18, "Fill=B")</f>
        <v>0</v>
      </c>
      <c r="H103" s="344">
        <f>_xll.BDP(TICKER&amp;" EQUITY",$F103, "EQY_FUND_RELATIVE_PERIOD", H$10, "EQY_FUND_CRNCY", CURRENCY, "EQY_CONSOLIDATED", DataH!$D$18, "Fill=B")</f>
        <v>0</v>
      </c>
      <c r="I103" s="344">
        <f>_xll.BDP(TICKER&amp;" EQUITY",$F103, "EQY_FUND_RELATIVE_PERIOD", I$10, "EQY_FUND_CRNCY", CURRENCY, "EQY_CONSOLIDATED", DataH!$D$18, "Fill=B")</f>
        <v>-355</v>
      </c>
      <c r="J103" s="344">
        <f>_xll.BDP(TICKER&amp;" EQUITY",$F103, "EQY_FUND_RELATIVE_PERIOD", J$10, "EQY_FUND_CRNCY", CURRENCY, "EQY_CONSOLIDATED", DataH!$D$18, "Fill=B")</f>
        <v>0</v>
      </c>
      <c r="K103" s="344">
        <f>_xll.BDP(TICKER&amp;" EQUITY",$F103, "EQY_FUND_RELATIVE_PERIOD", K$10, "EQY_FUND_CRNCY", CURRENCY, "EQY_CONSOLIDATED", DataH!$D$18, "Fill=B")</f>
        <v>0</v>
      </c>
      <c r="L103" s="344">
        <f>_xll.BDP(TICKER&amp;" EQUITY",$F103, "EQY_FUND_RELATIVE_PERIOD", L$10, "EQY_FUND_CRNCY", CURRENCY, "EQY_CONSOLIDATED", DataH!$D$18, "Fill=B")</f>
        <v>0</v>
      </c>
      <c r="M103" s="344">
        <f>_xll.BDP(TICKER&amp;" EQUITY",$F103, "EQY_FUND_RELATIVE_PERIOD", M$10, "EQY_FUND_CRNCY", CURRENCY, "EQY_CONSOLIDATED", DataH!$D$18, "Fill=B")</f>
        <v>0</v>
      </c>
      <c r="N103" s="344">
        <f>_xll.BDP(TICKER&amp;" EQUITY",$F103, "EQY_FUND_RELATIVE_PERIOD", N$10, "EQY_FUND_CRNCY", CURRENCY, "EQY_CONSOLIDATED", DataH!$D$18, "Fill=B")</f>
        <v>0</v>
      </c>
      <c r="O103" s="344">
        <f>_xll.BDP(TICKER&amp;" EQUITY",$F103, "EQY_FUND_RELATIVE_PERIOD", O$10, "EQY_FUND_CRNCY", CURRENCY, "EQY_CONSOLIDATED", DataH!$D$18, "Fill=B")</f>
        <v>0</v>
      </c>
      <c r="P103" s="344">
        <f>_xll.BDP(TICKER&amp;" EQUITY",$F103, "EQY_FUND_RELATIVE_PERIOD", P$10, "EQY_FUND_CRNCY", CURRENCY, "EQY_CONSOLIDATED", DataH!$D$18, "Fill=B")</f>
        <v>-22860</v>
      </c>
      <c r="Q103" s="345">
        <f>_xll.BDP(TICKER&amp;" EQUITY",$F103, "EQY_FUND_RELATIVE_PERIOD", Q$10, "EQY_FUND_CRNCY", CURRENCY, "EQY_CONSOLIDATED", DataH!$D$18, "Fill=B")</f>
        <v>-45000</v>
      </c>
      <c r="R103" s="346"/>
      <c r="S103" s="346"/>
      <c r="T103" s="347"/>
      <c r="U103" s="216"/>
      <c r="V103" s="216"/>
    </row>
    <row r="104" spans="2:22" ht="15" customHeight="1">
      <c r="B104" s="841" t="str">
        <f>IF(Lang="English","     + Other Financing Activities", IF(Lang="中文","     + 其他融資活動","     + その他の財務活動"))</f>
        <v xml:space="preserve">     + Other Financing Activities</v>
      </c>
      <c r="C104" s="842"/>
      <c r="D104" s="842"/>
      <c r="E104" s="843"/>
      <c r="F104" s="129" t="s">
        <v>463</v>
      </c>
      <c r="G104" s="344">
        <f>_xll.BDP(TICKER&amp;" EQUITY",$F104, "EQY_FUND_RELATIVE_PERIOD", G$10, "EQY_FUND_CRNCY", CURRENCY, "EQY_CONSOLIDATED", DataH!$D$18, "Fill=B")</f>
        <v>0</v>
      </c>
      <c r="H104" s="344">
        <f>_xll.BDP(TICKER&amp;" EQUITY",$F104, "EQY_FUND_RELATIVE_PERIOD", H$10, "EQY_FUND_CRNCY", CURRENCY, "EQY_CONSOLIDATED", DataH!$D$18, "Fill=B")</f>
        <v>0</v>
      </c>
      <c r="I104" s="344">
        <f>_xll.BDP(TICKER&amp;" EQUITY",$F104, "EQY_FUND_RELATIVE_PERIOD", I$10, "EQY_FUND_CRNCY", CURRENCY, "EQY_CONSOLIDATED", DataH!$D$18, "Fill=B")</f>
        <v>0</v>
      </c>
      <c r="J104" s="344">
        <f>_xll.BDP(TICKER&amp;" EQUITY",$F104, "EQY_FUND_RELATIVE_PERIOD", J$10, "EQY_FUND_CRNCY", CURRENCY, "EQY_CONSOLIDATED", DataH!$D$18, "Fill=B")</f>
        <v>-3</v>
      </c>
      <c r="K104" s="344">
        <f>_xll.BDP(TICKER&amp;" EQUITY",$F104, "EQY_FUND_RELATIVE_PERIOD", K$10, "EQY_FUND_CRNCY", CURRENCY, "EQY_CONSOLIDATED", DataH!$D$18, "Fill=B")</f>
        <v>-124</v>
      </c>
      <c r="L104" s="344">
        <f>_xll.BDP(TICKER&amp;" EQUITY",$F104, "EQY_FUND_RELATIVE_PERIOD", L$10, "EQY_FUND_CRNCY", CURRENCY, "EQY_CONSOLIDATED", DataH!$D$18, "Fill=B")</f>
        <v>-82</v>
      </c>
      <c r="M104" s="344">
        <f>_xll.BDP(TICKER&amp;" EQUITY",$F104, "EQY_FUND_RELATIVE_PERIOD", M$10, "EQY_FUND_CRNCY", CURRENCY, "EQY_CONSOLIDATED", DataH!$D$18, "Fill=B")</f>
        <v>-406</v>
      </c>
      <c r="N104" s="344">
        <f>_xll.BDP(TICKER&amp;" EQUITY",$F104, "EQY_FUND_RELATIVE_PERIOD", N$10, "EQY_FUND_CRNCY", CURRENCY, "EQY_CONSOLIDATED", DataH!$D$18, "Fill=B")</f>
        <v>-520</v>
      </c>
      <c r="O104" s="344">
        <f>_xll.BDP(TICKER&amp;" EQUITY",$F104, "EQY_FUND_RELATIVE_PERIOD", O$10, "EQY_FUND_CRNCY", CURRENCY, "EQY_CONSOLIDATED", DataH!$D$18, "Fill=B")</f>
        <v>-1226</v>
      </c>
      <c r="P104" s="344">
        <f>_xll.BDP(TICKER&amp;" EQUITY",$F104, "EQY_FUND_RELATIVE_PERIOD", P$10, "EQY_FUND_CRNCY", CURRENCY, "EQY_CONSOLIDATED", DataH!$D$18, "Fill=B")</f>
        <v>-1082</v>
      </c>
      <c r="Q104" s="345">
        <f>_xll.BDP(TICKER&amp;" EQUITY",$F104, "EQY_FUND_RELATIVE_PERIOD", Q$10, "EQY_FUND_CRNCY", CURRENCY, "EQY_CONSOLIDATED", DataH!$D$18, "Fill=B")</f>
        <v>-1158</v>
      </c>
      <c r="R104" s="346"/>
      <c r="S104" s="346"/>
      <c r="T104" s="347"/>
      <c r="U104" s="216"/>
      <c r="V104" s="216"/>
    </row>
    <row r="105" spans="2:22" ht="15" customHeight="1">
      <c r="B105" s="877" t="str">
        <f>IF(Lang="English","Cash From Financing Activities", IF(Lang="中文","融資活動現金流量","財務活動による資金 "))</f>
        <v>Cash From Financing Activities</v>
      </c>
      <c r="C105" s="878"/>
      <c r="D105" s="878"/>
      <c r="E105" s="879"/>
      <c r="F105" s="126" t="s">
        <v>509</v>
      </c>
      <c r="G105" s="506">
        <f>_xll.BDP(TICKER&amp;" EQUITY",$F105, "EQY_FUND_RELATIVE_PERIOD", G$10, "EQY_FUND_CRNCY", CURRENCY, "EQY_CONSOLIDATED", DataH!$D$18, "Fill=B")</f>
        <v>127</v>
      </c>
      <c r="H105" s="506">
        <f>_xll.BDP(TICKER&amp;" EQUITY",$F105, "EQY_FUND_RELATIVE_PERIOD", H$10, "EQY_FUND_CRNCY", CURRENCY, "EQY_CONSOLIDATED", DataH!$D$18, "Fill=B")</f>
        <v>543</v>
      </c>
      <c r="I105" s="506">
        <f>_xll.BDP(TICKER&amp;" EQUITY",$F105, "EQY_FUND_RELATIVE_PERIOD", I$10, "EQY_FUND_CRNCY", CURRENCY, "EQY_CONSOLIDATED", DataH!$D$18, "Fill=B")</f>
        <v>324</v>
      </c>
      <c r="J105" s="506">
        <f>_xll.BDP(TICKER&amp;" EQUITY",$F105, "EQY_FUND_RELATIVE_PERIOD", J$10, "EQY_FUND_CRNCY", CURRENCY, "EQY_CONSOLIDATED", DataH!$D$18, "Fill=B")</f>
        <v>739</v>
      </c>
      <c r="K105" s="506">
        <f>_xll.BDP(TICKER&amp;" EQUITY",$F105, "EQY_FUND_RELATIVE_PERIOD", K$10, "EQY_FUND_CRNCY", CURRENCY, "EQY_CONSOLIDATED", DataH!$D$18, "Fill=B")</f>
        <v>1116</v>
      </c>
      <c r="L105" s="506">
        <f>_xll.BDP(TICKER&amp;" EQUITY",$F105, "EQY_FUND_RELATIVE_PERIOD", L$10, "EQY_FUND_CRNCY", CURRENCY, "EQY_CONSOLIDATED", DataH!$D$18, "Fill=B")</f>
        <v>663</v>
      </c>
      <c r="M105" s="506">
        <f>_xll.BDP(TICKER&amp;" EQUITY",$F105, "EQY_FUND_RELATIVE_PERIOD", M$10, "EQY_FUND_CRNCY", CURRENCY, "EQY_CONSOLIDATED", DataH!$D$18, "Fill=B")</f>
        <v>1257</v>
      </c>
      <c r="N105" s="506">
        <f>_xll.BDP(TICKER&amp;" EQUITY",$F105, "EQY_FUND_RELATIVE_PERIOD", N$10, "EQY_FUND_CRNCY", CURRENCY, "EQY_CONSOLIDATED", DataH!$D$18, "Fill=B")</f>
        <v>1444</v>
      </c>
      <c r="O105" s="506">
        <f>_xll.BDP(TICKER&amp;" EQUITY",$F105, "EQY_FUND_RELATIVE_PERIOD", O$10, "EQY_FUND_CRNCY", CURRENCY, "EQY_CONSOLIDATED", DataH!$D$18, "Fill=B")</f>
        <v>-1698</v>
      </c>
      <c r="P105" s="506">
        <f>_xll.BDP(TICKER&amp;" EQUITY",$F105, "EQY_FUND_RELATIVE_PERIOD", P$10, "EQY_FUND_CRNCY", CURRENCY, "EQY_CONSOLIDATED", DataH!$D$18, "Fill=B")</f>
        <v>-16379</v>
      </c>
      <c r="Q105" s="507">
        <f>_xll.BDP(TICKER&amp;" EQUITY",$F105, "EQY_FUND_RELATIVE_PERIOD", Q$10, "EQY_FUND_CRNCY", CURRENCY, "EQY_CONSOLIDATED", DataH!$D$18, "Fill=B")</f>
        <v>-37549</v>
      </c>
      <c r="R105" s="535"/>
      <c r="S105" s="536"/>
      <c r="T105" s="537"/>
      <c r="U105" s="216"/>
      <c r="V105" s="216"/>
    </row>
    <row r="106" spans="2:22" ht="15" customHeight="1">
      <c r="B106" s="841" t="str">
        <f>IF(Lang="English","", "" )</f>
        <v/>
      </c>
      <c r="C106" s="842"/>
      <c r="D106" s="842"/>
      <c r="E106" s="843"/>
      <c r="F106" s="129"/>
      <c r="G106" s="344"/>
      <c r="H106" s="344"/>
      <c r="I106" s="344"/>
      <c r="J106" s="344"/>
      <c r="K106" s="344"/>
      <c r="L106" s="344"/>
      <c r="M106" s="344"/>
      <c r="N106" s="344"/>
      <c r="O106" s="344"/>
      <c r="P106" s="344"/>
      <c r="Q106" s="345"/>
      <c r="R106" s="346"/>
      <c r="S106" s="346"/>
      <c r="T106" s="347"/>
      <c r="U106" s="216"/>
      <c r="V106" s="216"/>
    </row>
    <row r="107" spans="2:22" ht="15" customHeight="1">
      <c r="B107" s="877" t="str">
        <f>IF(Lang="English","Net Changes in Cash", IF(Lang="中文","現金淨變動","資金の純増減額"))</f>
        <v>Net Changes in Cash</v>
      </c>
      <c r="C107" s="878"/>
      <c r="D107" s="878"/>
      <c r="E107" s="879"/>
      <c r="F107" s="126" t="s">
        <v>510</v>
      </c>
      <c r="G107" s="506">
        <f>_xll.BDP(TICKER&amp;" EQUITY",$F107, "EQY_FUND_RELATIVE_PERIOD", G$10, "EQY_FUND_CRNCY", CURRENCY, "EQY_CONSOLIDATED", DataH!$D$18, "Fill=B")</f>
        <v>-427</v>
      </c>
      <c r="H107" s="506">
        <f>_xll.BDP(TICKER&amp;" EQUITY",$F107, "EQY_FUND_RELATIVE_PERIOD", H$10, "EQY_FUND_CRNCY", CURRENCY, "EQY_CONSOLIDATED", DataH!$D$18, "Fill=B")</f>
        <v>522</v>
      </c>
      <c r="I107" s="506">
        <f>_xll.BDP(TICKER&amp;" EQUITY",$F107, "EQY_FUND_RELATIVE_PERIOD", I$10, "EQY_FUND_CRNCY", CURRENCY, "EQY_CONSOLIDATED", DataH!$D$18, "Fill=B")</f>
        <v>2901</v>
      </c>
      <c r="J107" s="506">
        <f>_xll.BDP(TICKER&amp;" EQUITY",$F107, "EQY_FUND_RELATIVE_PERIOD", J$10, "EQY_FUND_CRNCY", CURRENCY, "EQY_CONSOLIDATED", DataH!$D$18, "Fill=B")</f>
        <v>2960</v>
      </c>
      <c r="K107" s="506">
        <f>_xll.BDP(TICKER&amp;" EQUITY",$F107, "EQY_FUND_RELATIVE_PERIOD", K$10, "EQY_FUND_CRNCY", CURRENCY, "EQY_CONSOLIDATED", DataH!$D$18, "Fill=B")</f>
        <v>2523</v>
      </c>
      <c r="L107" s="506">
        <f>_xll.BDP(TICKER&amp;" EQUITY",$F107, "EQY_FUND_RELATIVE_PERIOD", L$10, "EQY_FUND_CRNCY", CURRENCY, "EQY_CONSOLIDATED", DataH!$D$18, "Fill=B")</f>
        <v>-6612</v>
      </c>
      <c r="M107" s="506">
        <f>_xll.BDP(TICKER&amp;" EQUITY",$F107, "EQY_FUND_RELATIVE_PERIOD", M$10, "EQY_FUND_CRNCY", CURRENCY, "EQY_CONSOLIDATED", DataH!$D$18, "Fill=B")</f>
        <v>5998</v>
      </c>
      <c r="N107" s="506">
        <f>_xll.BDP(TICKER&amp;" EQUITY",$F107, "EQY_FUND_RELATIVE_PERIOD", N$10, "EQY_FUND_CRNCY", CURRENCY, "EQY_CONSOLIDATED", DataH!$D$18, "Fill=B")</f>
        <v>-1446</v>
      </c>
      <c r="O107" s="506">
        <f>_xll.BDP(TICKER&amp;" EQUITY",$F107, "EQY_FUND_RELATIVE_PERIOD", O$10, "EQY_FUND_CRNCY", CURRENCY, "EQY_CONSOLIDATED", DataH!$D$18, "Fill=B")</f>
        <v>931</v>
      </c>
      <c r="P107" s="506">
        <f>_xll.BDP(TICKER&amp;" EQUITY",$F107, "EQY_FUND_RELATIVE_PERIOD", P$10, "EQY_FUND_CRNCY", CURRENCY, "EQY_CONSOLIDATED", DataH!$D$18, "Fill=B")</f>
        <v>3513</v>
      </c>
      <c r="Q107" s="507">
        <f>_xll.BDP(TICKER&amp;" EQUITY",$F107, "EQY_FUND_RELATIVE_PERIOD", Q$10, "EQY_FUND_CRNCY", CURRENCY, "EQY_CONSOLIDATED", DataH!$D$18, "Fill=B")</f>
        <v>-415</v>
      </c>
      <c r="R107" s="535"/>
      <c r="S107" s="536"/>
      <c r="T107" s="537"/>
      <c r="U107" s="216"/>
      <c r="V107" s="216"/>
    </row>
    <row r="108" spans="2:22" ht="15" customHeight="1">
      <c r="B108" s="841" t="str">
        <f>IF(Lang="English","", "" )</f>
        <v/>
      </c>
      <c r="C108" s="842"/>
      <c r="D108" s="842"/>
      <c r="E108" s="843"/>
      <c r="F108" s="129"/>
      <c r="G108" s="344"/>
      <c r="H108" s="344"/>
      <c r="I108" s="344"/>
      <c r="J108" s="344"/>
      <c r="K108" s="344"/>
      <c r="L108" s="344"/>
      <c r="M108" s="344"/>
      <c r="N108" s="344"/>
      <c r="O108" s="344"/>
      <c r="P108" s="344"/>
      <c r="Q108" s="345"/>
      <c r="R108" s="346"/>
      <c r="S108" s="346"/>
      <c r="T108" s="347"/>
      <c r="U108" s="216"/>
      <c r="V108" s="216"/>
    </row>
    <row r="109" spans="2:22" ht="15" customHeight="1">
      <c r="B109" s="877" t="str">
        <f>IF(Lang="English","Free Cash Flow (CFO-CAPEX)", IF(Lang="中文","自由現金流量 (CFO-CAPEX","ﾌﾘｰｷｬｯｼｭﾌﾛｰ"))</f>
        <v>Free Cash Flow (CFO-CAPEX)</v>
      </c>
      <c r="C109" s="878"/>
      <c r="D109" s="878"/>
      <c r="E109" s="879"/>
      <c r="F109" s="126" t="s">
        <v>558</v>
      </c>
      <c r="G109" s="506">
        <f>_xll.BDP(TICKER&amp;" EQUITY",$F109, "EQY_FUND_RELATIVE_PERIOD", G$10, "EQY_FUND_CRNCY", CURRENCY, "EQY_CONSOLIDATED", DataH!$D$18, "Fill=B")</f>
        <v>758</v>
      </c>
      <c r="H109" s="506">
        <f>_xll.BDP(TICKER&amp;" EQUITY",$F109, "EQY_FUND_RELATIVE_PERIOD", H$10, "EQY_FUND_CRNCY", CURRENCY, "EQY_CONSOLIDATED", DataH!$D$18, "Fill=B")</f>
        <v>2275</v>
      </c>
      <c r="I109" s="506">
        <f>_xll.BDP(TICKER&amp;" EQUITY",$F109, "EQY_FUND_RELATIVE_PERIOD", I$10, "EQY_FUND_CRNCY", CURRENCY, "EQY_CONSOLIDATED", DataH!$D$18, "Fill=B")</f>
        <v>1563</v>
      </c>
      <c r="J109" s="506">
        <f>_xll.BDP(TICKER&amp;" EQUITY",$F109, "EQY_FUND_RELATIVE_PERIOD", J$10, "EQY_FUND_CRNCY", CURRENCY, "EQY_CONSOLIDATED", DataH!$D$18, "Fill=B")</f>
        <v>4735</v>
      </c>
      <c r="K109" s="506">
        <f>_xll.BDP(TICKER&amp;" EQUITY",$F109, "EQY_FUND_RELATIVE_PERIOD", K$10, "EQY_FUND_CRNCY", CURRENCY, "EQY_CONSOLIDATED", DataH!$D$18, "Fill=B")</f>
        <v>8505</v>
      </c>
      <c r="L109" s="506">
        <f>_xll.BDP(TICKER&amp;" EQUITY",$F109, "EQY_FUND_RELATIVE_PERIOD", L$10, "EQY_FUND_CRNCY", CURRENCY, "EQY_CONSOLIDATED", DataH!$D$18, "Fill=B")</f>
        <v>9015</v>
      </c>
      <c r="M109" s="506">
        <f>_xll.BDP(TICKER&amp;" EQUITY",$F109, "EQY_FUND_RELATIVE_PERIOD", M$10, "EQY_FUND_CRNCY", CURRENCY, "EQY_CONSOLIDATED", DataH!$D$18, "Fill=B")</f>
        <v>16590</v>
      </c>
      <c r="N109" s="506">
        <f>_xll.BDP(TICKER&amp;" EQUITY",$F109, "EQY_FUND_RELATIVE_PERIOD", N$10, "EQY_FUND_CRNCY", CURRENCY, "EQY_CONSOLIDATED", DataH!$D$18, "Fill=B")</f>
        <v>33269</v>
      </c>
      <c r="O109" s="506">
        <f>_xll.BDP(TICKER&amp;" EQUITY",$F109, "EQY_FUND_RELATIVE_PERIOD", O$10, "EQY_FUND_CRNCY", CURRENCY, "EQY_CONSOLIDATED", DataH!$D$18, "Fill=B")</f>
        <v>42561</v>
      </c>
      <c r="P109" s="506">
        <f>_xll.BDP(TICKER&amp;" EQUITY",$F109, "EQY_FUND_RELATIVE_PERIOD", P$10, "EQY_FUND_CRNCY", CURRENCY, "EQY_CONSOLIDATED", DataH!$D$18, "Fill=B")</f>
        <v>45501</v>
      </c>
      <c r="Q109" s="507">
        <f>_xll.BDP(TICKER&amp;" EQUITY",$F109, "EQY_FUND_RELATIVE_PERIOD", Q$10, "EQY_FUND_CRNCY", CURRENCY, "EQY_CONSOLIDATED", DataH!$D$18, "Fill=B")</f>
        <v>50142</v>
      </c>
      <c r="R109" s="535">
        <f>_xll.BDP(TICKER&amp;" EQUITY",$U109, "BEST_FPERIOD_OVERRIDE", R$10, "EQY_FUND_CRNCY", CURRENCY, "BEST_CONSOLIDATED_OVERRIDE", DataH!$D$19, "Fill=B")</f>
        <v>74033.959000000003</v>
      </c>
      <c r="S109" s="536">
        <f>_xll.BDP(TICKER&amp;" EQUITY",$U109, "BEST_FPERIOD_OVERRIDE", S$10, "EQY_FUND_CRNCY", CURRENCY, "BEST_CONSOLIDATED_OVERRIDE", DataH!$D$19, "Fill=B")</f>
        <v>67437.573000000004</v>
      </c>
      <c r="T109" s="537">
        <f>_xll.BDP(TICKER&amp;" EQUITY",$U109, "BEST_FPERIOD_OVERRIDE", T$10, "EQY_FUND_CRNCY", CURRENCY, "BEST_CONSOLIDATED_OVERRIDE", DataH!$D$19, "Fill=B")</f>
        <v>71405.573000000004</v>
      </c>
      <c r="U109" s="216" t="s">
        <v>559</v>
      </c>
      <c r="V109" s="216"/>
    </row>
    <row r="110" spans="2:22" ht="15" customHeight="1">
      <c r="B110" s="841" t="str">
        <f>IF(Lang="English","", "" )</f>
        <v/>
      </c>
      <c r="C110" s="842"/>
      <c r="D110" s="842"/>
      <c r="E110" s="843"/>
      <c r="F110" s="129"/>
      <c r="G110" s="344"/>
      <c r="H110" s="344"/>
      <c r="I110" s="344"/>
      <c r="J110" s="344"/>
      <c r="K110" s="344"/>
      <c r="L110" s="344"/>
      <c r="M110" s="344"/>
      <c r="N110" s="344"/>
      <c r="O110" s="344"/>
      <c r="P110" s="344"/>
      <c r="Q110" s="345"/>
      <c r="R110" s="346"/>
      <c r="S110" s="346"/>
      <c r="T110" s="347"/>
      <c r="U110" s="216"/>
      <c r="V110" s="216"/>
    </row>
    <row r="111" spans="2:22" ht="15" customHeight="1">
      <c r="B111" s="841" t="str">
        <f>IF(Lang="English","Free Cash Flow To Firm", IF(Lang="中文","公司自由現金流量","ﾌﾘｰｷｬｯｼｭﾌﾛｰ+支払利息"))</f>
        <v>Free Cash Flow To Firm</v>
      </c>
      <c r="C111" s="842"/>
      <c r="D111" s="842"/>
      <c r="E111" s="843"/>
      <c r="F111" s="129" t="s">
        <v>511</v>
      </c>
      <c r="G111" s="344">
        <f>_xll.BDP(TICKER&amp;" EQUITY",$F111, "EQY_FUND_RELATIVE_PERIOD", G$10, "EQY_FUND_CRNCY", CURRENCY, "EQY_CONSOLIDATED", DataH!$D$18, "Fill=B")</f>
        <v>760.16187989556136</v>
      </c>
      <c r="H111" s="344">
        <f>_xll.BDP(TICKER&amp;" EQUITY",$F111, "EQY_FUND_RELATIVE_PERIOD", H$10, "EQY_FUND_CRNCY", CURRENCY, "EQY_CONSOLIDATED", DataH!$D$18, "Fill=B")</f>
        <v>2275</v>
      </c>
      <c r="I111" s="344">
        <f>_xll.BDP(TICKER&amp;" EQUITY",$F111, "EQY_FUND_RELATIVE_PERIOD", I$10, "EQY_FUND_CRNCY", CURRENCY, "EQY_CONSOLIDATED", DataH!$D$18, "Fill=B")</f>
        <v>1563</v>
      </c>
      <c r="J111" s="344">
        <f>_xll.BDP(TICKER&amp;" EQUITY",$F111, "EQY_FUND_RELATIVE_PERIOD", J$10, "EQY_FUND_CRNCY", CURRENCY, "EQY_CONSOLIDATED", DataH!$D$18, "Fill=B")</f>
        <v>4735</v>
      </c>
      <c r="K111" s="344">
        <f>_xll.BDP(TICKER&amp;" EQUITY",$F111, "EQY_FUND_RELATIVE_PERIOD", K$10, "EQY_FUND_CRNCY", CURRENCY, "EQY_CONSOLIDATED", DataH!$D$18, "Fill=B")</f>
        <v>8505</v>
      </c>
      <c r="L111" s="344">
        <f>_xll.BDP(TICKER&amp;" EQUITY",$F111, "EQY_FUND_RELATIVE_PERIOD", L$10, "EQY_FUND_CRNCY", CURRENCY, "EQY_CONSOLIDATED", DataH!$D$18, "Fill=B")</f>
        <v>9015</v>
      </c>
      <c r="M111" s="344">
        <f>_xll.BDP(TICKER&amp;" EQUITY",$F111, "EQY_FUND_RELATIVE_PERIOD", M$10, "EQY_FUND_CRNCY", CURRENCY, "EQY_CONSOLIDATED", DataH!$D$18, "Fill=B")</f>
        <v>16590</v>
      </c>
      <c r="N111" s="344">
        <f>_xll.BDP(TICKER&amp;" EQUITY",$F111, "EQY_FUND_RELATIVE_PERIOD", N$10, "EQY_FUND_CRNCY", CURRENCY, "EQY_CONSOLIDATED", DataH!$D$18, "Fill=B")</f>
        <v>33269</v>
      </c>
      <c r="O111" s="344">
        <f>_xll.BDP(TICKER&amp;" EQUITY",$F111, "EQY_FUND_RELATIVE_PERIOD", O$10, "EQY_FUND_CRNCY", CURRENCY, "EQY_CONSOLIDATED", DataH!$D$18, "Fill=B")</f>
        <v>42561</v>
      </c>
      <c r="P111" s="344">
        <f>_xll.BDP(TICKER&amp;" EQUITY",$F111, "EQY_FUND_RELATIVE_PERIOD", P$10, "EQY_FUND_CRNCY", CURRENCY, "EQY_CONSOLIDATED", DataH!$D$18, "Fill=B")</f>
        <v>45601.429309141662</v>
      </c>
      <c r="Q111" s="345">
        <f>_xll.BDP(TICKER&amp;" EQUITY",$F111, "EQY_FUND_RELATIVE_PERIOD", Q$10, "EQY_FUND_CRNCY", CURRENCY, "EQY_CONSOLIDATED", DataH!$D$18, "Fill=B")</f>
        <v>50425.675934409068</v>
      </c>
      <c r="R111" s="346"/>
      <c r="S111" s="346"/>
      <c r="T111" s="347"/>
      <c r="U111" s="216"/>
      <c r="V111" s="216"/>
    </row>
    <row r="112" spans="2:22" ht="15" customHeight="1">
      <c r="B112" s="841" t="str">
        <f>IF(Lang="English","Free Cash Flow To Equity", IF(Lang="中文","權益自由現金流量","株主帰属ﾌﾘｰ･ｷｬｯｼｭﾌﾛｰ "))</f>
        <v>Free Cash Flow To Equity</v>
      </c>
      <c r="C112" s="842"/>
      <c r="D112" s="842"/>
      <c r="E112" s="843"/>
      <c r="F112" s="129" t="s">
        <v>512</v>
      </c>
      <c r="G112" s="344">
        <f>_xll.BDP(TICKER&amp;" EQUITY",$F112, "EQY_FUND_RELATIVE_PERIOD", G$10, "EQY_FUND_CRNCY", CURRENCY, "EQY_CONSOLIDATED", DataH!$D$18, "Fill=B")</f>
        <v>458</v>
      </c>
      <c r="H112" s="344">
        <f>_xll.BDP(TICKER&amp;" EQUITY",$F112, "EQY_FUND_RELATIVE_PERIOD", H$10, "EQY_FUND_CRNCY", CURRENCY, "EQY_CONSOLIDATED", DataH!$D$18, "Fill=B")</f>
        <v>2275</v>
      </c>
      <c r="I112" s="344">
        <f>_xll.BDP(TICKER&amp;" EQUITY",$F112, "EQY_FUND_RELATIVE_PERIOD", I$10, "EQY_FUND_CRNCY", CURRENCY, "EQY_CONSOLIDATED", DataH!$D$18, "Fill=B")</f>
        <v>1563</v>
      </c>
      <c r="J112" s="344">
        <f>_xll.BDP(TICKER&amp;" EQUITY",$F112, "EQY_FUND_RELATIVE_PERIOD", J$10, "EQY_FUND_CRNCY", CURRENCY, "EQY_CONSOLIDATED", DataH!$D$18, "Fill=B")</f>
        <v>4735</v>
      </c>
      <c r="K112" s="344">
        <f>_xll.BDP(TICKER&amp;" EQUITY",$F112, "EQY_FUND_RELATIVE_PERIOD", K$10, "EQY_FUND_CRNCY", CURRENCY, "EQY_CONSOLIDATED", DataH!$D$18, "Fill=B")</f>
        <v>8505</v>
      </c>
      <c r="L112" s="344">
        <f>_xll.BDP(TICKER&amp;" EQUITY",$F112, "EQY_FUND_RELATIVE_PERIOD", L$10, "EQY_FUND_CRNCY", CURRENCY, "EQY_CONSOLIDATED", DataH!$D$18, "Fill=B")</f>
        <v>9015</v>
      </c>
      <c r="M112" s="344">
        <f>_xll.BDP(TICKER&amp;" EQUITY",$F112, "EQY_FUND_RELATIVE_PERIOD", M$10, "EQY_FUND_CRNCY", CURRENCY, "EQY_CONSOLIDATED", DataH!$D$18, "Fill=B")</f>
        <v>16590</v>
      </c>
      <c r="N112" s="344">
        <f>_xll.BDP(TICKER&amp;" EQUITY",$F112, "EQY_FUND_RELATIVE_PERIOD", N$10, "EQY_FUND_CRNCY", CURRENCY, "EQY_CONSOLIDATED", DataH!$D$18, "Fill=B")</f>
        <v>33269</v>
      </c>
      <c r="O112" s="344">
        <f>_xll.BDP(TICKER&amp;" EQUITY",$F112, "EQY_FUND_RELATIVE_PERIOD", O$10, "EQY_FUND_CRNCY", CURRENCY, "EQY_CONSOLIDATED", DataH!$D$18, "Fill=B")</f>
        <v>42561</v>
      </c>
      <c r="P112" s="344">
        <f>_xll.BDP(TICKER&amp;" EQUITY",$F112, "EQY_FUND_RELATIVE_PERIOD", P$10, "EQY_FUND_CRNCY", CURRENCY, "EQY_CONSOLIDATED", DataH!$D$18, "Fill=B")</f>
        <v>62397</v>
      </c>
      <c r="Q112" s="345">
        <f>_xll.BDP(TICKER&amp;" EQUITY",$F112, "EQY_FUND_RELATIVE_PERIOD", Q$10, "EQY_FUND_CRNCY", CURRENCY, "EQY_CONSOLIDATED", DataH!$D$18, "Fill=B")</f>
        <v>68408</v>
      </c>
      <c r="R112" s="346"/>
      <c r="S112" s="346"/>
      <c r="T112" s="347"/>
      <c r="U112" s="216"/>
      <c r="V112" s="216"/>
    </row>
    <row r="113" spans="2:22" ht="15" customHeight="1">
      <c r="B113" s="889" t="str">
        <f>IF(Lang="English","Free Cash Flow per Share", IF(Lang="中文","每股可用現金流量","1株当りﾌﾘｰｷｬｯｼｭﾌﾛｰ - 年間成長率"))</f>
        <v>Free Cash Flow per Share</v>
      </c>
      <c r="C113" s="890"/>
      <c r="D113" s="890"/>
      <c r="E113" s="891"/>
      <c r="F113" s="132" t="s">
        <v>513</v>
      </c>
      <c r="G113" s="560">
        <f>_xll.BDP(TICKER&amp;" EQUITY",$F113, "EQY_FUND_RELATIVE_PERIOD", G$10, "EQY_FUND_CRNCY", CURRENCY, "EQY_CONSOLIDATED", DataH!$D$18, "Fill=B")</f>
        <v>0.14570590474140085</v>
      </c>
      <c r="H113" s="560">
        <f>_xll.BDP(TICKER&amp;" EQUITY",$F113, "EQY_FUND_RELATIVE_PERIOD", H$10, "EQY_FUND_CRNCY", CURRENCY, "EQY_CONSOLIDATED", DataH!$D$18, "Fill=B")</f>
        <v>0.40200930435073029</v>
      </c>
      <c r="I113" s="560">
        <f>_xll.BDP(TICKER&amp;" EQUITY",$F113, "EQY_FUND_RELATIVE_PERIOD", I$10, "EQY_FUND_CRNCY", CURRENCY, "EQY_CONSOLIDATED", DataH!$D$18, "Fill=B")</f>
        <v>0.26453835433787048</v>
      </c>
      <c r="J113" s="560">
        <f>_xll.BDP(TICKER&amp;" EQUITY",$F113, "EQY_FUND_RELATIVE_PERIOD", J$10, "EQY_FUND_CRNCY", CURRENCY, "EQY_CONSOLIDATED", DataH!$D$18, "Fill=B")</f>
        <v>0.78236465793645749</v>
      </c>
      <c r="K113" s="560">
        <f>_xll.BDP(TICKER&amp;" EQUITY",$F113, "EQY_FUND_RELATIVE_PERIOD", K$10, "EQY_FUND_CRNCY", CURRENCY, "EQY_CONSOLIDATED", DataH!$D$18, "Fill=B")</f>
        <v>1.3781885498053523</v>
      </c>
      <c r="L113" s="560">
        <f>_xll.BDP(TICKER&amp;" EQUITY",$F113, "EQY_FUND_RELATIVE_PERIOD", L$10, "EQY_FUND_CRNCY", CURRENCY, "EQY_CONSOLIDATED", DataH!$D$18, "Fill=B")</f>
        <v>1.442143413843809</v>
      </c>
      <c r="M113" s="560">
        <f>_xll.BDP(TICKER&amp;" EQUITY",$F113, "EQY_FUND_RELATIVE_PERIOD", M$10, "EQY_FUND_CRNCY", CURRENCY, "EQY_CONSOLIDATED", DataH!$D$18, "Fill=B")</f>
        <v>2.6059391221833588</v>
      </c>
      <c r="N113" s="560">
        <f>_xll.BDP(TICKER&amp;" EQUITY",$F113, "EQY_FUND_RELATIVE_PERIOD", N$10, "EQY_FUND_CRNCY", CURRENCY, "EQY_CONSOLIDATED", DataH!$D$18, "Fill=B")</f>
        <v>5.1421943718250587</v>
      </c>
      <c r="O113" s="560">
        <f>_xll.BDP(TICKER&amp;" EQUITY",$F113, "EQY_FUND_RELATIVE_PERIOD", O$10, "EQY_FUND_CRNCY", CURRENCY, "EQY_CONSOLIDATED", DataH!$D$18, "Fill=B")</f>
        <v>6.5040926224600479</v>
      </c>
      <c r="P113" s="560">
        <f>_xll.BDP(TICKER&amp;" EQUITY",$F113, "EQY_FUND_RELATIVE_PERIOD", P$10, "EQY_FUND_CRNCY", CURRENCY, "EQY_CONSOLIDATED", DataH!$D$18, "Fill=B")</f>
        <v>7.0246677752532412</v>
      </c>
      <c r="Q113" s="561">
        <f>_xll.BDP(TICKER&amp;" EQUITY",$F113, "EQY_FUND_RELATIVE_PERIOD", Q$10, "EQY_FUND_CRNCY", CURRENCY, "EQY_CONSOLIDATED", DataH!$D$18, "Fill=B")</f>
        <v>8.2394884162080402</v>
      </c>
      <c r="R113" s="562"/>
      <c r="S113" s="562"/>
      <c r="T113" s="563"/>
      <c r="U113" s="216"/>
      <c r="V113" s="216"/>
    </row>
    <row r="114" spans="2:22" ht="5.0999999999999996" customHeight="1">
      <c r="E114" s="216"/>
      <c r="R114" s="216"/>
      <c r="S114" s="216"/>
      <c r="T114" s="216"/>
      <c r="U114" s="216"/>
      <c r="V114" s="216"/>
    </row>
    <row r="115" spans="2:22" ht="15" customHeight="1">
      <c r="B115" s="872" t="str">
        <f>IF(Lang="English","Ratio Analysis", IF(Lang="中文","比率分析","レシオ分析"))</f>
        <v>Ratio Analysis</v>
      </c>
      <c r="C115" s="873"/>
      <c r="D115" s="873"/>
      <c r="E115" s="873"/>
      <c r="F115" s="873"/>
      <c r="G115" s="873"/>
      <c r="H115" s="873"/>
      <c r="I115" s="873"/>
      <c r="J115" s="873"/>
      <c r="K115" s="873"/>
      <c r="L115" s="873"/>
      <c r="M115" s="873"/>
      <c r="N115" s="873"/>
      <c r="O115" s="873"/>
      <c r="P115" s="873"/>
      <c r="Q115" s="873"/>
      <c r="R115" s="873"/>
      <c r="S115" s="873"/>
      <c r="T115" s="874"/>
    </row>
    <row r="116" spans="2:22" ht="15" hidden="1" customHeight="1">
      <c r="B116" s="886"/>
      <c r="C116" s="887"/>
      <c r="D116" s="887"/>
      <c r="E116" s="887"/>
      <c r="F116" s="887"/>
      <c r="G116" s="887"/>
      <c r="H116" s="887"/>
      <c r="I116" s="887"/>
      <c r="J116" s="887"/>
      <c r="K116" s="887"/>
      <c r="L116" s="887"/>
      <c r="M116" s="887"/>
      <c r="N116" s="887"/>
      <c r="O116" s="887"/>
      <c r="P116" s="887"/>
      <c r="Q116" s="888"/>
      <c r="R116" s="883"/>
      <c r="S116" s="884"/>
      <c r="T116" s="885"/>
    </row>
    <row r="117" spans="2:22" ht="15" customHeight="1">
      <c r="B117" s="877" t="str">
        <f>IF(Lang="English","Valuation Ratios", IF(Lang="中文","評價比率","売上高(M)"))</f>
        <v>Valuation Ratios</v>
      </c>
      <c r="C117" s="878"/>
      <c r="D117" s="878"/>
      <c r="E117" s="879"/>
      <c r="F117" s="126"/>
      <c r="G117" s="506"/>
      <c r="H117" s="506"/>
      <c r="I117" s="506"/>
      <c r="J117" s="506"/>
      <c r="K117" s="506"/>
      <c r="L117" s="506"/>
      <c r="M117" s="506"/>
      <c r="N117" s="506"/>
      <c r="O117" s="506"/>
      <c r="P117" s="506"/>
      <c r="Q117" s="507"/>
      <c r="R117" s="535"/>
      <c r="S117" s="536"/>
      <c r="T117" s="537"/>
    </row>
    <row r="118" spans="2:22" ht="15" customHeight="1">
      <c r="B118" s="862" t="str">
        <f>IF(Lang="English","     Price Earnings", IF(Lang="中文","     市盈率","     株価収益率(PER)"))</f>
        <v xml:space="preserve">     Price Earnings</v>
      </c>
      <c r="C118" s="767"/>
      <c r="D118" s="767"/>
      <c r="E118" s="768"/>
      <c r="F118" s="129" t="s">
        <v>396</v>
      </c>
      <c r="G118" s="348">
        <f>_xll.BDP(TICKER&amp;" EQUITY",$F118, "EQY_FUND_RELATIVE_PERIOD", G$10, "EQY_FUND_CRNCY", CURRENCY, "EQY_CONSOLIDATED", DataH!$D$18, "Fill=B")</f>
        <v>48.428571428571423</v>
      </c>
      <c r="H118" s="348">
        <f>_xll.BDP(TICKER&amp;" EQUITY",$F118, "EQY_FUND_RELATIVE_PERIOD", H$10, "EQY_FUND_CRNCY", CURRENCY, "EQY_CONSOLIDATED", DataH!$D$18, "Fill=B")</f>
        <v>34.102564102564102</v>
      </c>
      <c r="I118" s="348">
        <f>_xll.BDP(TICKER&amp;" EQUITY",$F118, "EQY_FUND_RELATIVE_PERIOD", I$10, "EQY_FUND_CRNCY", CURRENCY, "EQY_CONSOLIDATED", DataH!$D$18, "Fill=B")</f>
        <v>33.911894273127757</v>
      </c>
      <c r="J118" s="348">
        <f>_xll.BDP(TICKER&amp;" EQUITY",$F118, "EQY_FUND_RELATIVE_PERIOD", J$10, "EQY_FUND_CRNCY", CURRENCY, "EQY_CONSOLIDATED", DataH!$D$18, "Fill=B")</f>
        <v>39.050890585241731</v>
      </c>
      <c r="K118" s="348">
        <f>_xll.BDP(TICKER&amp;" EQUITY",$F118, "EQY_FUND_RELATIVE_PERIOD", K$10, "EQY_FUND_CRNCY", CURRENCY, "EQY_CONSOLIDATED", DataH!$D$18, "Fill=B")</f>
        <v>18.914454277286136</v>
      </c>
      <c r="L118" s="348">
        <f>_xll.BDP(TICKER&amp;" EQUITY",$F118, "EQY_FUND_RELATIVE_PERIOD", L$10, "EQY_FUND_CRNCY", CURRENCY, "EQY_CONSOLIDATED", DataH!$D$18, "Fill=B")</f>
        <v>20.084801762114537</v>
      </c>
      <c r="M118" s="348">
        <f>_xll.BDP(TICKER&amp;" EQUITY",$F118, "EQY_FUND_RELATIVE_PERIOD", M$10, "EQY_FUND_CRNCY", CURRENCY, "EQY_CONSOLIDATED", DataH!$D$18, "Fill=B")</f>
        <v>19.295049504950494</v>
      </c>
      <c r="N118" s="348">
        <f>_xll.BDP(TICKER&amp;" EQUITY",$F118, "EQY_FUND_RELATIVE_PERIOD", N$10, "EQY_FUND_CRNCY", CURRENCY, "EQY_CONSOLIDATED", DataH!$D$18, "Fill=B")</f>
        <v>14.60621387283237</v>
      </c>
      <c r="O118" s="348">
        <f>_xll.BDP(TICKER&amp;" EQUITY",$F118, "EQY_FUND_RELATIVE_PERIOD", O$10, "EQY_FUND_CRNCY", CURRENCY, "EQY_CONSOLIDATED", DataH!$D$18, "Fill=B")</f>
        <v>15.109966024915064</v>
      </c>
      <c r="P118" s="348">
        <f>_xll.BDP(TICKER&amp;" EQUITY",$F118, "EQY_FUND_RELATIVE_PERIOD", P$10, "EQY_FUND_CRNCY", CURRENCY, "EQY_CONSOLIDATED", DataH!$D$18, "Fill=B")</f>
        <v>12.144654088050315</v>
      </c>
      <c r="Q118" s="349">
        <f>_xll.BDP(TICKER&amp;" EQUITY",$F118, "EQY_FUND_RELATIVE_PERIOD", Q$10, "EQY_FUND_CRNCY", CURRENCY, "EQY_CONSOLIDATED", DataH!$D$18, "Fill=B")</f>
        <v>15.620155038759689</v>
      </c>
      <c r="R118" s="354">
        <f>_xll.BDP(TICKER&amp;" EQUITY",$U118, "BEST_FPERIOD_OVERRIDE", R$10, "EQY_FUND_CRNCY", CURRENCY, "BEST_CONSOLIDATED_OVERRIDE", DataH!$D$19, "Fill=B")</f>
        <v>11.293396123097143</v>
      </c>
      <c r="S118" s="354">
        <f>_xll.BDP(TICKER&amp;" EQUITY",$U118, "BEST_FPERIOD_OVERRIDE", S$10, "EQY_FUND_CRNCY", CURRENCY, "BEST_CONSOLIDATED_OVERRIDE", DataH!$D$19, "Fill=B")</f>
        <v>10.567739290838286</v>
      </c>
      <c r="T118" s="355">
        <f>_xll.BDP(TICKER&amp;" EQUITY",$U118, "BEST_FPERIOD_OVERRIDE", T$10, "EQY_FUND_CRNCY", CURRENCY, "BEST_CONSOLIDATED_OVERRIDE", DataH!$D$19, "Fill=B")</f>
        <v>9.6032780778543501</v>
      </c>
      <c r="U118" s="353" t="s">
        <v>390</v>
      </c>
    </row>
    <row r="119" spans="2:22" ht="15" customHeight="1">
      <c r="B119" s="862" t="str">
        <f>IF(Lang="English","     EV to EBIT",IF(Lang="中文","     EV to EBIT","     EV to EBIT"))</f>
        <v xml:space="preserve">     EV to EBIT</v>
      </c>
      <c r="C119" s="767"/>
      <c r="D119" s="767"/>
      <c r="E119" s="768"/>
      <c r="F119" s="129" t="s">
        <v>428</v>
      </c>
      <c r="G119" s="348">
        <f>_xll.BDP(TICKER&amp;" EQUITY",$F119, "EQY_FUND_RELATIVE_PERIOD", G$10, "EQY_FUND_CRNCY", CURRENCY, "EQY_CONSOLIDATED", DataH!$D$18, "Fill=B")</f>
        <v>26.168860968280804</v>
      </c>
      <c r="H119" s="348">
        <f>_xll.BDP(TICKER&amp;" EQUITY",$F119, "EQY_FUND_RELATIVE_PERIOD", H$10, "EQY_FUND_CRNCY", CURRENCY, "EQY_CONSOLIDATED", DataH!$D$18, "Fill=B")</f>
        <v>21.916381918060608</v>
      </c>
      <c r="I119" s="348">
        <f>_xll.BDP(TICKER&amp;" EQUITY",$F119, "EQY_FUND_RELATIVE_PERIOD", I$10, "EQY_FUND_CRNCY", CURRENCY, "EQY_CONSOLIDATED", DataH!$D$18, "Fill=B")</f>
        <v>22.718349973355078</v>
      </c>
      <c r="J119" s="348">
        <f>_xll.BDP(TICKER&amp;" EQUITY",$F119, "EQY_FUND_RELATIVE_PERIOD", J$10, "EQY_FUND_CRNCY", CURRENCY, "EQY_CONSOLIDATED", DataH!$D$18, "Fill=B")</f>
        <v>26.886845321724532</v>
      </c>
      <c r="K119" s="348">
        <f>_xll.BDP(TICKER&amp;" EQUITY",$F119, "EQY_FUND_RELATIVE_PERIOD", K$10, "EQY_FUND_CRNCY", CURRENCY, "EQY_CONSOLIDATED", DataH!$D$18, "Fill=B")</f>
        <v>10.739632854271646</v>
      </c>
      <c r="L119" s="348">
        <f>_xll.BDP(TICKER&amp;" EQUITY",$F119, "EQY_FUND_RELATIVE_PERIOD", L$10, "EQY_FUND_CRNCY", CURRENCY, "EQY_CONSOLIDATED", DataH!$D$18, "Fill=B")</f>
        <v>11.082242677597957</v>
      </c>
      <c r="M119" s="348">
        <f>_xll.BDP(TICKER&amp;" EQUITY",$F119, "EQY_FUND_RELATIVE_PERIOD", M$10, "EQY_FUND_CRNCY", CURRENCY, "EQY_CONSOLIDATED", DataH!$D$18, "Fill=B")</f>
        <v>11.789250204840902</v>
      </c>
      <c r="N119" s="348">
        <f>_xll.BDP(TICKER&amp;" EQUITY",$F119, "EQY_FUND_RELATIVE_PERIOD", N$10, "EQY_FUND_CRNCY", CURRENCY, "EQY_CONSOLIDATED", DataH!$D$18, "Fill=B")</f>
        <v>8.7048443651968057</v>
      </c>
      <c r="O119" s="348">
        <f>_xll.BDP(TICKER&amp;" EQUITY",$F119, "EQY_FUND_RELATIVE_PERIOD", O$10, "EQY_FUND_CRNCY", CURRENCY, "EQY_CONSOLIDATED", DataH!$D$18, "Fill=B")</f>
        <v>9.1471796824822142</v>
      </c>
      <c r="P119" s="348">
        <f>_xll.BDP(TICKER&amp;" EQUITY",$F119, "EQY_FUND_RELATIVE_PERIOD", P$10, "EQY_FUND_CRNCY", CURRENCY, "EQY_CONSOLIDATED", DataH!$D$18, "Fill=B")</f>
        <v>6.2102099175493368</v>
      </c>
      <c r="Q119" s="349">
        <f>_xll.BDP(TICKER&amp;" EQUITY",$F119, "EQY_FUND_RELATIVE_PERIOD", Q$10, "EQY_FUND_CRNCY", CURRENCY, "EQY_CONSOLIDATED", DataH!$D$18, "Fill=B")</f>
        <v>8.9722819791250021</v>
      </c>
      <c r="R119" s="354"/>
      <c r="S119" s="354"/>
      <c r="T119" s="355"/>
      <c r="U119" s="353"/>
    </row>
    <row r="120" spans="2:22" ht="15" customHeight="1">
      <c r="B120" s="862" t="str">
        <f>IF(Lang="English","     EV to EBITDA",IF(Lang="中文","     EV to EBITDA","     EV to EBITDA"))</f>
        <v xml:space="preserve">     EV to EBITDA</v>
      </c>
      <c r="C120" s="767"/>
      <c r="D120" s="767"/>
      <c r="E120" s="768"/>
      <c r="F120" s="129" t="s">
        <v>429</v>
      </c>
      <c r="G120" s="348">
        <f>_xll.BDP(TICKER&amp;" EQUITY",$F120, "EQY_FUND_RELATIVE_PERIOD", G$10, "EQY_FUND_CRNCY", CURRENCY, "EQY_CONSOLIDATED", DataH!$D$18, "Fill=B")</f>
        <v>18.302469895651303</v>
      </c>
      <c r="H120" s="348">
        <f>_xll.BDP(TICKER&amp;" EQUITY",$F120, "EQY_FUND_RELATIVE_PERIOD", H$10, "EQY_FUND_CRNCY", CURRENCY, "EQY_CONSOLIDATED", DataH!$D$18, "Fill=B")</f>
        <v>19.771476306615639</v>
      </c>
      <c r="I120" s="348">
        <f>_xll.BDP(TICKER&amp;" EQUITY",$F120, "EQY_FUND_RELATIVE_PERIOD", I$10, "EQY_FUND_CRNCY", CURRENCY, "EQY_CONSOLIDATED", DataH!$D$18, "Fill=B")</f>
        <v>20.809601375892459</v>
      </c>
      <c r="J120" s="348">
        <f>_xll.BDP(TICKER&amp;" EQUITY",$F120, "EQY_FUND_RELATIVE_PERIOD", J$10, "EQY_FUND_CRNCY", CURRENCY, "EQY_CONSOLIDATED", DataH!$D$18, "Fill=B")</f>
        <v>25.029642444621885</v>
      </c>
      <c r="K120" s="348">
        <f>_xll.BDP(TICKER&amp;" EQUITY",$F120, "EQY_FUND_RELATIVE_PERIOD", K$10, "EQY_FUND_CRNCY", CURRENCY, "EQY_CONSOLIDATED", DataH!$D$18, "Fill=B")</f>
        <v>10.135886067949677</v>
      </c>
      <c r="L120" s="348">
        <f>_xll.BDP(TICKER&amp;" EQUITY",$F120, "EQY_FUND_RELATIVE_PERIOD", L$10, "EQY_FUND_CRNCY", CURRENCY, "EQY_CONSOLIDATED", DataH!$D$18, "Fill=B")</f>
        <v>10.430137007776176</v>
      </c>
      <c r="M120" s="348">
        <f>_xll.BDP(TICKER&amp;" EQUITY",$F120, "EQY_FUND_RELATIVE_PERIOD", M$10, "EQY_FUND_CRNCY", CURRENCY, "EQY_CONSOLIDATED", DataH!$D$18, "Fill=B")</f>
        <v>11.165534979188131</v>
      </c>
      <c r="N120" s="348">
        <f>_xll.BDP(TICKER&amp;" EQUITY",$F120, "EQY_FUND_RELATIVE_PERIOD", N$10, "EQY_FUND_CRNCY", CURRENCY, "EQY_CONSOLIDATED", DataH!$D$18, "Fill=B")</f>
        <v>8.2613383636670044</v>
      </c>
      <c r="O120" s="348">
        <f>_xll.BDP(TICKER&amp;" EQUITY",$F120, "EQY_FUND_RELATIVE_PERIOD", O$10, "EQY_FUND_CRNCY", CURRENCY, "EQY_CONSOLIDATED", DataH!$D$18, "Fill=B")</f>
        <v>8.6349388707748034</v>
      </c>
      <c r="P120" s="348">
        <f>_xll.BDP(TICKER&amp;" EQUITY",$F120, "EQY_FUND_RELATIVE_PERIOD", P$10, "EQY_FUND_CRNCY", CURRENCY, "EQY_CONSOLIDATED", DataH!$D$18, "Fill=B")</f>
        <v>5.457602334277925</v>
      </c>
      <c r="Q120" s="349">
        <f>_xll.BDP(TICKER&amp;" EQUITY",$F120, "EQY_FUND_RELATIVE_PERIOD", Q$10, "EQY_FUND_CRNCY", CURRENCY, "EQY_CONSOLIDATED", DataH!$D$18, "Fill=B")</f>
        <v>7.792878637363728</v>
      </c>
      <c r="R120" s="354">
        <f>_xll.BDP(TICKER&amp;" EQUITY",$U120, "BEST_FPERIOD_OVERRIDE", R$10, "EQY_FUND_CRNCY", CURRENCY, "BEST_CONSOLIDATED_OVERRIDE", DataH!$D$19, "Fill=B")</f>
        <v>5.4007775424890392</v>
      </c>
      <c r="S120" s="354">
        <f>_xll.BDP(TICKER&amp;" EQUITY",$U120, "BEST_FPERIOD_OVERRIDE", S$10, "EQY_FUND_CRNCY", CURRENCY, "BEST_CONSOLIDATED_OVERRIDE", DataH!$D$19, "Fill=B")</f>
        <v>5.1642071604116619</v>
      </c>
      <c r="T120" s="355">
        <f>_xll.BDP(TICKER&amp;" EQUITY",$U120, "BEST_FPERIOD_OVERRIDE", T$10, "EQY_FUND_CRNCY", CURRENCY, "BEST_CONSOLIDATED_OVERRIDE", DataH!$D$19, "Fill=B")</f>
        <v>5.0119001346665168</v>
      </c>
      <c r="U120" s="353" t="s">
        <v>628</v>
      </c>
    </row>
    <row r="121" spans="2:22" ht="15" customHeight="1">
      <c r="B121" s="862" t="str">
        <f>IF(Lang="English","     Price to Sales", IF(Lang="中文","     價格/營收","     株価売上高比率(PSR)"))</f>
        <v xml:space="preserve">     Price to Sales</v>
      </c>
      <c r="C121" s="767"/>
      <c r="D121" s="767"/>
      <c r="E121" s="768"/>
      <c r="F121" s="129" t="s">
        <v>397</v>
      </c>
      <c r="G121" s="348">
        <f>_xll.BDP(TICKER&amp;" EQUITY",$F121, "EQY_FUND_RELATIVE_PERIOD", G$10, "EQY_FUND_CRNCY", CURRENCY, "EQY_CONSOLIDATED", DataH!$D$18, "Fill=B")</f>
        <v>1.6737034786810001</v>
      </c>
      <c r="H121" s="348">
        <f>_xll.BDP(TICKER&amp;" EQUITY",$F121, "EQY_FUND_RELATIVE_PERIOD", H$10, "EQY_FUND_CRNCY", CURRENCY, "EQY_CONSOLIDATED", DataH!$D$18, "Fill=B")</f>
        <v>3.0872841002081688</v>
      </c>
      <c r="I121" s="348">
        <f>_xll.BDP(TICKER&amp;" EQUITY",$F121, "EQY_FUND_RELATIVE_PERIOD", I$10, "EQY_FUND_CRNCY", CURRENCY, "EQY_CONSOLIDATED", DataH!$D$18, "Fill=B")</f>
        <v>3.3639961087237897</v>
      </c>
      <c r="J121" s="348">
        <f>_xll.BDP(TICKER&amp;" EQUITY",$F121, "EQY_FUND_RELATIVE_PERIOD", J$10, "EQY_FUND_CRNCY", CURRENCY, "EQY_CONSOLIDATED", DataH!$D$18, "Fill=B")</f>
        <v>5.398705942306127</v>
      </c>
      <c r="K121" s="348">
        <f>_xll.BDP(TICKER&amp;" EQUITY",$F121, "EQY_FUND_RELATIVE_PERIOD", K$10, "EQY_FUND_CRNCY", CURRENCY, "EQY_CONSOLIDATED", DataH!$D$18, "Fill=B")</f>
        <v>3.0155332767864289</v>
      </c>
      <c r="L121" s="348">
        <f>_xll.BDP(TICKER&amp;" EQUITY",$F121, "EQY_FUND_RELATIVE_PERIOD", L$10, "EQY_FUND_CRNCY", CURRENCY, "EQY_CONSOLIDATED", DataH!$D$18, "Fill=B")</f>
        <v>3.7958123277007343</v>
      </c>
      <c r="M121" s="348">
        <f>_xll.BDP(TICKER&amp;" EQUITY",$F121, "EQY_FUND_RELATIVE_PERIOD", M$10, "EQY_FUND_CRNCY", CURRENCY, "EQY_CONSOLIDATED", DataH!$D$18, "Fill=B")</f>
        <v>4.0759469454963586</v>
      </c>
      <c r="N121" s="348">
        <f>_xll.BDP(TICKER&amp;" EQUITY",$F121, "EQY_FUND_RELATIVE_PERIOD", N$10, "EQY_FUND_CRNCY", CURRENCY, "EQY_CONSOLIDATED", DataH!$D$18, "Fill=B")</f>
        <v>3.4520181193359756</v>
      </c>
      <c r="O121" s="348">
        <f>_xll.BDP(TICKER&amp;" EQUITY",$F121, "EQY_FUND_RELATIVE_PERIOD", O$10, "EQY_FUND_CRNCY", CURRENCY, "EQY_CONSOLIDATED", DataH!$D$18, "Fill=B")</f>
        <v>3.9845999047333045</v>
      </c>
      <c r="P121" s="348">
        <f>_xll.BDP(TICKER&amp;" EQUITY",$F121, "EQY_FUND_RELATIVE_PERIOD", P$10, "EQY_FUND_CRNCY", CURRENCY, "EQY_CONSOLIDATED", DataH!$D$18, "Fill=B")</f>
        <v>2.6136770244573166</v>
      </c>
      <c r="Q121" s="349">
        <f>_xll.BDP(TICKER&amp;" EQUITY",$F121, "EQY_FUND_RELATIVE_PERIOD", Q$10, "EQY_FUND_CRNCY", CURRENCY, "EQY_CONSOLIDATED", DataH!$D$18, "Fill=B")</f>
        <v>3.3541474274460463</v>
      </c>
      <c r="R121" s="354">
        <f>_xll.BDP(TICKER&amp;" EQUITY",$U121, "BEST_FPERIOD_OVERRIDE", R$10, "EQY_FUND_CRNCY", CURRENCY, "BEST_CONSOLIDATED_OVERRIDE", DataH!$D$19, "Fill=B")</f>
        <v>2.5202454394157883</v>
      </c>
      <c r="S121" s="354">
        <f>_xll.BDP(TICKER&amp;" EQUITY",$U121, "BEST_FPERIOD_OVERRIDE", S$10, "EQY_FUND_CRNCY", CURRENCY, "BEST_CONSOLIDATED_OVERRIDE", DataH!$D$19, "Fill=B")</f>
        <v>2.3938432768532594</v>
      </c>
      <c r="T121" s="355">
        <f>_xll.BDP(TICKER&amp;" EQUITY",$U121, "BEST_FPERIOD_OVERRIDE", T$10, "EQY_FUND_CRNCY", CURRENCY, "BEST_CONSOLIDATED_OVERRIDE", DataH!$D$19, "Fill=B")</f>
        <v>2.2834608371302694</v>
      </c>
      <c r="U121" s="353" t="s">
        <v>393</v>
      </c>
    </row>
    <row r="122" spans="2:22" ht="15" customHeight="1">
      <c r="B122" s="862" t="str">
        <f>IF(Lang="English","     Price to Book", IF(Lang="中文","     價格/帳面價值","     株価純資産倍率(PBR)"))</f>
        <v xml:space="preserve">     Price to Book</v>
      </c>
      <c r="C122" s="767"/>
      <c r="D122" s="767"/>
      <c r="E122" s="768"/>
      <c r="F122" s="129" t="s">
        <v>398</v>
      </c>
      <c r="G122" s="348">
        <f>_xll.BDP(TICKER&amp;" EQUITY",$F122, "EQY_FUND_RELATIVE_PERIOD", G$10, "EQY_FUND_CRNCY", CURRENCY, "EQY_CONSOLIDATED", DataH!$D$18, "Fill=B")</f>
        <v>2.8756762170862888</v>
      </c>
      <c r="H122" s="348">
        <f>_xll.BDP(TICKER&amp;" EQUITY",$F122, "EQY_FUND_RELATIVE_PERIOD", H$10, "EQY_FUND_CRNCY", CURRENCY, "EQY_CONSOLIDATED", DataH!$D$18, "Fill=B")</f>
        <v>5.9500442224484331</v>
      </c>
      <c r="I122" s="348">
        <f>_xll.BDP(TICKER&amp;" EQUITY",$F122, "EQY_FUND_RELATIVE_PERIOD", I$10, "EQY_FUND_CRNCY", CURRENCY, "EQY_CONSOLIDATED", DataH!$D$18, "Fill=B")</f>
        <v>6.5943622280288468</v>
      </c>
      <c r="J122" s="348">
        <f>_xll.BDP(TICKER&amp;" EQUITY",$F122, "EQY_FUND_RELATIVE_PERIOD", J$10, "EQY_FUND_CRNCY", CURRENCY, "EQY_CONSOLIDATED", DataH!$D$18, "Fill=B")</f>
        <v>9.2131530750010331</v>
      </c>
      <c r="K122" s="348">
        <f>_xll.BDP(TICKER&amp;" EQUITY",$F122, "EQY_FUND_RELATIVE_PERIOD", K$10, "EQY_FUND_CRNCY", CURRENCY, "EQY_CONSOLIDATED", DataH!$D$18, "Fill=B")</f>
        <v>5.109159204266045</v>
      </c>
      <c r="L122" s="348">
        <f>_xll.BDP(TICKER&amp;" EQUITY",$F122, "EQY_FUND_RELATIVE_PERIOD", L$10, "EQY_FUND_CRNCY", CURRENCY, "EQY_CONSOLIDATED", DataH!$D$18, "Fill=B")</f>
        <v>5.1863947229772451</v>
      </c>
      <c r="M122" s="348">
        <f>_xll.BDP(TICKER&amp;" EQUITY",$F122, "EQY_FUND_RELATIVE_PERIOD", M$10, "EQY_FUND_CRNCY", CURRENCY, "EQY_CONSOLIDATED", DataH!$D$18, "Fill=B")</f>
        <v>5.6026524872047032</v>
      </c>
      <c r="N122" s="348">
        <f>_xll.BDP(TICKER&amp;" EQUITY",$F122, "EQY_FUND_RELATIVE_PERIOD", N$10, "EQY_FUND_CRNCY", CURRENCY, "EQY_CONSOLIDATED", DataH!$D$18, "Fill=B")</f>
        <v>4.9038268106767609</v>
      </c>
      <c r="O122" s="348">
        <f>_xll.BDP(TICKER&amp;" EQUITY",$F122, "EQY_FUND_RELATIVE_PERIOD", O$10, "EQY_FUND_CRNCY", CURRENCY, "EQY_CONSOLIDATED", DataH!$D$18, "Fill=B")</f>
        <v>5.300315987141528</v>
      </c>
      <c r="P122" s="348">
        <f>_xll.BDP(TICKER&amp;" EQUITY",$F122, "EQY_FUND_RELATIVE_PERIOD", P$10, "EQY_FUND_CRNCY", CURRENCY, "EQY_CONSOLIDATED", DataH!$D$18, "Fill=B")</f>
        <v>3.513545846182486</v>
      </c>
      <c r="Q122" s="349">
        <f>_xll.BDP(TICKER&amp;" EQUITY",$F122, "EQY_FUND_RELATIVE_PERIOD", Q$10, "EQY_FUND_CRNCY", CURRENCY, "EQY_CONSOLIDATED", DataH!$D$18, "Fill=B")</f>
        <v>5.2983560360206905</v>
      </c>
      <c r="R122" s="354">
        <f>_xll.BDP(TICKER&amp;" EQUITY",$U122, "BEST_FPERIOD_OVERRIDE", R$10, "EQY_FUND_CRNCY", CURRENCY, "BEST_CONSOLIDATED_OVERRIDE", DataH!$D$19, "Fill=B")</f>
        <v>4.5447333627148527</v>
      </c>
      <c r="S122" s="354">
        <f>_xll.BDP(TICKER&amp;" EQUITY",$U122, "BEST_FPERIOD_OVERRIDE", S$10, "EQY_FUND_CRNCY", CURRENCY, "BEST_CONSOLIDATED_OVERRIDE", DataH!$D$19, "Fill=B")</f>
        <v>3.7261065943992775</v>
      </c>
      <c r="T122" s="355">
        <f>_xll.BDP(TICKER&amp;" EQUITY",$U122, "BEST_FPERIOD_OVERRIDE", T$10, "EQY_FUND_CRNCY", CURRENCY, "BEST_CONSOLIDATED_OVERRIDE", DataH!$D$19, "Fill=B")</f>
        <v>3.0791280979396833</v>
      </c>
      <c r="U122" s="216" t="s">
        <v>394</v>
      </c>
    </row>
    <row r="123" spans="2:22" ht="15" customHeight="1">
      <c r="B123" s="862" t="str">
        <f>IF(Lang="English","     Dividend Yield", IF(Lang="中文","     股利率","     配当利回り"))</f>
        <v xml:space="preserve">     Dividend Yield</v>
      </c>
      <c r="C123" s="767"/>
      <c r="D123" s="767"/>
      <c r="E123" s="768"/>
      <c r="F123" s="129" t="s">
        <v>399</v>
      </c>
      <c r="G123" s="348">
        <f>IF(ISERROR(_xll.BDP(TICKER&amp;" EQUITY",$F123, "EQY_FUND_RELATIVE_PERIOD", G$10, "EQY_FUND_CRNCY", CURRENCY, "EQY_CONSOLIDATED", DataH!$D$18)*1), "", _xll.BDP(TICKER&amp;" EQUITY",$F123, "EQY_FUND_RELATIVE_PERIOD", G$10, "EQY_FUND_CRNCY", CURRENCY, "EQY_CONSOLIDATED", DataH!$D$18)/100)</f>
        <v>0</v>
      </c>
      <c r="H123" s="348">
        <f>IF(ISERROR(_xll.BDP(TICKER&amp;" EQUITY",$F123, "EQY_FUND_RELATIVE_PERIOD", H$10, "EQY_FUND_CRNCY", CURRENCY, "EQY_CONSOLIDATED", DataH!$D$18)*1), "", _xll.BDP(TICKER&amp;" EQUITY",$F123, "EQY_FUND_RELATIVE_PERIOD", H$10, "EQY_FUND_CRNCY", CURRENCY, "EQY_CONSOLIDATED", DataH!$D$18)/100)</f>
        <v>0</v>
      </c>
      <c r="I123" s="348">
        <f>IF(ISERROR(_xll.BDP(TICKER&amp;" EQUITY",$F123, "EQY_FUND_RELATIVE_PERIOD", I$10, "EQY_FUND_CRNCY", CURRENCY, "EQY_CONSOLIDATED", DataH!$D$18)*1), "", _xll.BDP(TICKER&amp;" EQUITY",$F123, "EQY_FUND_RELATIVE_PERIOD", I$10, "EQY_FUND_CRNCY", CURRENCY, "EQY_CONSOLIDATED", DataH!$D$18)/100)</f>
        <v>0</v>
      </c>
      <c r="J123" s="348">
        <f>IF(ISERROR(_xll.BDP(TICKER&amp;" EQUITY",$F123, "EQY_FUND_RELATIVE_PERIOD", J$10, "EQY_FUND_CRNCY", CURRENCY, "EQY_CONSOLIDATED", DataH!$D$18)*1), "", _xll.BDP(TICKER&amp;" EQUITY",$F123, "EQY_FUND_RELATIVE_PERIOD", J$10, "EQY_FUND_CRNCY", CURRENCY, "EQY_CONSOLIDATED", DataH!$D$18)/100)</f>
        <v>0</v>
      </c>
      <c r="K123" s="348">
        <f>IF(ISERROR(_xll.BDP(TICKER&amp;" EQUITY",$F123, "EQY_FUND_RELATIVE_PERIOD", K$10, "EQY_FUND_CRNCY", CURRENCY, "EQY_CONSOLIDATED", DataH!$D$18)*1), "", _xll.BDP(TICKER&amp;" EQUITY",$F123, "EQY_FUND_RELATIVE_PERIOD", K$10, "EQY_FUND_CRNCY", CURRENCY, "EQY_CONSOLIDATED", DataH!$D$18)/100)</f>
        <v>0</v>
      </c>
      <c r="L123" s="348">
        <f>IF(ISERROR(_xll.BDP(TICKER&amp;" EQUITY",$F123, "EQY_FUND_RELATIVE_PERIOD", L$10, "EQY_FUND_CRNCY", CURRENCY, "EQY_CONSOLIDATED", DataH!$D$18)*1), "", _xll.BDP(TICKER&amp;" EQUITY",$F123, "EQY_FUND_RELATIVE_PERIOD", L$10, "EQY_FUND_CRNCY", CURRENCY, "EQY_CONSOLIDATED", DataH!$D$18)/100)</f>
        <v>0</v>
      </c>
      <c r="M123" s="348">
        <f>IF(ISERROR(_xll.BDP(TICKER&amp;" EQUITY",$F123, "EQY_FUND_RELATIVE_PERIOD", M$10, "EQY_FUND_CRNCY", CURRENCY, "EQY_CONSOLIDATED", DataH!$D$18)*1), "", _xll.BDP(TICKER&amp;" EQUITY",$F123, "EQY_FUND_RELATIVE_PERIOD", M$10, "EQY_FUND_CRNCY", CURRENCY, "EQY_CONSOLIDATED", DataH!$D$18)/100)</f>
        <v>0</v>
      </c>
      <c r="N123" s="348">
        <f>IF(ISERROR(_xll.BDP(TICKER&amp;" EQUITY",$F123, "EQY_FUND_RELATIVE_PERIOD", N$10, "EQY_FUND_CRNCY", CURRENCY, "EQY_CONSOLIDATED", DataH!$D$18)*1), "", _xll.BDP(TICKER&amp;" EQUITY",$F123, "EQY_FUND_RELATIVE_PERIOD", N$10, "EQY_FUND_CRNCY", CURRENCY, "EQY_CONSOLIDATED", DataH!$D$18)/100)</f>
        <v>0</v>
      </c>
      <c r="O123" s="348">
        <f>IF(ISERROR(_xll.BDP(TICKER&amp;" EQUITY",$F123, "EQY_FUND_RELATIVE_PERIOD", O$10, "EQY_FUND_CRNCY", CURRENCY, "EQY_CONSOLIDATED", DataH!$D$18)*1), "", _xll.BDP(TICKER&amp;" EQUITY",$F123, "EQY_FUND_RELATIVE_PERIOD", O$10, "EQY_FUND_CRNCY", CURRENCY, "EQY_CONSOLIDATED", DataH!$D$18)/100)</f>
        <v>3.9723881547882268E-3</v>
      </c>
      <c r="P123" s="348">
        <f>IF(ISERROR(_xll.BDP(TICKER&amp;" EQUITY",$F123, "EQY_FUND_RELATIVE_PERIOD", P$10, "EQY_FUND_CRNCY", CURRENCY, "EQY_CONSOLIDATED", DataH!$D$18)*1), "", _xll.BDP(TICKER&amp;" EQUITY",$F123, "EQY_FUND_RELATIVE_PERIOD", P$10, "EQY_FUND_CRNCY", CURRENCY, "EQY_CONSOLIDATED", DataH!$D$18)/100)</f>
        <v>2.3614707405489384E-2</v>
      </c>
      <c r="Q123" s="349">
        <f>IF(ISERROR(_xll.BDP(TICKER&amp;" EQUITY",$F123, "EQY_FUND_RELATIVE_PERIOD", Q$10, "EQY_FUND_CRNCY", CURRENCY, "EQY_CONSOLIDATED", DataH!$D$18)*1), "", _xll.BDP(TICKER&amp;" EQUITY",$F123, "EQY_FUND_RELATIVE_PERIOD", Q$10, "EQY_FUND_CRNCY", CURRENCY, "EQY_CONSOLIDATED", DataH!$D$18)/100)</f>
        <v>1.806451612903226E-2</v>
      </c>
      <c r="R123" s="354">
        <f>IF(ISERROR(_xll.BDP(TICKER&amp;" EQUITY",$U123, "BEST_FPERIOD_OVERRIDE", R$10, "EQY_FUND_CRNCY", CURRENCY, "BEST_CONSOLIDATED_OVERRIDE", DataH!$D$19)*1), "", _xll.BDP(TICKER&amp;" EQUITY",$U123, "BEST_FPERIOD_OVERRIDE", R$10, "EQY_FUND_CRNCY", CURRENCY, "BEST_CONSOLIDATED_OVERRIDE", DataH!$D$19)/100)</f>
        <v>1.9230023273855704E-2</v>
      </c>
      <c r="S123" s="354">
        <f>IF(ISERROR(_xll.BDP(TICKER&amp;" EQUITY",$U123, "BEST_FPERIOD_OVERRIDE", S$10, "EQY_FUND_CRNCY", CURRENCY, "BEST_CONSOLIDATED_OVERRIDE", DataH!$D$19)*1), "", _xll.BDP(TICKER&amp;" EQUITY",$U123, "BEST_FPERIOD_OVERRIDE", S$10, "EQY_FUND_CRNCY", CURRENCY, "BEST_CONSOLIDATED_OVERRIDE", DataH!$D$19)/100)</f>
        <v>2.0956167571761056E-2</v>
      </c>
      <c r="T123" s="355">
        <f>IF(ISERROR(_xll.BDP(TICKER&amp;" EQUITY",$U123, "BEST_FPERIOD_OVERRIDE", T$10, "EQY_FUND_CRNCY", CURRENCY, "BEST_CONSOLIDATED_OVERRIDE", DataH!$D$19)*1), "", _xll.BDP(TICKER&amp;" EQUITY",$U123, "BEST_FPERIOD_OVERRIDE", T$10, "EQY_FUND_CRNCY", CURRENCY, "BEST_CONSOLIDATED_OVERRIDE", DataH!$D$19)/100)</f>
        <v>2.2934445306439101E-2</v>
      </c>
      <c r="U123" s="216" t="s">
        <v>395</v>
      </c>
    </row>
    <row r="124" spans="2:22" ht="15" customHeight="1">
      <c r="B124" s="862" t="str">
        <f>IF(Lang="English","", "" )</f>
        <v/>
      </c>
      <c r="C124" s="767"/>
      <c r="D124" s="767"/>
      <c r="E124" s="768"/>
      <c r="F124" s="129"/>
      <c r="G124" s="348"/>
      <c r="H124" s="348"/>
      <c r="I124" s="348"/>
      <c r="J124" s="348"/>
      <c r="K124" s="348"/>
      <c r="L124" s="348"/>
      <c r="M124" s="348"/>
      <c r="N124" s="348"/>
      <c r="O124" s="348"/>
      <c r="P124" s="348"/>
      <c r="Q124" s="349"/>
      <c r="R124" s="354"/>
      <c r="S124" s="354"/>
      <c r="T124" s="355"/>
    </row>
    <row r="125" spans="2:22" ht="15" customHeight="1">
      <c r="B125" s="877" t="str">
        <f>IF(Lang="English","Profitability Ratios", IF(Lang="中文","獲利比率","売上高(M)"))</f>
        <v>Profitability Ratios</v>
      </c>
      <c r="C125" s="878"/>
      <c r="D125" s="878"/>
      <c r="E125" s="879"/>
      <c r="F125" s="126"/>
      <c r="G125" s="506"/>
      <c r="H125" s="506"/>
      <c r="I125" s="506"/>
      <c r="J125" s="506"/>
      <c r="K125" s="506"/>
      <c r="L125" s="506"/>
      <c r="M125" s="506"/>
      <c r="N125" s="506"/>
      <c r="O125" s="506"/>
      <c r="P125" s="506"/>
      <c r="Q125" s="507"/>
      <c r="R125" s="535"/>
      <c r="S125" s="536"/>
      <c r="T125" s="537"/>
    </row>
    <row r="126" spans="2:22" ht="15" customHeight="1">
      <c r="B126" s="862" t="str">
        <f>IF(Lang="English","     Gross Margin", IF(Lang="中文","     毛利率","   売上総利益率"))</f>
        <v xml:space="preserve">     Gross Margin</v>
      </c>
      <c r="C126" s="767"/>
      <c r="D126" s="767"/>
      <c r="E126" s="768"/>
      <c r="F126" s="129" t="s">
        <v>402</v>
      </c>
      <c r="G126" s="348">
        <f>_xll.BDP(TICKER&amp;" EQUITY",$F126, "EQY_FUND_RELATIVE_PERIOD", G$10, "EQY_FUND_CRNCY", CURRENCY, "EQY_CONSOLIDATED", DataH!$D$18, "Fill=0")/100</f>
        <v>0.27285904094697422</v>
      </c>
      <c r="H126" s="348">
        <f>_xll.BDP(TICKER&amp;" EQUITY",$F126, "EQY_FUND_RELATIVE_PERIOD", H$10, "EQY_FUND_CRNCY", CURRENCY, "EQY_CONSOLIDATED", DataH!$D$18, "Fill=0")/100</f>
        <v>0.29021606489124974</v>
      </c>
      <c r="I126" s="348">
        <f>_xll.BDP(TICKER&amp;" EQUITY",$F126, "EQY_FUND_RELATIVE_PERIOD", I$10, "EQY_FUND_CRNCY", CURRENCY, "EQY_CONSOLIDATED", DataH!$D$18, "Fill=0")/100</f>
        <v>0.28982655966865134</v>
      </c>
      <c r="J126" s="348">
        <f>_xll.BDP(TICKER&amp;" EQUITY",$F126, "EQY_FUND_RELATIVE_PERIOD", J$10, "EQY_FUND_CRNCY", CURRENCY, "EQY_CONSOLIDATED", DataH!$D$18, "Fill=0")/100</f>
        <v>0.33167873708194323</v>
      </c>
      <c r="K126" s="348">
        <f>_xll.BDP(TICKER&amp;" EQUITY",$F126, "EQY_FUND_RELATIVE_PERIOD", K$10, "EQY_FUND_CRNCY", CURRENCY, "EQY_CONSOLIDATED", DataH!$D$18, "Fill=0")/100</f>
        <v>0.35200448107545812</v>
      </c>
      <c r="L126" s="348">
        <f>_xll.BDP(TICKER&amp;" EQUITY",$F126, "EQY_FUND_RELATIVE_PERIOD", L$10, "EQY_FUND_CRNCY", CURRENCY, "EQY_CONSOLIDATED", DataH!$D$18, "Fill=0")/100</f>
        <v>0.4013984384104417</v>
      </c>
      <c r="M126" s="348">
        <f>_xll.BDP(TICKER&amp;" EQUITY",$F126, "EQY_FUND_RELATIVE_PERIOD", M$10, "EQY_FUND_CRNCY", CURRENCY, "EQY_CONSOLIDATED", DataH!$D$18, "Fill=0")/100</f>
        <v>0.39377539287083174</v>
      </c>
      <c r="N126" s="348">
        <f>_xll.BDP(TICKER&amp;" EQUITY",$F126, "EQY_FUND_RELATIVE_PERIOD", N$10, "EQY_FUND_CRNCY", CURRENCY, "EQY_CONSOLIDATED", DataH!$D$18, "Fill=0")/100</f>
        <v>0.40478895878945764</v>
      </c>
      <c r="O126" s="348">
        <f>_xll.BDP(TICKER&amp;" EQUITY",$F126, "EQY_FUND_RELATIVE_PERIOD", O$10, "EQY_FUND_CRNCY", CURRENCY, "EQY_CONSOLIDATED", DataH!$D$18, "Fill=0")/100</f>
        <v>0.43871239808827667</v>
      </c>
      <c r="P126" s="348">
        <f>_xll.BDP(TICKER&amp;" EQUITY",$F126, "EQY_FUND_RELATIVE_PERIOD", P$10, "EQY_FUND_CRNCY", CURRENCY, "EQY_CONSOLIDATED", DataH!$D$18, "Fill=0")/100</f>
        <v>0.37624480720847231</v>
      </c>
      <c r="Q126" s="349">
        <f>_xll.BDP(TICKER&amp;" EQUITY",$F126, "EQY_FUND_RELATIVE_PERIOD", Q$10, "EQY_FUND_CRNCY", CURRENCY, "EQY_CONSOLIDATED", DataH!$D$18, "Fill=0")/100</f>
        <v>0.38588035777783858</v>
      </c>
      <c r="R126" s="354">
        <f>_xll.BDP(TICKER&amp;" EQUITY",$U126, "BEST_FPERIOD_OVERRIDE", R$10, "EQY_FUND_CRNCY", CURRENCY, "BEST_CONSOLIDATED_OVERRIDE", DataH!$D$19, "Fill=0")/100</f>
        <v>0.39976</v>
      </c>
      <c r="S126" s="354">
        <f>_xll.BDP(TICKER&amp;" EQUITY",$U126, "BEST_FPERIOD_OVERRIDE", S$10, "EQY_FUND_CRNCY", CURRENCY, "BEST_CONSOLIDATED_OVERRIDE", DataH!$D$19, "Fill=0")/100</f>
        <v>0.39657000000000003</v>
      </c>
      <c r="T126" s="355">
        <f>_xll.BDP(TICKER&amp;" EQUITY",$U126, "BEST_FPERIOD_OVERRIDE", T$10, "EQY_FUND_CRNCY", CURRENCY, "BEST_CONSOLIDATED_OVERRIDE", DataH!$D$19, "Fill=0")/100</f>
        <v>0.39795000000000003</v>
      </c>
      <c r="U126" s="216" t="s">
        <v>408</v>
      </c>
    </row>
    <row r="127" spans="2:22" ht="15" customHeight="1">
      <c r="B127" s="862" t="str">
        <f>IF(Lang="English","     EBITDA Margin", IF(Lang="中文","     EBITDA獲利率","   EBITDA/売上高比率"))</f>
        <v xml:space="preserve">     EBITDA Margin</v>
      </c>
      <c r="C127" s="767"/>
      <c r="D127" s="767"/>
      <c r="E127" s="768"/>
      <c r="F127" s="129" t="s">
        <v>403</v>
      </c>
      <c r="G127" s="348">
        <f>_xll.BDP(TICKER&amp;" EQUITY",$F127, "EQY_FUND_RELATIVE_PERIOD", G$10, "EQY_FUND_CRNCY", CURRENCY, "EQY_CONSOLIDATED", DataH!$D$18, "Fill=0")/100</f>
        <v>6.0272979828481697E-2</v>
      </c>
      <c r="H127" s="348">
        <f>_xll.BDP(TICKER&amp;" EQUITY",$F127, "EQY_FUND_RELATIVE_PERIOD", H$10, "EQY_FUND_CRNCY", CURRENCY, "EQY_CONSOLIDATED", DataH!$D$18, "Fill=0")/100</f>
        <v>0.13128992893546768</v>
      </c>
      <c r="I127" s="348">
        <f>_xll.BDP(TICKER&amp;" EQUITY",$F127, "EQY_FUND_RELATIVE_PERIOD", I$10, "EQY_FUND_CRNCY", CURRENCY, "EQY_CONSOLIDATED", DataH!$D$18, "Fill=0")/100</f>
        <v>0.13864871861247735</v>
      </c>
      <c r="J127" s="348">
        <f>_xll.BDP(TICKER&amp;" EQUITY",$F127, "EQY_FUND_RELATIVE_PERIOD", J$10, "EQY_FUND_CRNCY", CURRENCY, "EQY_CONSOLIDATED", DataH!$D$18, "Fill=0")/100</f>
        <v>0.19261127837903819</v>
      </c>
      <c r="K127" s="348">
        <f>_xll.BDP(TICKER&amp;" EQUITY",$F127, "EQY_FUND_RELATIVE_PERIOD", K$10, "EQY_FUND_CRNCY", CURRENCY, "EQY_CONSOLIDATED", DataH!$D$18, "Fill=0")/100</f>
        <v>0.23533648075538133</v>
      </c>
      <c r="L127" s="348">
        <f>_xll.BDP(TICKER&amp;" EQUITY",$F127, "EQY_FUND_RELATIVE_PERIOD", L$10, "EQY_FUND_CRNCY", CURRENCY, "EQY_CONSOLIDATED", DataH!$D$18, "Fill=0")/100</f>
        <v>0.29073534553082392</v>
      </c>
      <c r="M127" s="348">
        <f>_xll.BDP(TICKER&amp;" EQUITY",$F127, "EQY_FUND_RELATIVE_PERIOD", M$10, "EQY_FUND_CRNCY", CURRENCY, "EQY_CONSOLIDATED", DataH!$D$18, "Fill=0")/100</f>
        <v>0.29761594480643927</v>
      </c>
      <c r="N127" s="348">
        <f>_xll.BDP(TICKER&amp;" EQUITY",$F127, "EQY_FUND_RELATIVE_PERIOD", N$10, "EQY_FUND_CRNCY", CURRENCY, "EQY_CONSOLIDATED", DataH!$D$18, "Fill=0")/100</f>
        <v>0.32890835019261144</v>
      </c>
      <c r="O127" s="348">
        <f>_xll.BDP(TICKER&amp;" EQUITY",$F127, "EQY_FUND_RELATIVE_PERIOD", O$10, "EQY_FUND_CRNCY", CURRENCY, "EQY_CONSOLIDATED", DataH!$D$18, "Fill=0")/100</f>
        <v>0.37389781991974852</v>
      </c>
      <c r="P127" s="348">
        <f>_xll.BDP(TICKER&amp;" EQUITY",$F127, "EQY_FUND_RELATIVE_PERIOD", P$10, "EQY_FUND_CRNCY", CURRENCY, "EQY_CONSOLIDATED", DataH!$D$18, "Fill=0")/100</f>
        <v>0.32623017962670409</v>
      </c>
      <c r="Q127" s="349">
        <f>_xll.BDP(TICKER&amp;" EQUITY",$F127, "EQY_FUND_RELATIVE_PERIOD", Q$10, "EQY_FUND_CRNCY", CURRENCY, "EQY_CONSOLIDATED", DataH!$D$18, "Fill=0")/100</f>
        <v>0.3306928526491425</v>
      </c>
      <c r="R127" s="354">
        <f>IF(ISERROR(_xll.BDP(TICKER&amp;" EQUITY","BEST_EBITDA", "BEST_FPERIOD_OVERRIDE", R$10, "BEST_CONSOLIDATED_OVERRIDE", DataH!$D$19)/_xll.BDP(TICKER&amp;" EQUITY","BEST_SALES", "BEST_FPERIOD_OVERRIDE", R$10, "BEST_CONSOLIDATED_OVERRIDE", DataH!$D$19)), "-", _xll.BDP(TICKER&amp;" EQUITY","BEST_EBITDA", "BEST_FPERIOD_OVERRIDE", R$10, "BEST_CONSOLIDATED_OVERRIDE", DataH!$D$19)/_xll.BDP(TICKER&amp;" EQUITY","BEST_SALES", "BEST_FPERIOD_OVERRIDE", R$10, "BEST_CONSOLIDATED_OVERRIDE", DataH!$D$19))</f>
        <v>0.34886178586914041</v>
      </c>
      <c r="S127" s="354">
        <f>IF(ISERROR(_xll.BDP(TICKER&amp;" EQUITY","BEST_EBITDA", "BEST_FPERIOD_OVERRIDE", S$10, "BEST_CONSOLIDATED_OVERRIDE", DataH!$D$19)/_xll.BDP(TICKER&amp;" EQUITY","BEST_SALES", "BEST_FPERIOD_OVERRIDE", S$10, "BEST_CONSOLIDATED_OVERRIDE", DataH!$D$19)), "-", _xll.BDP(TICKER&amp;" EQUITY","BEST_EBITDA", "BEST_FPERIOD_OVERRIDE", S$10, "BEST_CONSOLIDATED_OVERRIDE", DataH!$D$19)/_xll.BDP(TICKER&amp;" EQUITY","BEST_SALES", "BEST_FPERIOD_OVERRIDE", S$10, "BEST_CONSOLIDATED_OVERRIDE", DataH!$D$19))</f>
        <v>0.34654441959228216</v>
      </c>
      <c r="T127" s="355">
        <f>IF(ISERROR(_xll.BDP(TICKER&amp;" EQUITY","BEST_EBITDA", "BEST_FPERIOD_OVERRIDE", T$10, "BEST_CONSOLIDATED_OVERRIDE", DataH!$D$19)/_xll.BDP(TICKER&amp;" EQUITY","BEST_SALES", "BEST_FPERIOD_OVERRIDE", T$10, "BEST_CONSOLIDATED_OVERRIDE", DataH!$D$19)), "-", _xll.BDP(TICKER&amp;" EQUITY","BEST_EBITDA", "BEST_FPERIOD_OVERRIDE", T$10, "BEST_CONSOLIDATED_OVERRIDE", DataH!$D$19)/_xll.BDP(TICKER&amp;" EQUITY","BEST_SALES", "BEST_FPERIOD_OVERRIDE", T$10, "BEST_CONSOLIDATED_OVERRIDE", DataH!$D$19))</f>
        <v>0.34061048288330548</v>
      </c>
      <c r="U127" s="216"/>
    </row>
    <row r="128" spans="2:22" ht="15" customHeight="1">
      <c r="B128" s="862" t="str">
        <f>IF(Lang="English","     Operating Margin", IF(Lang="中文","     營利率","   営業利益率"))</f>
        <v xml:space="preserve">     Operating Margin</v>
      </c>
      <c r="C128" s="767"/>
      <c r="D128" s="767"/>
      <c r="E128" s="768"/>
      <c r="F128" s="129" t="s">
        <v>404</v>
      </c>
      <c r="G128" s="348">
        <f>_xll.BDP(TICKER&amp;" EQUITY",$F128, "EQY_FUND_RELATIVE_PERIOD", G$10, "EQY_FUND_CRNCY", CURRENCY, "EQY_CONSOLIDATED", DataH!$D$18, "Fill=0")/100</f>
        <v>4.2154849619519263E-2</v>
      </c>
      <c r="H128" s="348">
        <f>_xll.BDP(TICKER&amp;" EQUITY",$F128, "EQY_FUND_RELATIVE_PERIOD", H$10, "EQY_FUND_CRNCY", CURRENCY, "EQY_CONSOLIDATED", DataH!$D$18, "Fill=0")/100</f>
        <v>0.11844088722991888</v>
      </c>
      <c r="I128" s="348">
        <f>_xll.BDP(TICKER&amp;" EQUITY",$F128, "EQY_FUND_RELATIVE_PERIOD", I$10, "EQY_FUND_CRNCY", CURRENCY, "EQY_CONSOLIDATED", DataH!$D$18, "Fill=0")/100</f>
        <v>0.1269997411338338</v>
      </c>
      <c r="J128" s="348">
        <f>_xll.BDP(TICKER&amp;" EQUITY",$F128, "EQY_FUND_RELATIVE_PERIOD", J$10, "EQY_FUND_CRNCY", CURRENCY, "EQY_CONSOLIDATED", DataH!$D$18, "Fill=0")/100</f>
        <v>0.17930669704613883</v>
      </c>
      <c r="K128" s="348">
        <f>_xll.BDP(TICKER&amp;" EQUITY",$F128, "EQY_FUND_RELATIVE_PERIOD", K$10, "EQY_FUND_CRNCY", CURRENCY, "EQY_CONSOLIDATED", DataH!$D$18, "Fill=0")/100</f>
        <v>0.22210663892667573</v>
      </c>
      <c r="L128" s="348">
        <f>_xll.BDP(TICKER&amp;" EQUITY",$F128, "EQY_FUND_RELATIVE_PERIOD", L$10, "EQY_FUND_CRNCY", CURRENCY, "EQY_CONSOLIDATED", DataH!$D$18, "Fill=0")/100</f>
        <v>0.2736277823097541</v>
      </c>
      <c r="M128" s="348">
        <f>_xll.BDP(TICKER&amp;" EQUITY",$F128, "EQY_FUND_RELATIVE_PERIOD", M$10, "EQY_FUND_CRNCY", CURRENCY, "EQY_CONSOLIDATED", DataH!$D$18, "Fill=0")/100</f>
        <v>0.28187044844768111</v>
      </c>
      <c r="N128" s="348">
        <f>_xll.BDP(TICKER&amp;" EQUITY",$F128, "EQY_FUND_RELATIVE_PERIOD", N$10, "EQY_FUND_CRNCY", CURRENCY, "EQY_CONSOLIDATED", DataH!$D$18, "Fill=0")/100</f>
        <v>0.31215068961376086</v>
      </c>
      <c r="O128" s="348">
        <f>_xll.BDP(TICKER&amp;" EQUITY",$F128, "EQY_FUND_RELATIVE_PERIOD", O$10, "EQY_FUND_CRNCY", CURRENCY, "EQY_CONSOLIDATED", DataH!$D$18, "Fill=0")/100</f>
        <v>0.35295959311984054</v>
      </c>
      <c r="P128" s="348">
        <f>_xll.BDP(TICKER&amp;" EQUITY",$F128, "EQY_FUND_RELATIVE_PERIOD", P$10, "EQY_FUND_CRNCY", CURRENCY, "EQY_CONSOLIDATED", DataH!$D$18, "Fill=0")/100</f>
        <v>0.28669475162366159</v>
      </c>
      <c r="Q128" s="349">
        <f>_xll.BDP(TICKER&amp;" EQUITY",$F128, "EQY_FUND_RELATIVE_PERIOD", Q$10, "EQY_FUND_CRNCY", CURRENCY, "EQY_CONSOLIDATED", DataH!$D$18, "Fill=0")/100</f>
        <v>0.28722339232473537</v>
      </c>
      <c r="R128" s="354">
        <f>_xll.BDP(TICKER&amp;" EQUITY",$U128, "BEST_FPERIOD_OVERRIDE", R$10, "EQY_FUND_CRNCY", CURRENCY, "BEST_CONSOLIDATED_OVERRIDE", DataH!$D$19, "Fill=B")</f>
        <v>0.30335854031511317</v>
      </c>
      <c r="S128" s="354">
        <f>_xll.BDP(TICKER&amp;" EQUITY",$U128, "BEST_FPERIOD_OVERRIDE", S$10, "EQY_FUND_CRNCY", CURRENCY, "BEST_CONSOLIDATED_OVERRIDE", DataH!$D$19, "Fill=B")</f>
        <v>0.29726500113125148</v>
      </c>
      <c r="T128" s="355">
        <f>_xll.BDP(TICKER&amp;" EQUITY",$U128, "BEST_FPERIOD_OVERRIDE", T$10, "EQY_FUND_CRNCY", CURRENCY, "BEST_CONSOLIDATED_OVERRIDE", DataH!$D$19, "Fill=B")</f>
        <v>0.30652089330965215</v>
      </c>
      <c r="U128" s="216" t="s">
        <v>409</v>
      </c>
    </row>
    <row r="129" spans="2:21" ht="15" customHeight="1">
      <c r="B129" s="862" t="str">
        <f>IF(Lang="English","     Profit Margin", IF(Lang="中文","     獲利率","   利益率"))</f>
        <v xml:space="preserve">     Profit Margin</v>
      </c>
      <c r="C129" s="767"/>
      <c r="D129" s="767"/>
      <c r="E129" s="768"/>
      <c r="F129" s="129" t="s">
        <v>405</v>
      </c>
      <c r="G129" s="348">
        <f>_xll.BDP(TICKER&amp;" EQUITY",$F129, "EQY_FUND_RELATIVE_PERIOD", G$10, "EQY_FUND_CRNCY", CURRENCY, "EQY_CONSOLIDATED", DataH!$D$18, "Fill=0")/100</f>
        <v>3.3337359584490883E-2</v>
      </c>
      <c r="H129" s="348">
        <f>_xll.BDP(TICKER&amp;" EQUITY",$F129, "EQY_FUND_RELATIVE_PERIOD", H$10, "EQY_FUND_CRNCY", CURRENCY, "EQY_CONSOLIDATED", DataH!$D$18, "Fill=0")/100</f>
        <v>9.5829445122388932E-2</v>
      </c>
      <c r="I129" s="348">
        <f>_xll.BDP(TICKER&amp;" EQUITY",$F129, "EQY_FUND_RELATIVE_PERIOD", I$10, "EQY_FUND_CRNCY", CURRENCY, "EQY_CONSOLIDATED", DataH!$D$18, "Fill=0")/100</f>
        <v>0.10297696091120891</v>
      </c>
      <c r="J129" s="348">
        <f>_xll.BDP(TICKER&amp;" EQUITY",$F129, "EQY_FUND_RELATIVE_PERIOD", J$10, "EQY_FUND_CRNCY", CURRENCY, "EQY_CONSOLIDATED", DataH!$D$18, "Fill=0")/100</f>
        <v>0.14220034176906177</v>
      </c>
      <c r="K129" s="348">
        <f>_xll.BDP(TICKER&amp;" EQUITY",$F129, "EQY_FUND_RELATIVE_PERIOD", K$10, "EQY_FUND_CRNCY", CURRENCY, "EQY_CONSOLIDATED", DataH!$D$18, "Fill=0")/100</f>
        <v>0.16321250433437359</v>
      </c>
      <c r="L129" s="348">
        <f>_xll.BDP(TICKER&amp;" EQUITY",$F129, "EQY_FUND_RELATIVE_PERIOD", L$10, "EQY_FUND_CRNCY", CURRENCY, "EQY_CONSOLIDATED", DataH!$D$18, "Fill=0")/100</f>
        <v>0.19193567183311969</v>
      </c>
      <c r="M129" s="348">
        <f>_xll.BDP(TICKER&amp;" EQUITY",$F129, "EQY_FUND_RELATIVE_PERIOD", M$10, "EQY_FUND_CRNCY", CURRENCY, "EQY_CONSOLIDATED", DataH!$D$18, "Fill=0")/100</f>
        <v>0.21484093522422384</v>
      </c>
      <c r="N129" s="348">
        <f>_xll.BDP(TICKER&amp;" EQUITY",$F129, "EQY_FUND_RELATIVE_PERIOD", N$10, "EQY_FUND_CRNCY", CURRENCY, "EQY_CONSOLIDATED", DataH!$D$18, "Fill=0")/100</f>
        <v>0.2394664153941376</v>
      </c>
      <c r="O129" s="348">
        <f>_xll.BDP(TICKER&amp;" EQUITY",$F129, "EQY_FUND_RELATIVE_PERIOD", O$10, "EQY_FUND_CRNCY", CURRENCY, "EQY_CONSOLIDATED", DataH!$D$18, "Fill=0")/100</f>
        <v>0.26665090602397323</v>
      </c>
      <c r="P129" s="348">
        <f>_xll.BDP(TICKER&amp;" EQUITY",$F129, "EQY_FUND_RELATIVE_PERIOD", P$10, "EQY_FUND_CRNCY", CURRENCY, "EQY_CONSOLIDATED", DataH!$D$18, "Fill=0")/100</f>
        <v>0.21670469837926393</v>
      </c>
      <c r="Q129" s="349">
        <f>_xll.BDP(TICKER&amp;" EQUITY",$F129, "EQY_FUND_RELATIVE_PERIOD", Q$10, "EQY_FUND_CRNCY", CURRENCY, "EQY_CONSOLIDATED", DataH!$D$18, "Fill=0")/100</f>
        <v>0.21614376760852325</v>
      </c>
      <c r="R129" s="354">
        <f>_xll.BDP(TICKER&amp;" EQUITY",$U129, "BEST_FPERIOD_OVERRIDE", R$10, "EQY_FUND_CRNCY", CURRENCY, "BEST_CONSOLIDATED_OVERRIDE", DataH!$D$19, "Fill=B")</f>
        <v>0.22773483929603591</v>
      </c>
      <c r="S129" s="354">
        <f>_xll.BDP(TICKER&amp;" EQUITY",$U129, "BEST_FPERIOD_OVERRIDE", S$10, "EQY_FUND_CRNCY", CURRENCY, "BEST_CONSOLIDATED_OVERRIDE", DataH!$D$19, "Fill=B")</f>
        <v>0.22197227811086623</v>
      </c>
      <c r="T129" s="355">
        <f>_xll.BDP(TICKER&amp;" EQUITY",$U129, "BEST_FPERIOD_OVERRIDE", T$10, "EQY_FUND_CRNCY", CURRENCY, "BEST_CONSOLIDATED_OVERRIDE", DataH!$D$19, "Fill=B")</f>
        <v>0.22441163473926756</v>
      </c>
      <c r="U129" s="216" t="s">
        <v>410</v>
      </c>
    </row>
    <row r="130" spans="2:21" ht="15" customHeight="1">
      <c r="B130" s="862" t="str">
        <f>IF(Lang="English","     Return on Assets", IF(Lang="中文","     資產報酬率","   総資産利益率"))</f>
        <v xml:space="preserve">     Return on Assets</v>
      </c>
      <c r="C130" s="767"/>
      <c r="D130" s="767"/>
      <c r="E130" s="768"/>
      <c r="F130" s="129" t="s">
        <v>400</v>
      </c>
      <c r="G130" s="348">
        <f>_xll.BDP(TICKER&amp;" EQUITY",$F130, "EQY_FUND_RELATIVE_PERIOD", G$10, "EQY_FUND_CRNCY", CURRENCY, "EQY_CONSOLIDATED", DataH!$D$18, "Fill=0")/100</f>
        <v>3.7134207870837536E-2</v>
      </c>
      <c r="H130" s="348">
        <f>_xll.BDP(TICKER&amp;" EQUITY",$F130, "EQY_FUND_RELATIVE_PERIOD", H$10, "EQY_FUND_CRNCY", CURRENCY, "EQY_CONSOLIDATED", DataH!$D$18, "Fill=0")/100</f>
        <v>0.13621753992143257</v>
      </c>
      <c r="I130" s="348">
        <f>_xll.BDP(TICKER&amp;" EQUITY",$F130, "EQY_FUND_RELATIVE_PERIOD", I$10, "EQY_FUND_CRNCY", CURRENCY, "EQY_CONSOLIDATED", DataH!$D$18, "Fill=0")/100</f>
        <v>0.13833634719710669</v>
      </c>
      <c r="J130" s="348">
        <f>_xll.BDP(TICKER&amp;" EQUITY",$F130, "EQY_FUND_RELATIVE_PERIOD", J$10, "EQY_FUND_CRNCY", CURRENCY, "EQY_CONSOLIDATED", DataH!$D$18, "Fill=0")/100</f>
        <v>0.16610032554713305</v>
      </c>
      <c r="K130" s="348">
        <f>_xll.BDP(TICKER&amp;" EQUITY",$F130, "EQY_FUND_RELATIVE_PERIOD", K$10, "EQY_FUND_CRNCY", CURRENCY, "EQY_CONSOLIDATED", DataH!$D$18, "Fill=0")/100</f>
        <v>0.20046192402823962</v>
      </c>
      <c r="L130" s="348">
        <f>_xll.BDP(TICKER&amp;" EQUITY",$F130, "EQY_FUND_RELATIVE_PERIOD", L$10, "EQY_FUND_CRNCY", CURRENCY, "EQY_CONSOLIDATED", DataH!$D$18, "Fill=0")/100</f>
        <v>0.19684004206903147</v>
      </c>
      <c r="M130" s="348">
        <f>_xll.BDP(TICKER&amp;" EQUITY",$F130, "EQY_FUND_RELATIVE_PERIOD", M$10, "EQY_FUND_CRNCY", CURRENCY, "EQY_CONSOLIDATED", DataH!$D$18, "Fill=0")/100</f>
        <v>0.22844054644452413</v>
      </c>
      <c r="N130" s="348">
        <f>_xll.BDP(TICKER&amp;" EQUITY",$F130, "EQY_FUND_RELATIVE_PERIOD", N$10, "EQY_FUND_CRNCY", CURRENCY, "EQY_CONSOLIDATED", DataH!$D$18, "Fill=0")/100</f>
        <v>0.27064952963655159</v>
      </c>
      <c r="O130" s="348">
        <f>_xll.BDP(TICKER&amp;" EQUITY",$F130, "EQY_FUND_RELATIVE_PERIOD", O$10, "EQY_FUND_CRNCY", CURRENCY, "EQY_CONSOLIDATED", DataH!$D$18, "Fill=0")/100</f>
        <v>0.28541727221433821</v>
      </c>
      <c r="P130" s="348">
        <f>_xll.BDP(TICKER&amp;" EQUITY",$F130, "EQY_FUND_RELATIVE_PERIOD", P$10, "EQY_FUND_CRNCY", CURRENCY, "EQY_CONSOLIDATED", DataH!$D$18, "Fill=0")/100</f>
        <v>0.19337238685963704</v>
      </c>
      <c r="Q130" s="349">
        <f>_xll.BDP(TICKER&amp;" EQUITY",$F130, "EQY_FUND_RELATIVE_PERIOD", Q$10, "EQY_FUND_CRNCY", CURRENCY, "EQY_CONSOLIDATED", DataH!$D$18, "Fill=0")/100</f>
        <v>0.18006603788633188</v>
      </c>
      <c r="R130" s="354">
        <f>_xll.BDP(TICKER&amp;" EQUITY",$U130, "BEST_FPERIOD_OVERRIDE", R$10, "EQY_FUND_CRNCY", CURRENCY, "BEST_CONSOLIDATED_OVERRIDE", DataH!$D$19, "Fill=0")/100</f>
        <v>0.20016</v>
      </c>
      <c r="S130" s="354">
        <f>_xll.BDP(TICKER&amp;" EQUITY",$U130, "BEST_FPERIOD_OVERRIDE", S$10, "EQY_FUND_CRNCY", CURRENCY, "BEST_CONSOLIDATED_OVERRIDE", DataH!$D$19, "Fill=0")/100</f>
        <v>0.18327000000000002</v>
      </c>
      <c r="T130" s="355">
        <f>_xll.BDP(TICKER&amp;" EQUITY",$U130, "BEST_FPERIOD_OVERRIDE", T$10, "EQY_FUND_CRNCY", CURRENCY, "BEST_CONSOLIDATED_OVERRIDE", DataH!$D$19, "Fill=0")/100</f>
        <v>0.17147999999999999</v>
      </c>
      <c r="U130" s="216" t="s">
        <v>411</v>
      </c>
    </row>
    <row r="131" spans="2:21" ht="15" customHeight="1">
      <c r="B131" s="862" t="str">
        <f>IF(Lang="English","     Return on Equity", IF(Lang="中文","     股本回報率","   株主資本利益率(ROE) "))</f>
        <v xml:space="preserve">     Return on Equity</v>
      </c>
      <c r="C131" s="767"/>
      <c r="D131" s="767"/>
      <c r="E131" s="768"/>
      <c r="F131" s="129" t="s">
        <v>401</v>
      </c>
      <c r="G131" s="348">
        <f>_xll.BDP(TICKER&amp;" EQUITY",$F131, "EQY_FUND_RELATIVE_PERIOD", G$10, "EQY_FUND_CRNCY", CURRENCY, "EQY_CONSOLIDATED", DataH!$D$18, "Fill=0")/100</f>
        <v>5.9361221636735143E-2</v>
      </c>
      <c r="H131" s="348">
        <f>_xll.BDP(TICKER&amp;" EQUITY",$F131, "EQY_FUND_RELATIVE_PERIOD", H$10, "EQY_FUND_CRNCY", CURRENCY, "EQY_CONSOLIDATED", DataH!$D$18, "Fill=0")/100</f>
        <v>0.21288470738319248</v>
      </c>
      <c r="I131" s="348">
        <f>_xll.BDP(TICKER&amp;" EQUITY",$F131, "EQY_FUND_RELATIVE_PERIOD", I$10, "EQY_FUND_CRNCY", CURRENCY, "EQY_CONSOLIDATED", DataH!$D$18, "Fill=0")/100</f>
        <v>0.22796561604584528</v>
      </c>
      <c r="J131" s="348">
        <f>_xll.BDP(TICKER&amp;" EQUITY",$F131, "EQY_FUND_RELATIVE_PERIOD", J$10, "EQY_FUND_CRNCY", CURRENCY, "EQY_CONSOLIDATED", DataH!$D$18, "Fill=0")/100</f>
        <v>0.28513155211095248</v>
      </c>
      <c r="K131" s="348">
        <f>_xll.BDP(TICKER&amp;" EQUITY",$F131, "EQY_FUND_RELATIVE_PERIOD", K$10, "EQY_FUND_CRNCY", CURRENCY, "EQY_CONSOLIDATED", DataH!$D$18, "Fill=0")/100</f>
        <v>0.33230150972086459</v>
      </c>
      <c r="L131" s="348">
        <f>_xll.BDP(TICKER&amp;" EQUITY",$F131, "EQY_FUND_RELATIVE_PERIOD", L$10, "EQY_FUND_CRNCY", CURRENCY, "EQY_CONSOLIDATED", DataH!$D$18, "Fill=0")/100</f>
        <v>0.30535624895711666</v>
      </c>
      <c r="M131" s="348">
        <f>_xll.BDP(TICKER&amp;" EQUITY",$F131, "EQY_FUND_RELATIVE_PERIOD", M$10, "EQY_FUND_CRNCY", CURRENCY, "EQY_CONSOLIDATED", DataH!$D$18, "Fill=0")/100</f>
        <v>0.3528345356347018</v>
      </c>
      <c r="N131" s="348">
        <f>_xll.BDP(TICKER&amp;" EQUITY",$F131, "EQY_FUND_RELATIVE_PERIOD", N$10, "EQY_FUND_CRNCY", CURRENCY, "EQY_CONSOLIDATED", DataH!$D$18, "Fill=0")/100</f>
        <v>0.41673231194636917</v>
      </c>
      <c r="O131" s="348">
        <f>_xll.BDP(TICKER&amp;" EQUITY",$F131, "EQY_FUND_RELATIVE_PERIOD", O$10, "EQY_FUND_CRNCY", CURRENCY, "EQY_CONSOLIDATED", DataH!$D$18, "Fill=0")/100</f>
        <v>0.42841524445014756</v>
      </c>
      <c r="P131" s="348">
        <f>_xll.BDP(TICKER&amp;" EQUITY",$F131, "EQY_FUND_RELATIVE_PERIOD", P$10, "EQY_FUND_CRNCY", CURRENCY, "EQY_CONSOLIDATED", DataH!$D$18, "Fill=0")/100</f>
        <v>0.30639603903060486</v>
      </c>
      <c r="Q131" s="349">
        <f>_xll.BDP(TICKER&amp;" EQUITY",$F131, "EQY_FUND_RELATIVE_PERIOD", Q$10, "EQY_FUND_CRNCY", CURRENCY, "EQY_CONSOLIDATED", DataH!$D$18, "Fill=0")/100</f>
        <v>0.33611801136556979</v>
      </c>
      <c r="R131" s="354">
        <f>_xll.BDP(TICKER&amp;" EQUITY",$U131, "BEST_FPERIOD_OVERRIDE", R$10, "EQY_FUND_CRNCY", CURRENCY, "BEST_CONSOLIDATED_OVERRIDE", DataH!$D$19, "Fill=0")/100</f>
        <v>0.38805000000000001</v>
      </c>
      <c r="S131" s="354">
        <f>_xll.BDP(TICKER&amp;" EQUITY",$U131, "BEST_FPERIOD_OVERRIDE", S$10, "EQY_FUND_CRNCY", CURRENCY, "BEST_CONSOLIDATED_OVERRIDE", DataH!$D$19, "Fill=0")/100</f>
        <v>0.38157000000000002</v>
      </c>
      <c r="T131" s="355">
        <f>_xll.BDP(TICKER&amp;" EQUITY",$U131, "BEST_FPERIOD_OVERRIDE", T$10, "EQY_FUND_CRNCY", CURRENCY, "BEST_CONSOLIDATED_OVERRIDE", DataH!$D$19, "Fill=0")/100</f>
        <v>0.34682999999999997</v>
      </c>
      <c r="U131" s="216" t="s">
        <v>412</v>
      </c>
    </row>
    <row r="132" spans="2:21" ht="15" customHeight="1">
      <c r="B132" s="862" t="str">
        <f>IF(Lang="English","", "" )</f>
        <v/>
      </c>
      <c r="C132" s="767"/>
      <c r="D132" s="767"/>
      <c r="E132" s="768"/>
      <c r="F132" s="129"/>
      <c r="G132" s="348"/>
      <c r="H132" s="348"/>
      <c r="I132" s="348"/>
      <c r="J132" s="348"/>
      <c r="K132" s="348"/>
      <c r="L132" s="348"/>
      <c r="M132" s="348"/>
      <c r="N132" s="348"/>
      <c r="O132" s="348"/>
      <c r="P132" s="348"/>
      <c r="Q132" s="349"/>
      <c r="R132" s="354"/>
      <c r="S132" s="354"/>
      <c r="T132" s="355"/>
    </row>
    <row r="133" spans="2:21" ht="15" customHeight="1">
      <c r="B133" s="877" t="str">
        <f>IF(Lang="English","Leverage &amp; Coverage Ratios", IF(Lang="中文","槓桿及覆蓋率","流動比率 "))</f>
        <v>Leverage &amp; Coverage Ratios</v>
      </c>
      <c r="C133" s="878"/>
      <c r="D133" s="878"/>
      <c r="E133" s="879"/>
      <c r="F133" s="126"/>
      <c r="G133" s="506"/>
      <c r="H133" s="506"/>
      <c r="I133" s="506"/>
      <c r="J133" s="506"/>
      <c r="K133" s="506"/>
      <c r="L133" s="506"/>
      <c r="M133" s="506"/>
      <c r="N133" s="506"/>
      <c r="O133" s="506"/>
      <c r="P133" s="506"/>
      <c r="Q133" s="507"/>
      <c r="R133" s="535"/>
      <c r="S133" s="536"/>
      <c r="T133" s="537"/>
    </row>
    <row r="134" spans="2:21" ht="15" customHeight="1">
      <c r="B134" s="862" t="str">
        <f>IF(Lang="English","     Current Ratio", IF(Lang="中文","     流動比率","   流動比率 "))</f>
        <v xml:space="preserve">     Current Ratio</v>
      </c>
      <c r="C134" s="767"/>
      <c r="D134" s="767"/>
      <c r="E134" s="768"/>
      <c r="F134" s="129" t="s">
        <v>606</v>
      </c>
      <c r="G134" s="348">
        <f>_xll.BDP(TICKER&amp;" EQUITY",$F134, "EQY_FUND_RELATIVE_PERIOD", G$10, "EQY_FUND_CRNCY", CURRENCY, "EQY_CONSOLIDATED", DataH!$D$18, "Fill=B")</f>
        <v>2.6324626865671643</v>
      </c>
      <c r="H134" s="348">
        <f>_xll.BDP(TICKER&amp;" EQUITY",$F134, "EQY_FUND_RELATIVE_PERIOD", H$10, "EQY_FUND_CRNCY", CURRENCY, "EQY_CONSOLIDATED", DataH!$D$18, "Fill=B")</f>
        <v>2.9563719862227327</v>
      </c>
      <c r="I134" s="348">
        <f>_xll.BDP(TICKER&amp;" EQUITY",$F134, "EQY_FUND_RELATIVE_PERIOD", I$10, "EQY_FUND_CRNCY", CURRENCY, "EQY_CONSOLIDATED", DataH!$D$18, "Fill=B")</f>
        <v>2.2421573172616287</v>
      </c>
      <c r="J134" s="348">
        <f>_xll.BDP(TICKER&amp;" EQUITY",$F134, "EQY_FUND_RELATIVE_PERIOD", J$10, "EQY_FUND_CRNCY", CURRENCY, "EQY_CONSOLIDATED", DataH!$D$18, "Fill=B")</f>
        <v>2.3831539644190642</v>
      </c>
      <c r="K134" s="348">
        <f>_xll.BDP(TICKER&amp;" EQUITY",$F134, "EQY_FUND_RELATIVE_PERIOD", K$10, "EQY_FUND_CRNCY", CURRENCY, "EQY_CONSOLIDATED", DataH!$D$18, "Fill=B")</f>
        <v>2.6411407446527595</v>
      </c>
      <c r="L134" s="348">
        <f>_xll.BDP(TICKER&amp;" EQUITY",$F134, "EQY_FUND_RELATIVE_PERIOD", L$10, "EQY_FUND_CRNCY", CURRENCY, "EQY_CONSOLIDATED", DataH!$D$18, "Fill=B")</f>
        <v>2.7424821832087605</v>
      </c>
      <c r="M134" s="348">
        <f>_xll.BDP(TICKER&amp;" EQUITY",$F134, "EQY_FUND_RELATIVE_PERIOD", M$10, "EQY_FUND_CRNCY", CURRENCY, "EQY_CONSOLIDATED", DataH!$D$18, "Fill=B")</f>
        <v>2.0112923462986196</v>
      </c>
      <c r="N134" s="348">
        <f>_xll.BDP(TICKER&amp;" EQUITY",$F134, "EQY_FUND_RELATIVE_PERIOD", N$10, "EQY_FUND_CRNCY", CURRENCY, "EQY_CONSOLIDATED", DataH!$D$18, "Fill=B")</f>
        <v>1.6084376117268502</v>
      </c>
      <c r="O134" s="348">
        <f>_xll.BDP(TICKER&amp;" EQUITY",$F134, "EQY_FUND_RELATIVE_PERIOD", O$10, "EQY_FUND_CRNCY", CURRENCY, "EQY_CONSOLIDATED", DataH!$D$18, "Fill=B")</f>
        <v>1.4958486845519174</v>
      </c>
      <c r="P134" s="348">
        <f>_xll.BDP(TICKER&amp;" EQUITY",$F134, "EQY_FUND_RELATIVE_PERIOD", P$10, "EQY_FUND_CRNCY", CURRENCY, "EQY_CONSOLIDATED", DataH!$D$18, "Fill=B")</f>
        <v>1.6786385084062485</v>
      </c>
      <c r="Q134" s="349">
        <f>_xll.BDP(TICKER&amp;" EQUITY",$F134, "EQY_FUND_RELATIVE_PERIOD", Q$10, "EQY_FUND_CRNCY", CURRENCY, "EQY_CONSOLIDATED", DataH!$D$18, "Fill=B")</f>
        <v>1.0801128483167317</v>
      </c>
      <c r="R134" s="354"/>
      <c r="S134" s="354"/>
      <c r="T134" s="355"/>
    </row>
    <row r="135" spans="2:21" ht="15" customHeight="1">
      <c r="B135" s="862" t="str">
        <f>IF(Lang="English","     Quick Ratio", IF(Lang="中文","     速動比率","   当座比率"))</f>
        <v xml:space="preserve">     Quick Ratio</v>
      </c>
      <c r="C135" s="767"/>
      <c r="D135" s="767"/>
      <c r="E135" s="768"/>
      <c r="F135" s="129" t="s">
        <v>607</v>
      </c>
      <c r="G135" s="348">
        <f>_xll.BDP(TICKER&amp;" EQUITY",$F135, "EQY_FUND_RELATIVE_PERIOD", G$10, "EQY_FUND_CRNCY", CURRENCY, "EQY_CONSOLIDATED", DataH!$D$18, "Fill=B")</f>
        <v>2.3276119402985076</v>
      </c>
      <c r="H135" s="348">
        <f>_xll.BDP(TICKER&amp;" EQUITY",$F135, "EQY_FUND_RELATIVE_PERIOD", H$10, "EQY_FUND_CRNCY", CURRENCY, "EQY_CONSOLIDATED", DataH!$D$18, "Fill=B")</f>
        <v>2.6280137772675087</v>
      </c>
      <c r="I135" s="348">
        <f>_xll.BDP(TICKER&amp;" EQUITY",$F135, "EQY_FUND_RELATIVE_PERIOD", I$10, "EQY_FUND_CRNCY", CURRENCY, "EQY_CONSOLIDATED", DataH!$D$18, "Fill=B")</f>
        <v>1.7558337196723846</v>
      </c>
      <c r="J135" s="348">
        <f>_xll.BDP(TICKER&amp;" EQUITY",$F135, "EQY_FUND_RELATIVE_PERIOD", J$10, "EQY_FUND_CRNCY", CURRENCY, "EQY_CONSOLIDATED", DataH!$D$18, "Fill=B")</f>
        <v>1.8694267515923566</v>
      </c>
      <c r="K135" s="348">
        <f>_xll.BDP(TICKER&amp;" EQUITY",$F135, "EQY_FUND_RELATIVE_PERIOD", K$10, "EQY_FUND_CRNCY", CURRENCY, "EQY_CONSOLIDATED", DataH!$D$18, "Fill=B")</f>
        <v>2.1594049819558139</v>
      </c>
      <c r="L135" s="348">
        <f>_xll.BDP(TICKER&amp;" EQUITY",$F135, "EQY_FUND_RELATIVE_PERIOD", L$10, "EQY_FUND_CRNCY", CURRENCY, "EQY_CONSOLIDATED", DataH!$D$18, "Fill=B")</f>
        <v>2.3313923170519728</v>
      </c>
      <c r="M135" s="348">
        <f>_xll.BDP(TICKER&amp;" EQUITY",$F135, "EQY_FUND_RELATIVE_PERIOD", M$10, "EQY_FUND_CRNCY", CURRENCY, "EQY_CONSOLIDATED", DataH!$D$18, "Fill=B")</f>
        <v>1.5022681208377571</v>
      </c>
      <c r="N135" s="348">
        <f>_xll.BDP(TICKER&amp;" EQUITY",$F135, "EQY_FUND_RELATIVE_PERIOD", N$10, "EQY_FUND_CRNCY", CURRENCY, "EQY_CONSOLIDATED", DataH!$D$18, "Fill=B")</f>
        <v>1.1198069360028602</v>
      </c>
      <c r="O135" s="348">
        <f>_xll.BDP(TICKER&amp;" EQUITY",$F135, "EQY_FUND_RELATIVE_PERIOD", O$10, "EQY_FUND_CRNCY", CURRENCY, "EQY_CONSOLIDATED", DataH!$D$18, "Fill=B")</f>
        <v>1.0393596595921333</v>
      </c>
      <c r="P135" s="348">
        <f>_xll.BDP(TICKER&amp;" EQUITY",$F135, "EQY_FUND_RELATIVE_PERIOD", P$10, "EQY_FUND_CRNCY", CURRENCY, "EQY_CONSOLIDATED", DataH!$D$18, "Fill=B")</f>
        <v>1.2288240414127996</v>
      </c>
      <c r="Q135" s="349">
        <f>_xll.BDP(TICKER&amp;" EQUITY",$F135, "EQY_FUND_RELATIVE_PERIOD", Q$10, "EQY_FUND_CRNCY", CURRENCY, "EQY_CONSOLIDATED", DataH!$D$18, "Fill=B")</f>
        <v>0.67042302357836336</v>
      </c>
      <c r="R135" s="354"/>
      <c r="S135" s="354"/>
      <c r="T135" s="355"/>
    </row>
    <row r="136" spans="2:21" ht="15" customHeight="1">
      <c r="B136" s="862" t="str">
        <f>IF(Lang="English","     Interest Coverage Ratio (EBIT/I)", IF(Lang="中文","     利息保障率(EBIT/I)","   ｲﾝﾀﾚｽﾄｶﾊﾞﾚｯｼﾞﾚｼｵ (EBIT/I)"))</f>
        <v xml:space="preserve">     Interest Coverage Ratio (EBIT/I)</v>
      </c>
      <c r="C136" s="767"/>
      <c r="D136" s="767"/>
      <c r="E136" s="768"/>
      <c r="F136" s="129" t="s">
        <v>611</v>
      </c>
      <c r="G136" s="348">
        <f>_xll.BDP(TICKER&amp;" EQUITY",$F136, "EQY_FUND_RELATIVE_PERIOD", G$10, "EQY_FUND_CRNCY", CURRENCY, "EQY_CONSOLIDATED", DataH!$D$18, "Fill=B")</f>
        <v>116.33333333333333</v>
      </c>
      <c r="H136" s="348" t="str">
        <f>_xll.BDP(TICKER&amp;" EQUITY",$F136, "EQY_FUND_RELATIVE_PERIOD", H$10, "EQY_FUND_CRNCY", CURRENCY, "EQY_CONSOLIDATED", DataH!$D$18, "Fill=B")</f>
        <v/>
      </c>
      <c r="I136" s="348" t="str">
        <f>_xll.BDP(TICKER&amp;" EQUITY",$F136, "EQY_FUND_RELATIVE_PERIOD", I$10, "EQY_FUND_CRNCY", CURRENCY, "EQY_CONSOLIDATED", DataH!$D$18, "Fill=B")</f>
        <v/>
      </c>
      <c r="J136" s="348" t="str">
        <f>_xll.BDP(TICKER&amp;" EQUITY",$F136, "EQY_FUND_RELATIVE_PERIOD", J$10, "EQY_FUND_CRNCY", CURRENCY, "EQY_CONSOLIDATED", DataH!$D$18, "Fill=B")</f>
        <v/>
      </c>
      <c r="K136" s="348" t="str">
        <f>_xll.BDP(TICKER&amp;" EQUITY",$F136, "EQY_FUND_RELATIVE_PERIOD", K$10, "EQY_FUND_CRNCY", CURRENCY, "EQY_CONSOLIDATED", DataH!$D$18, "Fill=B")</f>
        <v/>
      </c>
      <c r="L136" s="348" t="str">
        <f>_xll.BDP(TICKER&amp;" EQUITY",$F136, "EQY_FUND_RELATIVE_PERIOD", L$10, "EQY_FUND_CRNCY", CURRENCY, "EQY_CONSOLIDATED", DataH!$D$18, "Fill=B")</f>
        <v/>
      </c>
      <c r="M136" s="348" t="str">
        <f>_xll.BDP(TICKER&amp;" EQUITY",$F136, "EQY_FUND_RELATIVE_PERIOD", M$10, "EQY_FUND_CRNCY", CURRENCY, "EQY_CONSOLIDATED", DataH!$D$18, "Fill=B")</f>
        <v/>
      </c>
      <c r="N136" s="348" t="str">
        <f>_xll.BDP(TICKER&amp;" EQUITY",$F136, "EQY_FUND_RELATIVE_PERIOD", N$10, "EQY_FUND_CRNCY", CURRENCY, "EQY_CONSOLIDATED", DataH!$D$18, "Fill=B")</f>
        <v/>
      </c>
      <c r="O136" s="348" t="str">
        <f>_xll.BDP(TICKER&amp;" EQUITY",$F136, "EQY_FUND_RELATIVE_PERIOD", O$10, "EQY_FUND_CRNCY", CURRENCY, "EQY_CONSOLIDATED", DataH!$D$18, "Fill=B")</f>
        <v/>
      </c>
      <c r="P136" s="348">
        <f>_xll.BDP(TICKER&amp;" EQUITY",$F136, "EQY_FUND_RELATIVE_PERIOD", P$10, "EQY_FUND_CRNCY", CURRENCY, "EQY_CONSOLIDATED", DataH!$D$18, "Fill=B")</f>
        <v>360.28676470588238</v>
      </c>
      <c r="Q136" s="349">
        <f>_xll.BDP(TICKER&amp;" EQUITY",$F136, "EQY_FUND_RELATIVE_PERIOD", Q$10, "EQY_FUND_CRNCY", CURRENCY, "EQY_CONSOLIDATED", DataH!$D$18, "Fill=B")</f>
        <v>136.7265625</v>
      </c>
      <c r="R136" s="354"/>
      <c r="S136" s="354"/>
      <c r="T136" s="355"/>
    </row>
    <row r="137" spans="2:21" ht="15" customHeight="1">
      <c r="B137" s="862" t="str">
        <f>IF(Lang="English","     Tot Debt/Capital", IF(Lang="中文","     總債務/資本","   総債務/総資本比率"))</f>
        <v xml:space="preserve">     Tot Debt/Capital</v>
      </c>
      <c r="C137" s="767"/>
      <c r="D137" s="767"/>
      <c r="E137" s="768"/>
      <c r="F137" s="129" t="s">
        <v>608</v>
      </c>
      <c r="G137" s="348">
        <f>_xll.BDP(TICKER&amp;" EQUITY",$F137, "EQY_FUND_RELATIVE_PERIOD", G$10, "EQY_FUND_CRNCY", CURRENCY, "EQY_CONSOLIDATED", DataH!$D$18, "Fill=0")/100</f>
        <v>0</v>
      </c>
      <c r="H137" s="348">
        <f>_xll.BDP(TICKER&amp;" EQUITY",$F137, "EQY_FUND_RELATIVE_PERIOD", H$10, "EQY_FUND_CRNCY", CURRENCY, "EQY_CONSOLIDATED", DataH!$D$18, "Fill=0")/100</f>
        <v>0</v>
      </c>
      <c r="I137" s="348">
        <f>_xll.BDP(TICKER&amp;" EQUITY",$F137, "EQY_FUND_RELATIVE_PERIOD", I$10, "EQY_FUND_CRNCY", CURRENCY, "EQY_CONSOLIDATED", DataH!$D$18, "Fill=0")/100</f>
        <v>0</v>
      </c>
      <c r="J137" s="348">
        <f>_xll.BDP(TICKER&amp;" EQUITY",$F137, "EQY_FUND_RELATIVE_PERIOD", J$10, "EQY_FUND_CRNCY", CURRENCY, "EQY_CONSOLIDATED", DataH!$D$18, "Fill=0")/100</f>
        <v>0</v>
      </c>
      <c r="K137" s="348">
        <f>_xll.BDP(TICKER&amp;" EQUITY",$F137, "EQY_FUND_RELATIVE_PERIOD", K$10, "EQY_FUND_CRNCY", CURRENCY, "EQY_CONSOLIDATED", DataH!$D$18, "Fill=0")/100</f>
        <v>0</v>
      </c>
      <c r="L137" s="348">
        <f>_xll.BDP(TICKER&amp;" EQUITY",$F137, "EQY_FUND_RELATIVE_PERIOD", L$10, "EQY_FUND_CRNCY", CURRENCY, "EQY_CONSOLIDATED", DataH!$D$18, "Fill=0")/100</f>
        <v>0</v>
      </c>
      <c r="M137" s="348">
        <f>_xll.BDP(TICKER&amp;" EQUITY",$F137, "EQY_FUND_RELATIVE_PERIOD", M$10, "EQY_FUND_CRNCY", CURRENCY, "EQY_CONSOLIDATED", DataH!$D$18, "Fill=0")/100</f>
        <v>0</v>
      </c>
      <c r="N137" s="348">
        <f>_xll.BDP(TICKER&amp;" EQUITY",$F137, "EQY_FUND_RELATIVE_PERIOD", N$10, "EQY_FUND_CRNCY", CURRENCY, "EQY_CONSOLIDATED", DataH!$D$18, "Fill=0")/100</f>
        <v>0</v>
      </c>
      <c r="O137" s="348">
        <f>_xll.BDP(TICKER&amp;" EQUITY",$F137, "EQY_FUND_RELATIVE_PERIOD", O$10, "EQY_FUND_CRNCY", CURRENCY, "EQY_CONSOLIDATED", DataH!$D$18, "Fill=0")/100</f>
        <v>0</v>
      </c>
      <c r="P137" s="348">
        <f>_xll.BDP(TICKER&amp;" EQUITY",$F137, "EQY_FUND_RELATIVE_PERIOD", P$10, "EQY_FUND_CRNCY", CURRENCY, "EQY_CONSOLIDATED", DataH!$D$18, "Fill=0")/100</f>
        <v>0.12070401184265776</v>
      </c>
      <c r="Q137" s="349">
        <f>_xll.BDP(TICKER&amp;" EQUITY",$F137, "EQY_FUND_RELATIVE_PERIOD", Q$10, "EQY_FUND_CRNCY", CURRENCY, "EQY_CONSOLIDATED", DataH!$D$18, "Fill=0")/100</f>
        <v>0.24036038735511639</v>
      </c>
      <c r="R137" s="354"/>
      <c r="S137" s="354"/>
      <c r="T137" s="355"/>
    </row>
    <row r="138" spans="2:21" ht="15" customHeight="1">
      <c r="B138" s="862" t="str">
        <f>IF(Lang="English","     Tot Debt/Equity", IF(Lang="中文","     總負債/股東權益","   総債務･株主資本合計比率 "))</f>
        <v xml:space="preserve">     Tot Debt/Equity</v>
      </c>
      <c r="C138" s="767"/>
      <c r="D138" s="767"/>
      <c r="E138" s="768"/>
      <c r="F138" s="129" t="s">
        <v>609</v>
      </c>
      <c r="G138" s="348">
        <f>_xll.BDP(TICKER&amp;" EQUITY",$F138, "EQY_FUND_RELATIVE_PERIOD", G$10, "EQY_FUND_CRNCY", CURRENCY, "EQY_CONSOLIDATED", DataH!$D$18, "Fill=0")/100</f>
        <v>0</v>
      </c>
      <c r="H138" s="348">
        <f>_xll.BDP(TICKER&amp;" EQUITY",$F138, "EQY_FUND_RELATIVE_PERIOD", H$10, "EQY_FUND_CRNCY", CURRENCY, "EQY_CONSOLIDATED", DataH!$D$18, "Fill=0")/100</f>
        <v>0</v>
      </c>
      <c r="I138" s="348">
        <f>_xll.BDP(TICKER&amp;" EQUITY",$F138, "EQY_FUND_RELATIVE_PERIOD", I$10, "EQY_FUND_CRNCY", CURRENCY, "EQY_CONSOLIDATED", DataH!$D$18, "Fill=0")/100</f>
        <v>0</v>
      </c>
      <c r="J138" s="348">
        <f>_xll.BDP(TICKER&amp;" EQUITY",$F138, "EQY_FUND_RELATIVE_PERIOD", J$10, "EQY_FUND_CRNCY", CURRENCY, "EQY_CONSOLIDATED", DataH!$D$18, "Fill=0")/100</f>
        <v>0</v>
      </c>
      <c r="K138" s="348">
        <f>_xll.BDP(TICKER&amp;" EQUITY",$F138, "EQY_FUND_RELATIVE_PERIOD", K$10, "EQY_FUND_CRNCY", CURRENCY, "EQY_CONSOLIDATED", DataH!$D$18, "Fill=0")/100</f>
        <v>0</v>
      </c>
      <c r="L138" s="348">
        <f>_xll.BDP(TICKER&amp;" EQUITY",$F138, "EQY_FUND_RELATIVE_PERIOD", L$10, "EQY_FUND_CRNCY", CURRENCY, "EQY_CONSOLIDATED", DataH!$D$18, "Fill=0")/100</f>
        <v>0</v>
      </c>
      <c r="M138" s="348">
        <f>_xll.BDP(TICKER&amp;" EQUITY",$F138, "EQY_FUND_RELATIVE_PERIOD", M$10, "EQY_FUND_CRNCY", CURRENCY, "EQY_CONSOLIDATED", DataH!$D$18, "Fill=0")/100</f>
        <v>0</v>
      </c>
      <c r="N138" s="348">
        <f>_xll.BDP(TICKER&amp;" EQUITY",$F138, "EQY_FUND_RELATIVE_PERIOD", N$10, "EQY_FUND_CRNCY", CURRENCY, "EQY_CONSOLIDATED", DataH!$D$18, "Fill=0")/100</f>
        <v>0</v>
      </c>
      <c r="O138" s="348">
        <f>_xll.BDP(TICKER&amp;" EQUITY",$F138, "EQY_FUND_RELATIVE_PERIOD", O$10, "EQY_FUND_CRNCY", CURRENCY, "EQY_CONSOLIDATED", DataH!$D$18, "Fill=0")/100</f>
        <v>0</v>
      </c>
      <c r="P138" s="348">
        <f>_xll.BDP(TICKER&amp;" EQUITY",$F138, "EQY_FUND_RELATIVE_PERIOD", P$10, "EQY_FUND_CRNCY", CURRENCY, "EQY_CONSOLIDATED", DataH!$D$18, "Fill=0")/100</f>
        <v>0.13727347044492469</v>
      </c>
      <c r="Q138" s="349">
        <f>_xll.BDP(TICKER&amp;" EQUITY",$F138, "EQY_FUND_RELATIVE_PERIOD", Q$10, "EQY_FUND_CRNCY", CURRENCY, "EQY_CONSOLIDATED", DataH!$D$18, "Fill=0")/100</f>
        <v>0.31641370901951643</v>
      </c>
      <c r="R138" s="354"/>
      <c r="S138" s="354"/>
      <c r="T138" s="355"/>
    </row>
    <row r="139" spans="2:21" ht="15" customHeight="1">
      <c r="B139" s="862" t="str">
        <f>IF(Lang="English","", "" )</f>
        <v/>
      </c>
      <c r="C139" s="767"/>
      <c r="D139" s="767"/>
      <c r="E139" s="768"/>
      <c r="F139" s="129"/>
      <c r="G139" s="348"/>
      <c r="H139" s="348"/>
      <c r="I139" s="348"/>
      <c r="J139" s="348"/>
      <c r="K139" s="348"/>
      <c r="L139" s="348"/>
      <c r="M139" s="348"/>
      <c r="N139" s="348"/>
      <c r="O139" s="348"/>
      <c r="P139" s="348"/>
      <c r="Q139" s="349"/>
      <c r="R139" s="354"/>
      <c r="S139" s="354"/>
      <c r="T139" s="355"/>
    </row>
    <row r="140" spans="2:21" ht="15" customHeight="1">
      <c r="B140" s="877" t="str">
        <f>IF(Lang="English","Others", IF(Lang="中文","其他","その他"))</f>
        <v>Others</v>
      </c>
      <c r="C140" s="878"/>
      <c r="D140" s="878"/>
      <c r="E140" s="879"/>
      <c r="F140" s="126"/>
      <c r="G140" s="350"/>
      <c r="H140" s="350"/>
      <c r="I140" s="350"/>
      <c r="J140" s="350"/>
      <c r="K140" s="350"/>
      <c r="L140" s="350"/>
      <c r="M140" s="350"/>
      <c r="N140" s="350"/>
      <c r="O140" s="350"/>
      <c r="P140" s="350"/>
      <c r="Q140" s="351"/>
      <c r="R140" s="535"/>
      <c r="S140" s="536"/>
      <c r="T140" s="537"/>
    </row>
    <row r="141" spans="2:21" ht="15" customHeight="1">
      <c r="B141" s="862" t="str">
        <f>IF(Lang="English","     Asset Turnover", IF(Lang="中文","     資產週轉率","   資産回転率"))</f>
        <v xml:space="preserve">     Asset Turnover</v>
      </c>
      <c r="C141" s="767"/>
      <c r="D141" s="767"/>
      <c r="E141" s="768"/>
      <c r="F141" s="129" t="s">
        <v>610</v>
      </c>
      <c r="G141" s="348">
        <f>_xll.BDP(TICKER&amp;" EQUITY",$F141, "EQY_FUND_RELATIVE_PERIOD", G$10, "EQY_FUND_CRNCY", CURRENCY, "EQY_CONSOLIDATED", DataH!$D$18, "Fill=B")</f>
        <v>1.1138916918937101</v>
      </c>
      <c r="H141" s="348">
        <f>_xll.BDP(TICKER&amp;" EQUITY",$F141, "EQY_FUND_RELATIVE_PERIOD", H$10, "EQY_FUND_CRNCY", CURRENCY, "EQY_CONSOLIDATED", DataH!$D$18, "Fill=B")</f>
        <v>1.4214580888730166</v>
      </c>
      <c r="I141" s="348">
        <f>_xll.BDP(TICKER&amp;" EQUITY",$F141, "EQY_FUND_RELATIVE_PERIOD", I$10, "EQY_FUND_CRNCY", CURRENCY, "EQY_CONSOLIDATED", DataH!$D$18, "Fill=B")</f>
        <v>1.3433718180553624</v>
      </c>
      <c r="J141" s="348">
        <f>_xll.BDP(TICKER&amp;" EQUITY",$F141, "EQY_FUND_RELATIVE_PERIOD", J$10, "EQY_FUND_CRNCY", CURRENCY, "EQY_CONSOLIDATED", DataH!$D$18, "Fill=B")</f>
        <v>1.1680726183969774</v>
      </c>
      <c r="K141" s="348">
        <f>_xll.BDP(TICKER&amp;" EQUITY",$F141, "EQY_FUND_RELATIVE_PERIOD", K$10, "EQY_FUND_CRNCY", CURRENCY, "EQY_CONSOLIDATED", DataH!$D$18, "Fill=B")</f>
        <v>1.2282265065766842</v>
      </c>
      <c r="L141" s="348">
        <f>_xll.BDP(TICKER&amp;" EQUITY",$F141, "EQY_FUND_RELATIVE_PERIOD", L$10, "EQY_FUND_CRNCY", CURRENCY, "EQY_CONSOLIDATED", DataH!$D$18, "Fill=B")</f>
        <v>1.0255521560378622</v>
      </c>
      <c r="M141" s="348">
        <f>_xll.BDP(TICKER&amp;" EQUITY",$F141, "EQY_FUND_RELATIVE_PERIOD", M$10, "EQY_FUND_CRNCY", CURRENCY, "EQY_CONSOLIDATED", DataH!$D$18, "Fill=B")</f>
        <v>1.0633008379250759</v>
      </c>
      <c r="N141" s="348">
        <f>_xll.BDP(TICKER&amp;" EQUITY",$F141, "EQY_FUND_RELATIVE_PERIOD", N$10, "EQY_FUND_CRNCY", CURRENCY, "EQY_CONSOLIDATED", DataH!$D$18, "Fill=B")</f>
        <v>1.1302191549119309</v>
      </c>
      <c r="O141" s="348">
        <f>_xll.BDP(TICKER&amp;" EQUITY",$F141, "EQY_FUND_RELATIVE_PERIOD", O$10, "EQY_FUND_CRNCY", CURRENCY, "EQY_CONSOLIDATED", DataH!$D$18, "Fill=B")</f>
        <v>1.070378032725221</v>
      </c>
      <c r="P141" s="348">
        <f>_xll.BDP(TICKER&amp;" EQUITY",$F141, "EQY_FUND_RELATIVE_PERIOD", P$10, "EQY_FUND_CRNCY", CURRENCY, "EQY_CONSOLIDATED", DataH!$D$18, "Fill=B")</f>
        <v>0.89233130756218282</v>
      </c>
      <c r="Q141" s="349">
        <f>_xll.BDP(TICKER&amp;" EQUITY",$F141, "EQY_FUND_RELATIVE_PERIOD", Q$10, "EQY_FUND_CRNCY", CURRENCY, "EQY_CONSOLIDATED", DataH!$D$18, "Fill=B")</f>
        <v>0.83308457087906951</v>
      </c>
      <c r="R141" s="354"/>
      <c r="S141" s="354"/>
      <c r="T141" s="355"/>
    </row>
    <row r="142" spans="2:21" ht="15" customHeight="1">
      <c r="B142" s="862" t="str">
        <f>IF(Lang="English","     Accounts Receivable Turnover", IF(Lang="中文","     應收帳款週轉率","   売上債権回転率"))</f>
        <v xml:space="preserve">     Accounts Receivable Turnover</v>
      </c>
      <c r="C142" s="767"/>
      <c r="D142" s="767"/>
      <c r="E142" s="768"/>
      <c r="F142" s="129" t="s">
        <v>613</v>
      </c>
      <c r="G142" s="348">
        <f>_xll.BDP(TICKER&amp;" EQUITY",$F142, "EQY_FUND_RELATIVE_PERIOD", G$10, "EQY_FUND_CRNCY", CURRENCY, "EQY_CONSOLIDATED", DataH!$D$18, "Fill=B")</f>
        <v>10.751948051948052</v>
      </c>
      <c r="H142" s="348">
        <f>_xll.BDP(TICKER&amp;" EQUITY",$F142, "EQY_FUND_RELATIVE_PERIOD", H$10, "EQY_FUND_CRNCY", CURRENCY, "EQY_CONSOLIDATED", DataH!$D$18, "Fill=B")</f>
        <v>16.693828639904133</v>
      </c>
      <c r="I142" s="348">
        <f>_xll.BDP(TICKER&amp;" EQUITY",$F142, "EQY_FUND_RELATIVE_PERIOD", I$10, "EQY_FUND_CRNCY", CURRENCY, "EQY_CONSOLIDATED", DataH!$D$18, "Fill=B")</f>
        <v>17.992547741034002</v>
      </c>
      <c r="J142" s="348">
        <f>_xll.BDP(TICKER&amp;" EQUITY",$F142, "EQY_FUND_RELATIVE_PERIOD", J$10, "EQY_FUND_CRNCY", CURRENCY, "EQY_CONSOLIDATED", DataH!$D$18, "Fill=B")</f>
        <v>17.014884042921427</v>
      </c>
      <c r="K142" s="348">
        <f>_xll.BDP(TICKER&amp;" EQUITY",$F142, "EQY_FUND_RELATIVE_PERIOD", K$10, "EQY_FUND_CRNCY", CURRENCY, "EQY_CONSOLIDATED", DataH!$D$18, "Fill=B")</f>
        <v>18.473022912047302</v>
      </c>
      <c r="L142" s="348">
        <f>_xll.BDP(TICKER&amp;" EQUITY",$F142, "EQY_FUND_RELATIVE_PERIOD", L$10, "EQY_FUND_CRNCY", CURRENCY, "EQY_CONSOLIDATED", DataH!$D$18, "Fill=B")</f>
        <v>14.838319211481929</v>
      </c>
      <c r="M142" s="348">
        <f>_xll.BDP(TICKER&amp;" EQUITY",$F142, "EQY_FUND_RELATIVE_PERIOD", M$10, "EQY_FUND_CRNCY", CURRENCY, "EQY_CONSOLIDATED", DataH!$D$18, "Fill=B")</f>
        <v>14.705219253748169</v>
      </c>
      <c r="N142" s="348">
        <f>_xll.BDP(TICKER&amp;" EQUITY",$F142, "EQY_FUND_RELATIVE_PERIOD", N$10, "EQY_FUND_CRNCY", CURRENCY, "EQY_CONSOLIDATED", DataH!$D$18, "Fill=B")</f>
        <v>19.900542329258204</v>
      </c>
      <c r="O142" s="348">
        <f>_xll.BDP(TICKER&amp;" EQUITY",$F142, "EQY_FUND_RELATIVE_PERIOD", O$10, "EQY_FUND_CRNCY", CURRENCY, "EQY_CONSOLIDATED", DataH!$D$18, "Fill=B")</f>
        <v>19.204613779986502</v>
      </c>
      <c r="P142" s="348">
        <f>_xll.BDP(TICKER&amp;" EQUITY",$F142, "EQY_FUND_RELATIVE_PERIOD", P$10, "EQY_FUND_CRNCY", CURRENCY, "EQY_CONSOLIDATED", DataH!$D$18, "Fill=B")</f>
        <v>14.223535286284953</v>
      </c>
      <c r="Q142" s="349">
        <f>_xll.BDP(TICKER&amp;" EQUITY",$F142, "EQY_FUND_RELATIVE_PERIOD", Q$10, "EQY_FUND_CRNCY", CURRENCY, "EQY_CONSOLIDATED", DataH!$D$18, "Fill=B")</f>
        <v>11.96224069105425</v>
      </c>
      <c r="R142" s="354"/>
      <c r="S142" s="354"/>
      <c r="T142" s="355"/>
    </row>
    <row r="143" spans="2:21" ht="15" customHeight="1">
      <c r="B143" s="862" t="str">
        <f>IF(Lang="English","     Accounts Payable Turnover", IF(Lang="中文","     應付帳款週轉率","   買掛債務回転率"))</f>
        <v xml:space="preserve">     Accounts Payable Turnover</v>
      </c>
      <c r="C143" s="767"/>
      <c r="D143" s="767"/>
      <c r="E143" s="768"/>
      <c r="F143" s="129" t="s">
        <v>614</v>
      </c>
      <c r="G143" s="348">
        <f>_xll.BDP(TICKER&amp;" EQUITY",$F143, "EQY_FUND_RELATIVE_PERIOD", G$10, "EQY_FUND_CRNCY", CURRENCY, "EQY_CONSOLIDATED", DataH!$D$18, "Fill=B")</f>
        <v>4.6564299424184261</v>
      </c>
      <c r="H143" s="348">
        <f>_xll.BDP(TICKER&amp;" EQUITY",$F143, "EQY_FUND_RELATIVE_PERIOD", H$10, "EQY_FUND_CRNCY", CURRENCY, "EQY_CONSOLIDATED", DataH!$D$18, "Fill=B")</f>
        <v>6.1622291021671822</v>
      </c>
      <c r="I143" s="348">
        <f>_xll.BDP(TICKER&amp;" EQUITY",$F143, "EQY_FUND_RELATIVE_PERIOD", I$10, "EQY_FUND_CRNCY", CURRENCY, "EQY_CONSOLIDATED", DataH!$D$18, "Fill=B")</f>
        <v>5.3480363706713101</v>
      </c>
      <c r="J143" s="348">
        <f>_xll.BDP(TICKER&amp;" EQUITY",$F143, "EQY_FUND_RELATIVE_PERIOD", J$10, "EQY_FUND_CRNCY", CURRENCY, "EQY_CONSOLIDATED", DataH!$D$18, "Fill=B")</f>
        <v>3.947846889952153</v>
      </c>
      <c r="K143" s="348">
        <f>_xll.BDP(TICKER&amp;" EQUITY",$F143, "EQY_FUND_RELATIVE_PERIOD", K$10, "EQY_FUND_CRNCY", CURRENCY, "EQY_CONSOLIDATED", DataH!$D$18, "Fill=B")</f>
        <v>4.6629170638703528</v>
      </c>
      <c r="L143" s="348">
        <f>_xll.BDP(TICKER&amp;" EQUITY",$F143, "EQY_FUND_RELATIVE_PERIOD", L$10, "EQY_FUND_CRNCY", CURRENCY, "EQY_CONSOLIDATED", DataH!$D$18, "Fill=B")</f>
        <v>4.6091178850822772</v>
      </c>
      <c r="M143" s="348">
        <f>_xll.BDP(TICKER&amp;" EQUITY",$F143, "EQY_FUND_RELATIVE_PERIOD", M$10, "EQY_FUND_CRNCY", CURRENCY, "EQY_CONSOLIDATED", DataH!$D$18, "Fill=B")</f>
        <v>4.5568801089918258</v>
      </c>
      <c r="N143" s="348">
        <f>_xll.BDP(TICKER&amp;" EQUITY",$F143, "EQY_FUND_RELATIVE_PERIOD", N$10, "EQY_FUND_CRNCY", CURRENCY, "EQY_CONSOLIDATED", DataH!$D$18, "Fill=B")</f>
        <v>4.8152512477952492</v>
      </c>
      <c r="O143" s="348">
        <f>_xll.BDP(TICKER&amp;" EQUITY",$F143, "EQY_FUND_RELATIVE_PERIOD", O$10, "EQY_FUND_CRNCY", CURRENCY, "EQY_CONSOLIDATED", DataH!$D$18, "Fill=B")</f>
        <v>4.9074761918060714</v>
      </c>
      <c r="P143" s="348">
        <f>_xll.BDP(TICKER&amp;" EQUITY",$F143, "EQY_FUND_RELATIVE_PERIOD", P$10, "EQY_FUND_CRNCY", CURRENCY, "EQY_CONSOLIDATED", DataH!$D$18, "Fill=B")</f>
        <v>4.9413899223737996</v>
      </c>
      <c r="Q143" s="349">
        <f>_xll.BDP(TICKER&amp;" EQUITY",$F143, "EQY_FUND_RELATIVE_PERIOD", Q$10, "EQY_FUND_CRNCY", CURRENCY, "EQY_CONSOLIDATED", DataH!$D$18, "Fill=B")</f>
        <v>4.2845727983562583</v>
      </c>
      <c r="R143" s="354"/>
      <c r="S143" s="354"/>
      <c r="T143" s="355"/>
    </row>
    <row r="144" spans="2:21" ht="15" customHeight="1">
      <c r="B144" s="862" t="str">
        <f>IF(Lang="English","     Inventory Turnover", IF(Lang="中文","     存貨週轉率","   棚卸資産回転率"))</f>
        <v xml:space="preserve">     Inventory Turnover</v>
      </c>
      <c r="C144" s="767"/>
      <c r="D144" s="767"/>
      <c r="E144" s="768"/>
      <c r="F144" s="129" t="s">
        <v>615</v>
      </c>
      <c r="G144" s="348">
        <f>_xll.BDP(TICKER&amp;" EQUITY",$F144, "EQY_FUND_RELATIVE_PERIOD", G$10, "EQY_FUND_CRNCY", CURRENCY, "EQY_CONSOLIDATED", DataH!$D$18, "Fill=B")</f>
        <v>76.687898089171981</v>
      </c>
      <c r="H144" s="348">
        <f>_xll.BDP(TICKER&amp;" EQUITY",$F144, "EQY_FUND_RELATIVE_PERIOD", H$10, "EQY_FUND_CRNCY", CURRENCY, "EQY_CONSOLIDATED", DataH!$D$18, "Fill=B")</f>
        <v>74.345864661654133</v>
      </c>
      <c r="I144" s="348">
        <f>_xll.BDP(TICKER&amp;" EQUITY",$F144, "EQY_FUND_RELATIVE_PERIOD", I$10, "EQY_FUND_CRNCY", CURRENCY, "EQY_CONSOLIDATED", DataH!$D$18, "Fill=B")</f>
        <v>63.06666666666667</v>
      </c>
      <c r="J144" s="348">
        <f>_xll.BDP(TICKER&amp;" EQUITY",$F144, "EQY_FUND_RELATIVE_PERIOD", J$10, "EQY_FUND_CRNCY", CURRENCY, "EQY_CONSOLIDATED", DataH!$D$18, "Fill=B")</f>
        <v>53.331168831168831</v>
      </c>
      <c r="K144" s="348">
        <f>_xll.BDP(TICKER&amp;" EQUITY",$F144, "EQY_FUND_RELATIVE_PERIOD", K$10, "EQY_FUND_CRNCY", CURRENCY, "EQY_CONSOLIDATED", DataH!$D$18, "Fill=B")</f>
        <v>56.828070175438597</v>
      </c>
      <c r="L144" s="348">
        <f>_xll.BDP(TICKER&amp;" EQUITY",$F144, "EQY_FUND_RELATIVE_PERIOD", L$10, "EQY_FUND_CRNCY", CURRENCY, "EQY_CONSOLIDATED", DataH!$D$18, "Fill=B")</f>
        <v>53.284232365145229</v>
      </c>
      <c r="M144" s="348">
        <f>_xll.BDP(TICKER&amp;" EQUITY",$F144, "EQY_FUND_RELATIVE_PERIOD", M$10, "EQY_FUND_CRNCY", CURRENCY, "EQY_CONSOLIDATED", DataH!$D$18, "Fill=B")</f>
        <v>52.51128818061089</v>
      </c>
      <c r="N144" s="348">
        <f>_xll.BDP(TICKER&amp;" EQUITY",$F144, "EQY_FUND_RELATIVE_PERIOD", N$10, "EQY_FUND_CRNCY", CURRENCY, "EQY_CONSOLIDATED", DataH!$D$18, "Fill=B")</f>
        <v>70.532019704433495</v>
      </c>
      <c r="O144" s="348">
        <f>_xll.BDP(TICKER&amp;" EQUITY",$F144, "EQY_FUND_RELATIVE_PERIOD", O$10, "EQY_FUND_CRNCY", CURRENCY, "EQY_CONSOLIDATED", DataH!$D$18, "Fill=B")</f>
        <v>112.11997447351628</v>
      </c>
      <c r="P144" s="348">
        <f>_xll.BDP(TICKER&amp;" EQUITY",$F144, "EQY_FUND_RELATIVE_PERIOD", P$10, "EQY_FUND_CRNCY", CURRENCY, "EQY_CONSOLIDATED", DataH!$D$18, "Fill=B")</f>
        <v>83.44892367906067</v>
      </c>
      <c r="Q144" s="349">
        <f>_xll.BDP(TICKER&amp;" EQUITY",$F144, "EQY_FUND_RELATIVE_PERIOD", Q$10, "EQY_FUND_CRNCY", CURRENCY, "EQY_CONSOLIDATED", DataH!$D$18, "Fill=B")</f>
        <v>57.939612903225807</v>
      </c>
      <c r="R144" s="354"/>
      <c r="S144" s="354"/>
      <c r="T144" s="355"/>
    </row>
    <row r="145" spans="2:20" ht="15" customHeight="1">
      <c r="B145" s="862" t="str">
        <f>IF(Lang="English","", "" )</f>
        <v/>
      </c>
      <c r="C145" s="767"/>
      <c r="D145" s="767"/>
      <c r="E145" s="768"/>
      <c r="F145" s="129"/>
      <c r="G145" s="348"/>
      <c r="H145" s="348"/>
      <c r="I145" s="348"/>
      <c r="J145" s="348"/>
      <c r="K145" s="348"/>
      <c r="L145" s="348"/>
      <c r="M145" s="348"/>
      <c r="N145" s="348"/>
      <c r="O145" s="348"/>
      <c r="P145" s="348"/>
      <c r="Q145" s="349"/>
      <c r="R145" s="354"/>
      <c r="S145" s="354"/>
      <c r="T145" s="355"/>
    </row>
    <row r="146" spans="2:20" ht="15" customHeight="1">
      <c r="B146" s="880" t="str">
        <f>IF(Lang="English","     Effective Tax Rate", IF(Lang="中文","     有效稅率","   実効税率"))</f>
        <v xml:space="preserve">     Effective Tax Rate</v>
      </c>
      <c r="C146" s="881"/>
      <c r="D146" s="881"/>
      <c r="E146" s="882"/>
      <c r="F146" s="132" t="s">
        <v>612</v>
      </c>
      <c r="G146" s="552">
        <f>_xll.BDP(TICKER&amp;" EQUITY",$F146, "EQY_FUND_RELATIVE_PERIOD", G$10, "EQY_FUND_CRNCY", CURRENCY, "EQY_CONSOLIDATED", DataH!$D$18, "Fill=0")/100</f>
        <v>0.27937336814621411</v>
      </c>
      <c r="H146" s="552">
        <f>_xll.BDP(TICKER&amp;" EQUITY",$F146, "EQY_FUND_RELATIVE_PERIOD", H$10, "EQY_FUND_CRNCY", CURRENCY, "EQY_CONSOLIDATED", DataH!$D$18, "Fill=0")/100</f>
        <v>0.26446280991735538</v>
      </c>
      <c r="I146" s="552">
        <f>_xll.BDP(TICKER&amp;" EQUITY",$F146, "EQY_FUND_RELATIVE_PERIOD", I$10, "EQY_FUND_CRNCY", CURRENCY, "EQY_CONSOLIDATED", DataH!$D$18, "Fill=0")/100</f>
        <v>0.29418026969481903</v>
      </c>
      <c r="J146" s="552">
        <f>_xll.BDP(TICKER&amp;" EQUITY",$F146, "EQY_FUND_RELATIVE_PERIOD", J$10, "EQY_FUND_CRNCY", CURRENCY, "EQY_CONSOLIDATED", DataH!$D$18, "Fill=0")/100</f>
        <v>0.3018377946464243</v>
      </c>
      <c r="K146" s="552">
        <f>_xll.BDP(TICKER&amp;" EQUITY",$F146, "EQY_FUND_RELATIVE_PERIOD", K$10, "EQY_FUND_CRNCY", CURRENCY, "EQY_CONSOLIDATED", DataH!$D$18, "Fill=0")/100</f>
        <v>0.3160836034424947</v>
      </c>
      <c r="L146" s="552">
        <f>_xll.BDP(TICKER&amp;" EQUITY",$F146, "EQY_FUND_RELATIVE_PERIOD", L$10, "EQY_FUND_CRNCY", CURRENCY, "EQY_CONSOLIDATED", DataH!$D$18, "Fill=0")/100</f>
        <v>0.31750372948781702</v>
      </c>
      <c r="M146" s="552">
        <f>_xll.BDP(TICKER&amp;" EQUITY",$F146, "EQY_FUND_RELATIVE_PERIOD", M$10, "EQY_FUND_CRNCY", CURRENCY, "EQY_CONSOLIDATED", DataH!$D$18, "Fill=0")/100</f>
        <v>0.24417475728155341</v>
      </c>
      <c r="N146" s="552">
        <f>_xll.BDP(TICKER&amp;" EQUITY",$F146, "EQY_FUND_RELATIVE_PERIOD", N$10, "EQY_FUND_CRNCY", CURRENCY, "EQY_CONSOLIDATED", DataH!$D$18, "Fill=0")/100</f>
        <v>0.24215757930127174</v>
      </c>
      <c r="O146" s="552">
        <f>_xll.BDP(TICKER&amp;" EQUITY",$F146, "EQY_FUND_RELATIVE_PERIOD", O$10, "EQY_FUND_CRNCY", CURRENCY, "EQY_CONSOLIDATED", DataH!$D$18, "Fill=0")/100</f>
        <v>0.25160052364471064</v>
      </c>
      <c r="P146" s="552">
        <f>_xll.BDP(TICKER&amp;" EQUITY",$F146, "EQY_FUND_RELATIVE_PERIOD", P$10, "EQY_FUND_CRNCY", CURRENCY, "EQY_CONSOLIDATED", DataH!$D$18, "Fill=0")/100</f>
        <v>0.26154919748778788</v>
      </c>
      <c r="Q146" s="553">
        <f>_xll.BDP(TICKER&amp;" EQUITY",$F146, "EQY_FUND_RELATIVE_PERIOD", Q$10, "EQY_FUND_CRNCY", CURRENCY, "EQY_CONSOLIDATED", DataH!$D$18, "Fill=0")/100</f>
        <v>0.26126058747639436</v>
      </c>
      <c r="R146" s="554"/>
      <c r="S146" s="554"/>
      <c r="T146" s="555"/>
    </row>
    <row r="147" spans="2:20" ht="15" customHeight="1">
      <c r="E147" s="268"/>
      <c r="F147" s="268"/>
    </row>
  </sheetData>
  <mergeCells count="136">
    <mergeCell ref="B53:E53"/>
    <mergeCell ref="B51:E51"/>
    <mergeCell ref="B54:E54"/>
    <mergeCell ref="B52:E52"/>
    <mergeCell ref="B65:E65"/>
    <mergeCell ref="B67:E67"/>
    <mergeCell ref="B59:E59"/>
    <mergeCell ref="B55:E55"/>
    <mergeCell ref="B85:E85"/>
    <mergeCell ref="B81:E81"/>
    <mergeCell ref="B56:E56"/>
    <mergeCell ref="B57:E57"/>
    <mergeCell ref="B58:E58"/>
    <mergeCell ref="B61:E61"/>
    <mergeCell ref="B101:E101"/>
    <mergeCell ref="B102:E102"/>
    <mergeCell ref="B76:E76"/>
    <mergeCell ref="B69:E69"/>
    <mergeCell ref="B74:E74"/>
    <mergeCell ref="B62:E62"/>
    <mergeCell ref="B68:E68"/>
    <mergeCell ref="B72:E72"/>
    <mergeCell ref="B73:E73"/>
    <mergeCell ref="B66:E66"/>
    <mergeCell ref="B70:E70"/>
    <mergeCell ref="B84:T84"/>
    <mergeCell ref="B90:E90"/>
    <mergeCell ref="B86:E86"/>
    <mergeCell ref="B77:E77"/>
    <mergeCell ref="B79:E79"/>
    <mergeCell ref="B89:E89"/>
    <mergeCell ref="B95:E95"/>
    <mergeCell ref="B94:E94"/>
    <mergeCell ref="B96:E96"/>
    <mergeCell ref="B91:E91"/>
    <mergeCell ref="B82:E82"/>
    <mergeCell ref="B80:E80"/>
    <mergeCell ref="B88:E88"/>
    <mergeCell ref="R116:T116"/>
    <mergeCell ref="B116:Q116"/>
    <mergeCell ref="B120:E120"/>
    <mergeCell ref="B117:E117"/>
    <mergeCell ref="B106:E106"/>
    <mergeCell ref="B108:E108"/>
    <mergeCell ref="B100:E100"/>
    <mergeCell ref="B60:E60"/>
    <mergeCell ref="B87:E87"/>
    <mergeCell ref="B71:E71"/>
    <mergeCell ref="B63:E63"/>
    <mergeCell ref="B64:E64"/>
    <mergeCell ref="B75:E75"/>
    <mergeCell ref="B78:E78"/>
    <mergeCell ref="B109:E109"/>
    <mergeCell ref="B98:E98"/>
    <mergeCell ref="B115:T115"/>
    <mergeCell ref="B113:E113"/>
    <mergeCell ref="B107:E107"/>
    <mergeCell ref="B99:E99"/>
    <mergeCell ref="B103:E103"/>
    <mergeCell ref="B104:E104"/>
    <mergeCell ref="B105:E105"/>
    <mergeCell ref="B97:E97"/>
    <mergeCell ref="B146:E146"/>
    <mergeCell ref="B135:E135"/>
    <mergeCell ref="B136:E136"/>
    <mergeCell ref="B137:E137"/>
    <mergeCell ref="B143:E143"/>
    <mergeCell ref="B145:E145"/>
    <mergeCell ref="B134:E134"/>
    <mergeCell ref="B130:E130"/>
    <mergeCell ref="B139:E139"/>
    <mergeCell ref="B140:E140"/>
    <mergeCell ref="B144:E144"/>
    <mergeCell ref="B142:E142"/>
    <mergeCell ref="B141:E141"/>
    <mergeCell ref="B127:E127"/>
    <mergeCell ref="B128:E128"/>
    <mergeCell ref="B138:E138"/>
    <mergeCell ref="B118:E118"/>
    <mergeCell ref="B111:E111"/>
    <mergeCell ref="B129:E129"/>
    <mergeCell ref="B123:E123"/>
    <mergeCell ref="B110:E110"/>
    <mergeCell ref="B124:E124"/>
    <mergeCell ref="B125:E125"/>
    <mergeCell ref="B132:E132"/>
    <mergeCell ref="B133:E133"/>
    <mergeCell ref="B112:E112"/>
    <mergeCell ref="B131:E131"/>
    <mergeCell ref="B121:E121"/>
    <mergeCell ref="B126:E126"/>
    <mergeCell ref="B119:E119"/>
    <mergeCell ref="B122:E122"/>
    <mergeCell ref="B27:E27"/>
    <mergeCell ref="B33:E33"/>
    <mergeCell ref="B35:E35"/>
    <mergeCell ref="B36:E36"/>
    <mergeCell ref="B50:E50"/>
    <mergeCell ref="B48:E48"/>
    <mergeCell ref="B40:E40"/>
    <mergeCell ref="B47:T47"/>
    <mergeCell ref="B41:E41"/>
    <mergeCell ref="B43:E43"/>
    <mergeCell ref="B28:E28"/>
    <mergeCell ref="B30:E30"/>
    <mergeCell ref="B31:E31"/>
    <mergeCell ref="B45:Q45"/>
    <mergeCell ref="B32:E32"/>
    <mergeCell ref="B34:E34"/>
    <mergeCell ref="B39:E39"/>
    <mergeCell ref="B42:E42"/>
    <mergeCell ref="B44:E44"/>
    <mergeCell ref="B93:E93"/>
    <mergeCell ref="B92:E92"/>
    <mergeCell ref="I8:J8"/>
    <mergeCell ref="R9:T9"/>
    <mergeCell ref="B11:E11"/>
    <mergeCell ref="G9:H9"/>
    <mergeCell ref="B14:E14"/>
    <mergeCell ref="B13:T13"/>
    <mergeCell ref="B21:E21"/>
    <mergeCell ref="B22:E22"/>
    <mergeCell ref="B29:E29"/>
    <mergeCell ref="B15:E15"/>
    <mergeCell ref="B17:E17"/>
    <mergeCell ref="B18:E18"/>
    <mergeCell ref="B19:E19"/>
    <mergeCell ref="B24:E24"/>
    <mergeCell ref="B26:E26"/>
    <mergeCell ref="B20:E20"/>
    <mergeCell ref="B25:E25"/>
    <mergeCell ref="B16:E16"/>
    <mergeCell ref="B23:E23"/>
    <mergeCell ref="B49:E49"/>
    <mergeCell ref="B37:E37"/>
    <mergeCell ref="B38:E38"/>
  </mergeCells>
  <phoneticPr fontId="16" type="noConversion"/>
  <dataValidations count="1">
    <dataValidation type="list" allowBlank="1" showInputMessage="1" showErrorMessage="1" sqref="G9:H9">
      <formula1>newFinancialsPeriod</formula1>
    </dataValidation>
  </dataValidation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atings"/>
  <dimension ref="B1:V722"/>
  <sheetViews>
    <sheetView showGridLines="0" showRowColHeaders="0" zoomScaleNormal="100" workbookViewId="0">
      <pane ySplit="5" topLeftCell="A6" activePane="bottomLeft" state="frozen"/>
      <selection pane="bottomLeft" activeCell="B26" sqref="B26:C26"/>
    </sheetView>
  </sheetViews>
  <sheetFormatPr defaultRowHeight="15" customHeight="1"/>
  <cols>
    <col min="1" max="1" width="1.7109375" style="5" customWidth="1"/>
    <col min="2" max="6" width="9.140625" style="5" customWidth="1"/>
    <col min="7" max="7" width="1.7109375" style="5" customWidth="1"/>
    <col min="8" max="10" width="9.140625" style="5" customWidth="1"/>
    <col min="11" max="11" width="9.85546875" style="5" customWidth="1"/>
    <col min="12" max="12" width="1.7109375" style="5" customWidth="1"/>
    <col min="13" max="17" width="9.140625" style="5" customWidth="1"/>
    <col min="18" max="19" width="9.140625" style="356" customWidth="1"/>
    <col min="20" max="20" width="9.140625" style="5" customWidth="1"/>
    <col min="21" max="21" width="10.140625" style="5" customWidth="1"/>
    <col min="22" max="16384" width="9.140625" style="5"/>
  </cols>
  <sheetData>
    <row r="1" spans="2:22" ht="5.0999999999999996" customHeight="1"/>
    <row r="5" spans="2:22" ht="5.0999999999999996" customHeight="1"/>
    <row r="6" spans="2:22" ht="5.0999999999999996" customHeight="1"/>
    <row r="7" spans="2:22" ht="15" customHeight="1">
      <c r="B7" s="892" t="str">
        <f>compNAME</f>
        <v>APPLE INC</v>
      </c>
      <c r="C7" s="892"/>
      <c r="D7" s="892"/>
      <c r="E7" s="892"/>
    </row>
    <row r="8" spans="2:22" ht="15" customHeight="1">
      <c r="B8" s="893" t="str">
        <f>" * "&amp;IF(Lang="English","Target price in "&amp; _xll.BDP(TICKER &amp; " EQUITY", "CRNCY"),IF(Lang="中文","目標價格是"&amp; _xll.BDP(TICKER &amp; " EQUITY", "CRNCY"),"目標価格"&amp; _xll.BDP(TICKER &amp; " EQUITY", "CRNCY")))</f>
        <v xml:space="preserve"> * Target price in USD</v>
      </c>
      <c r="C8" s="893"/>
      <c r="D8" s="893"/>
    </row>
    <row r="9" spans="2:22" ht="15" customHeight="1">
      <c r="M9" s="357"/>
      <c r="N9" s="357"/>
      <c r="O9" s="357"/>
      <c r="P9" s="358"/>
      <c r="Q9" s="358"/>
      <c r="R9" s="358"/>
      <c r="S9" s="358"/>
      <c r="T9" s="358"/>
      <c r="U9" s="359"/>
      <c r="V9" s="317"/>
    </row>
    <row r="10" spans="2:22" ht="15" customHeight="1">
      <c r="M10" s="357"/>
      <c r="N10" s="357"/>
      <c r="O10" s="357"/>
      <c r="P10" s="358"/>
      <c r="Q10" s="358"/>
      <c r="R10" s="358"/>
      <c r="S10" s="358"/>
      <c r="T10" s="358"/>
      <c r="U10" s="359"/>
      <c r="V10" s="317"/>
    </row>
    <row r="11" spans="2:22" ht="15" customHeight="1">
      <c r="M11" s="357"/>
      <c r="N11" s="357"/>
      <c r="O11" s="357"/>
      <c r="P11" s="358"/>
      <c r="Q11" s="358"/>
      <c r="R11" s="358"/>
      <c r="S11" s="358"/>
      <c r="T11" s="358"/>
      <c r="U11" s="359"/>
      <c r="V11" s="317"/>
    </row>
    <row r="12" spans="2:22" ht="15" customHeight="1">
      <c r="M12" s="357"/>
      <c r="N12" s="357"/>
      <c r="O12" s="357"/>
      <c r="P12" s="358"/>
      <c r="Q12" s="358"/>
      <c r="R12" s="358"/>
      <c r="S12" s="358"/>
      <c r="T12" s="358"/>
      <c r="U12" s="359"/>
      <c r="V12" s="317"/>
    </row>
    <row r="13" spans="2:22" ht="15" customHeight="1">
      <c r="M13" s="357"/>
      <c r="N13" s="357"/>
      <c r="O13" s="357"/>
      <c r="P13" s="358"/>
      <c r="Q13" s="358"/>
      <c r="R13" s="358"/>
      <c r="S13" s="358"/>
      <c r="T13" s="358"/>
      <c r="U13" s="359"/>
      <c r="V13" s="317"/>
    </row>
    <row r="14" spans="2:22" ht="15" customHeight="1">
      <c r="M14" s="357"/>
      <c r="N14" s="357"/>
      <c r="O14" s="357"/>
      <c r="P14" s="358"/>
      <c r="Q14" s="358"/>
      <c r="R14" s="358"/>
      <c r="S14" s="358"/>
      <c r="T14" s="358"/>
      <c r="U14" s="359"/>
      <c r="V14" s="317"/>
    </row>
    <row r="15" spans="2:22" ht="15" customHeight="1">
      <c r="M15" s="357"/>
      <c r="N15" s="357"/>
      <c r="O15" s="357"/>
      <c r="P15" s="358"/>
      <c r="Q15" s="358"/>
      <c r="R15" s="358"/>
      <c r="S15" s="358"/>
      <c r="T15" s="358"/>
      <c r="U15" s="359"/>
      <c r="V15" s="317"/>
    </row>
    <row r="16" spans="2:22" ht="15" customHeight="1">
      <c r="M16" s="357"/>
      <c r="N16" s="357"/>
      <c r="O16" s="357"/>
      <c r="P16" s="358"/>
      <c r="Q16" s="358"/>
      <c r="R16" s="358"/>
      <c r="S16" s="358"/>
      <c r="T16" s="358"/>
      <c r="U16" s="359"/>
      <c r="V16" s="317"/>
    </row>
    <row r="17" spans="2:22" ht="15" customHeight="1">
      <c r="M17" s="357"/>
      <c r="N17" s="357"/>
      <c r="O17" s="357"/>
      <c r="P17" s="358"/>
      <c r="Q17" s="358"/>
      <c r="R17" s="358"/>
      <c r="S17" s="358"/>
      <c r="T17" s="358"/>
      <c r="U17" s="359"/>
      <c r="V17" s="317"/>
    </row>
    <row r="18" spans="2:22" ht="15" customHeight="1">
      <c r="M18" s="357"/>
      <c r="N18" s="357"/>
      <c r="O18" s="357"/>
      <c r="P18" s="358"/>
      <c r="Q18" s="358"/>
      <c r="R18" s="358"/>
      <c r="S18" s="358"/>
      <c r="T18" s="358"/>
      <c r="U18" s="359"/>
      <c r="V18" s="317"/>
    </row>
    <row r="19" spans="2:22" ht="15" customHeight="1">
      <c r="M19" s="357"/>
      <c r="N19" s="357"/>
      <c r="O19" s="357"/>
      <c r="P19" s="358"/>
      <c r="Q19" s="358"/>
      <c r="R19" s="358"/>
      <c r="S19" s="358"/>
      <c r="T19" s="358"/>
      <c r="U19" s="359"/>
      <c r="V19" s="317"/>
    </row>
    <row r="20" spans="2:22" ht="15" customHeight="1">
      <c r="M20" s="357"/>
      <c r="N20" s="357"/>
      <c r="O20" s="357"/>
      <c r="P20" s="358"/>
      <c r="Q20" s="358"/>
      <c r="R20" s="358"/>
      <c r="S20" s="358"/>
      <c r="T20" s="358"/>
      <c r="U20" s="359"/>
      <c r="V20" s="317"/>
    </row>
    <row r="21" spans="2:22" ht="15" customHeight="1">
      <c r="M21" s="357"/>
      <c r="N21" s="357"/>
      <c r="O21" s="357"/>
      <c r="P21" s="358"/>
      <c r="Q21" s="358"/>
      <c r="R21" s="358"/>
      <c r="S21" s="358"/>
      <c r="T21" s="358"/>
      <c r="U21" s="359"/>
      <c r="V21" s="317"/>
    </row>
    <row r="22" spans="2:22" ht="15" customHeight="1">
      <c r="T22" s="39"/>
      <c r="U22" s="359"/>
      <c r="V22" s="317"/>
    </row>
    <row r="23" spans="2:22" ht="15" customHeight="1">
      <c r="T23" s="39"/>
      <c r="U23" s="359"/>
      <c r="V23" s="317"/>
    </row>
    <row r="24" spans="2:22" ht="15" customHeight="1">
      <c r="T24" s="39"/>
      <c r="U24" s="359"/>
      <c r="V24" s="317"/>
    </row>
    <row r="25" spans="2:22" ht="5.0999999999999996" customHeight="1">
      <c r="T25" s="39"/>
      <c r="U25" s="359"/>
      <c r="V25" s="317"/>
    </row>
    <row r="26" spans="2:22" ht="15" customHeight="1">
      <c r="B26" s="622" t="str">
        <f>IF(Lang="English","Date",IF(Lang="中文","日期","日付"))</f>
        <v>Date</v>
      </c>
      <c r="C26" s="624"/>
      <c r="D26" s="360" t="str">
        <f>IF(Lang="English","Buy",IF(Lang="中文","買進","買い"))</f>
        <v>Buy</v>
      </c>
      <c r="E26" s="360" t="str">
        <f>IF(Lang="English","Hold",IF(Lang="中文","持有","中立"))</f>
        <v>Hold</v>
      </c>
      <c r="F26" s="87" t="str">
        <f>IF(Lang="English","Sell",IF(Lang="中文","賣出","売り"))</f>
        <v>Sell</v>
      </c>
      <c r="H26" s="628" t="str">
        <f>IF(Lang="English","Date",IF(Lang="中文","日期","日付"))</f>
        <v>Date</v>
      </c>
      <c r="I26" s="630"/>
      <c r="J26" s="210" t="str">
        <f>IF(Lang="English","Price",IF(Lang="中文","價格","価格"))</f>
        <v>Price</v>
      </c>
      <c r="K26" s="211" t="str">
        <f>IF(Lang="English","Target",IF(Lang="中文","目標價格","目標価格"))</f>
        <v>Target</v>
      </c>
      <c r="M26" s="628" t="str">
        <f>IF(Lang="English","Broker",IF(Lang="中文","經紀人","ブローカー"))</f>
        <v>Broker</v>
      </c>
      <c r="N26" s="629"/>
      <c r="O26" s="630"/>
      <c r="P26" s="911" t="str">
        <f>IF(Lang="English","Analyst",IF(Lang="中文","分析師","アナリスト"))</f>
        <v>Analyst</v>
      </c>
      <c r="Q26" s="630"/>
      <c r="R26" s="911" t="str">
        <f>IF(Lang="English","Recommendation",IF(Lang="中文","建議","推奨"))</f>
        <v>Recommendation</v>
      </c>
      <c r="S26" s="630"/>
      <c r="T26" s="210" t="str">
        <f>IF(Lang="English","Target", "目標" )</f>
        <v>Target</v>
      </c>
      <c r="U26" s="211" t="str">
        <f>IF(Lang="English","Date",IF(Lang="中文","日期","日付"))</f>
        <v>Date</v>
      </c>
      <c r="V26" s="317"/>
    </row>
    <row r="27" spans="2:22" ht="15" customHeight="1">
      <c r="B27" s="894">
        <f>DataH!$A41</f>
        <v>42216</v>
      </c>
      <c r="C27" s="895"/>
      <c r="D27" s="361">
        <f>DataH!B41/SUM(DataH!$B41:'DataH'!$D41)</f>
        <v>0.70909090909090911</v>
      </c>
      <c r="E27" s="361">
        <f>DataH!C41/SUM(DataH!$B41:'DataH'!$D41)</f>
        <v>0.25454545454545452</v>
      </c>
      <c r="F27" s="362">
        <f>DataH!D41/SUM(DataH!$B41:'DataH'!$D41)</f>
        <v>3.6363636363636362E-2</v>
      </c>
      <c r="H27" s="894">
        <f>_xll.BDH(TICKER&amp;" EQUITY","PX_LAST","ED-18AM","","PER=CD","SORT=D","DAYS=W","Fill=P","cols=2;rows=391")</f>
        <v>42228</v>
      </c>
      <c r="I27" s="895"/>
      <c r="J27" s="207">
        <f>_xll.BDH(TICKER&amp;" EQUITY","PX_LAST","ED-18AM","","PER=CD","SORT=D","DAYS=W","Fill=P","DTS=H","cols=1;rows=391")</f>
        <v>112.91</v>
      </c>
      <c r="K27" s="363">
        <f>_xll.BDH(TICKER&amp;" EQUITY","BEST_TARGET_PRICE","ED-18AM","","BEST FPERIOD OVERRIDE","1FY","PER=CD","SORT=D","DAYS=W","Fill=P","DTS=H","cols=1;rows=391")</f>
        <v>147</v>
      </c>
      <c r="M27" s="862" t="str">
        <f>_xll.BDS(TICKER &amp;" EQUITY","BEST_ANALYST_RECS_BULK","STARTCOL=1","ENDCOL=1","Fill=B","cols=1;rows=54")</f>
        <v>Brean Capital LLC</v>
      </c>
      <c r="N27" s="767"/>
      <c r="O27" s="768"/>
      <c r="P27" s="912" t="str">
        <f>_xll.BDS(TICKER &amp;" EQUITY","BEST_ANALYST_RECS_BULK","STARTCOL=2","ENDCOL=2","Fill=B","cols=1;rows=54")</f>
        <v>ANANDA BARUAH</v>
      </c>
      <c r="Q27" s="913"/>
      <c r="R27" s="924" t="str">
        <f>_xll.BDS(TICKER &amp;" EQUITY","BEST_ANALYST_RECS_BULK","STARTCOL=3","ENDCOL=3","Fill=B","cols=1;rows=54")</f>
        <v>buy</v>
      </c>
      <c r="S27" s="925"/>
      <c r="T27" s="207">
        <f>_xll.BDS(TICKER &amp;" EQUITY","BEST_ANALYST_RECS_BULK","STARTCOL=6","ENDCOL=6","Fill=B","cols=1;rows=54")</f>
        <v>170</v>
      </c>
      <c r="U27" s="364">
        <f>_xll.BDS(TICKER &amp;" EQUITY","BEST_ANALYST_RECS_BULK","STARTCOL=8","ENDCOL=8","Fill=B","cols=1;rows=54")</f>
        <v>42228</v>
      </c>
      <c r="V27" s="317"/>
    </row>
    <row r="28" spans="2:22" ht="15" customHeight="1">
      <c r="B28" s="896">
        <f>DataH!$A42</f>
        <v>42185</v>
      </c>
      <c r="C28" s="897"/>
      <c r="D28" s="365">
        <f>DataH!B42/SUM(DataH!$B42:'DataH'!$D42)</f>
        <v>0.6964285714285714</v>
      </c>
      <c r="E28" s="365">
        <f>DataH!C42/SUM(DataH!$B42:'DataH'!$D42)</f>
        <v>0.26785714285714285</v>
      </c>
      <c r="F28" s="366">
        <f>DataH!D42/SUM(DataH!$B42:'DataH'!$D42)</f>
        <v>3.5714285714285712E-2</v>
      </c>
      <c r="H28" s="896">
        <v>42227</v>
      </c>
      <c r="I28" s="897"/>
      <c r="J28" s="208">
        <v>113.49</v>
      </c>
      <c r="K28" s="323">
        <v>147</v>
      </c>
      <c r="M28" s="910" t="s">
        <v>723</v>
      </c>
      <c r="N28" s="764"/>
      <c r="O28" s="765"/>
      <c r="P28" s="763" t="s">
        <v>766</v>
      </c>
      <c r="Q28" s="765"/>
      <c r="R28" s="926" t="s">
        <v>568</v>
      </c>
      <c r="S28" s="927"/>
      <c r="T28" s="208">
        <v>150</v>
      </c>
      <c r="U28" s="367">
        <v>42228</v>
      </c>
      <c r="V28" s="317"/>
    </row>
    <row r="29" spans="2:22" ht="15" customHeight="1">
      <c r="B29" s="894">
        <f>DataH!$A43</f>
        <v>42153</v>
      </c>
      <c r="C29" s="895"/>
      <c r="D29" s="361">
        <f>DataH!B43/SUM(DataH!$B43:'DataH'!$D43)</f>
        <v>0.6964285714285714</v>
      </c>
      <c r="E29" s="361">
        <f>DataH!C43/SUM(DataH!$B43:'DataH'!$D43)</f>
        <v>0.25</v>
      </c>
      <c r="F29" s="362">
        <f>DataH!D43/SUM(DataH!$B43:'DataH'!$D43)</f>
        <v>5.3571428571428568E-2</v>
      </c>
      <c r="H29" s="894">
        <v>42226</v>
      </c>
      <c r="I29" s="895"/>
      <c r="J29" s="205">
        <v>119.72</v>
      </c>
      <c r="K29" s="319">
        <v>146.92099999999999</v>
      </c>
      <c r="M29" s="862" t="s">
        <v>650</v>
      </c>
      <c r="N29" s="767"/>
      <c r="O29" s="768"/>
      <c r="P29" s="766" t="s">
        <v>704</v>
      </c>
      <c r="Q29" s="768"/>
      <c r="R29" s="914" t="s">
        <v>568</v>
      </c>
      <c r="S29" s="865"/>
      <c r="T29" s="205">
        <v>150</v>
      </c>
      <c r="U29" s="368">
        <v>42227</v>
      </c>
      <c r="V29" s="317"/>
    </row>
    <row r="30" spans="2:22" ht="15" customHeight="1">
      <c r="B30" s="896">
        <f>DataH!$A44</f>
        <v>42124</v>
      </c>
      <c r="C30" s="897"/>
      <c r="D30" s="365">
        <f>DataH!B44/SUM(DataH!$B44:'DataH'!$D44)</f>
        <v>0.66666666666666663</v>
      </c>
      <c r="E30" s="365">
        <f>DataH!C44/SUM(DataH!$B44:'DataH'!$D44)</f>
        <v>0.2982456140350877</v>
      </c>
      <c r="F30" s="366">
        <f>DataH!D44/SUM(DataH!$B44:'DataH'!$D44)</f>
        <v>3.5087719298245612E-2</v>
      </c>
      <c r="H30" s="896">
        <v>42223</v>
      </c>
      <c r="I30" s="897"/>
      <c r="J30" s="208">
        <v>115.52</v>
      </c>
      <c r="K30" s="323">
        <v>147.053</v>
      </c>
      <c r="M30" s="910" t="s">
        <v>719</v>
      </c>
      <c r="N30" s="764"/>
      <c r="O30" s="765"/>
      <c r="P30" s="763" t="s">
        <v>760</v>
      </c>
      <c r="Q30" s="765"/>
      <c r="R30" s="926" t="s">
        <v>567</v>
      </c>
      <c r="S30" s="927"/>
      <c r="T30" s="208">
        <v>172</v>
      </c>
      <c r="U30" s="367">
        <v>42227</v>
      </c>
      <c r="V30" s="317"/>
    </row>
    <row r="31" spans="2:22" ht="15" customHeight="1">
      <c r="B31" s="894">
        <f>DataH!$A45</f>
        <v>42094</v>
      </c>
      <c r="C31" s="895"/>
      <c r="D31" s="361">
        <f>DataH!B45/SUM(DataH!$B45:'DataH'!$D45)</f>
        <v>0.7142857142857143</v>
      </c>
      <c r="E31" s="361">
        <f>DataH!C45/SUM(DataH!$B45:'DataH'!$D45)</f>
        <v>0.25</v>
      </c>
      <c r="F31" s="362">
        <f>DataH!D45/SUM(DataH!$B45:'DataH'!$D45)</f>
        <v>3.5714285714285712E-2</v>
      </c>
      <c r="H31" s="894">
        <v>42222</v>
      </c>
      <c r="I31" s="895"/>
      <c r="J31" s="205">
        <v>115.13</v>
      </c>
      <c r="K31" s="319">
        <v>147.459</v>
      </c>
      <c r="M31" s="862" t="s">
        <v>680</v>
      </c>
      <c r="N31" s="767"/>
      <c r="O31" s="768"/>
      <c r="P31" s="766" t="s">
        <v>768</v>
      </c>
      <c r="Q31" s="768"/>
      <c r="R31" s="914" t="s">
        <v>569</v>
      </c>
      <c r="S31" s="865"/>
      <c r="T31" s="205">
        <v>130</v>
      </c>
      <c r="U31" s="368">
        <v>42226</v>
      </c>
      <c r="V31" s="317"/>
    </row>
    <row r="32" spans="2:22" ht="15" customHeight="1">
      <c r="B32" s="896">
        <f>DataH!$A46</f>
        <v>42062</v>
      </c>
      <c r="C32" s="897"/>
      <c r="D32" s="365">
        <f>DataH!B46/SUM(DataH!$B46:'DataH'!$D46)</f>
        <v>0.7068965517241379</v>
      </c>
      <c r="E32" s="365">
        <f>DataH!C46/SUM(DataH!$B46:'DataH'!$D46)</f>
        <v>0.25862068965517243</v>
      </c>
      <c r="F32" s="366">
        <f>DataH!D46/SUM(DataH!$B46:'DataH'!$D46)</f>
        <v>3.4482758620689655E-2</v>
      </c>
      <c r="H32" s="896">
        <v>42221</v>
      </c>
      <c r="I32" s="897"/>
      <c r="J32" s="208">
        <v>115.4</v>
      </c>
      <c r="K32" s="323">
        <v>147.459</v>
      </c>
      <c r="M32" s="910" t="s">
        <v>722</v>
      </c>
      <c r="N32" s="764"/>
      <c r="O32" s="765"/>
      <c r="P32" s="763" t="s">
        <v>765</v>
      </c>
      <c r="Q32" s="765"/>
      <c r="R32" s="926" t="s">
        <v>709</v>
      </c>
      <c r="S32" s="927"/>
      <c r="T32" s="208">
        <v>155</v>
      </c>
      <c r="U32" s="367">
        <v>42226</v>
      </c>
      <c r="V32" s="317"/>
    </row>
    <row r="33" spans="2:22" ht="15" customHeight="1">
      <c r="B33" s="894">
        <f>DataH!$A47</f>
        <v>42034</v>
      </c>
      <c r="C33" s="895"/>
      <c r="D33" s="361">
        <f>DataH!B47/SUM(DataH!$B47:'DataH'!$D47)</f>
        <v>0.71666666666666667</v>
      </c>
      <c r="E33" s="361">
        <f>DataH!C47/SUM(DataH!$B47:'DataH'!$D47)</f>
        <v>0.25</v>
      </c>
      <c r="F33" s="362">
        <f>DataH!D47/SUM(DataH!$B47:'DataH'!$D47)</f>
        <v>3.3333333333333333E-2</v>
      </c>
      <c r="H33" s="894">
        <v>42220</v>
      </c>
      <c r="I33" s="895"/>
      <c r="J33" s="205">
        <v>114.64</v>
      </c>
      <c r="K33" s="319">
        <v>147.78399999999999</v>
      </c>
      <c r="M33" s="862" t="s">
        <v>817</v>
      </c>
      <c r="N33" s="767"/>
      <c r="O33" s="768"/>
      <c r="P33" s="766" t="s">
        <v>809</v>
      </c>
      <c r="Q33" s="768"/>
      <c r="R33" s="914" t="s">
        <v>709</v>
      </c>
      <c r="S33" s="865"/>
      <c r="T33" s="205">
        <v>142</v>
      </c>
      <c r="U33" s="368">
        <v>42226</v>
      </c>
      <c r="V33" s="317"/>
    </row>
    <row r="34" spans="2:22" ht="15" customHeight="1">
      <c r="B34" s="896">
        <f>DataH!$A48</f>
        <v>42004</v>
      </c>
      <c r="C34" s="897"/>
      <c r="D34" s="365">
        <f>DataH!B48/SUM(DataH!$B48:'DataH'!$D48)</f>
        <v>0.71666666666666667</v>
      </c>
      <c r="E34" s="365">
        <f>DataH!C48/SUM(DataH!$B48:'DataH'!$D48)</f>
        <v>0.23333333333333334</v>
      </c>
      <c r="F34" s="366">
        <f>DataH!D48/SUM(DataH!$B48:'DataH'!$D48)</f>
        <v>0.05</v>
      </c>
      <c r="H34" s="896">
        <v>42219</v>
      </c>
      <c r="I34" s="897"/>
      <c r="J34" s="208">
        <v>118.44</v>
      </c>
      <c r="K34" s="323">
        <v>147.78399999999999</v>
      </c>
      <c r="M34" s="910" t="s">
        <v>717</v>
      </c>
      <c r="N34" s="764"/>
      <c r="O34" s="765"/>
      <c r="P34" s="763" t="s">
        <v>756</v>
      </c>
      <c r="Q34" s="765"/>
      <c r="R34" s="926" t="s">
        <v>709</v>
      </c>
      <c r="S34" s="927"/>
      <c r="T34" s="208">
        <v>155</v>
      </c>
      <c r="U34" s="367">
        <v>42226</v>
      </c>
      <c r="V34" s="317"/>
    </row>
    <row r="35" spans="2:22" ht="15" customHeight="1">
      <c r="B35" s="894">
        <f>DataH!$A49</f>
        <v>41971</v>
      </c>
      <c r="C35" s="895"/>
      <c r="D35" s="361">
        <f>DataH!B49/SUM(DataH!$B49:'DataH'!$D49)</f>
        <v>0.72580645161290325</v>
      </c>
      <c r="E35" s="361">
        <f>DataH!C49/SUM(DataH!$B49:'DataH'!$D49)</f>
        <v>0.20967741935483872</v>
      </c>
      <c r="F35" s="362">
        <f>DataH!D49/SUM(DataH!$B49:'DataH'!$D49)</f>
        <v>6.4516129032258063E-2</v>
      </c>
      <c r="H35" s="894">
        <v>42216</v>
      </c>
      <c r="I35" s="895"/>
      <c r="J35" s="205">
        <v>121.3</v>
      </c>
      <c r="K35" s="319">
        <v>147.5</v>
      </c>
      <c r="M35" s="862" t="s">
        <v>688</v>
      </c>
      <c r="N35" s="767"/>
      <c r="O35" s="768"/>
      <c r="P35" s="766" t="s">
        <v>759</v>
      </c>
      <c r="Q35" s="768"/>
      <c r="R35" s="914" t="s">
        <v>706</v>
      </c>
      <c r="S35" s="865"/>
      <c r="T35" s="205">
        <v>130</v>
      </c>
      <c r="U35" s="368">
        <v>42226</v>
      </c>
      <c r="V35" s="317"/>
    </row>
    <row r="36" spans="2:22" ht="15" customHeight="1">
      <c r="B36" s="896">
        <f>DataH!$A50</f>
        <v>41943</v>
      </c>
      <c r="C36" s="897"/>
      <c r="D36" s="365">
        <f>DataH!B50/SUM(DataH!$B50:'DataH'!$D50)</f>
        <v>0.75409836065573765</v>
      </c>
      <c r="E36" s="365">
        <f>DataH!C50/SUM(DataH!$B50:'DataH'!$D50)</f>
        <v>0.18032786885245902</v>
      </c>
      <c r="F36" s="366">
        <f>DataH!D50/SUM(DataH!$B50:'DataH'!$D50)</f>
        <v>6.5573770491803282E-2</v>
      </c>
      <c r="H36" s="896">
        <v>42215</v>
      </c>
      <c r="I36" s="897"/>
      <c r="J36" s="208">
        <v>122.37</v>
      </c>
      <c r="K36" s="323">
        <v>147.5</v>
      </c>
      <c r="M36" s="910" t="s">
        <v>686</v>
      </c>
      <c r="N36" s="764"/>
      <c r="O36" s="765"/>
      <c r="P36" s="763" t="s">
        <v>764</v>
      </c>
      <c r="Q36" s="765"/>
      <c r="R36" s="926" t="s">
        <v>568</v>
      </c>
      <c r="S36" s="927"/>
      <c r="T36" s="208">
        <v>150</v>
      </c>
      <c r="U36" s="367">
        <v>42225</v>
      </c>
      <c r="V36" s="317"/>
    </row>
    <row r="37" spans="2:22" ht="15" customHeight="1">
      <c r="B37" s="894">
        <f>DataH!$A51</f>
        <v>41912</v>
      </c>
      <c r="C37" s="895"/>
      <c r="D37" s="361">
        <f>DataH!B51/SUM(DataH!$B51:'DataH'!$D51)</f>
        <v>0.74193548387096775</v>
      </c>
      <c r="E37" s="361">
        <f>DataH!C51/SUM(DataH!$B51:'DataH'!$D51)</f>
        <v>0.20967741935483872</v>
      </c>
      <c r="F37" s="362">
        <f>DataH!D51/SUM(DataH!$B51:'DataH'!$D51)</f>
        <v>4.8387096774193547E-2</v>
      </c>
      <c r="H37" s="894">
        <v>42214</v>
      </c>
      <c r="I37" s="895"/>
      <c r="J37" s="205">
        <v>122.99</v>
      </c>
      <c r="K37" s="319">
        <v>147.56800000000001</v>
      </c>
      <c r="M37" s="862" t="s">
        <v>729</v>
      </c>
      <c r="N37" s="767"/>
      <c r="O37" s="768"/>
      <c r="P37" s="766" t="s">
        <v>775</v>
      </c>
      <c r="Q37" s="768"/>
      <c r="R37" s="914" t="s">
        <v>709</v>
      </c>
      <c r="S37" s="865"/>
      <c r="T37" s="205">
        <v>140</v>
      </c>
      <c r="U37" s="368">
        <v>42223</v>
      </c>
      <c r="V37" s="317"/>
    </row>
    <row r="38" spans="2:22" ht="15" customHeight="1">
      <c r="B38" s="896">
        <f>DataH!$A52</f>
        <v>41880</v>
      </c>
      <c r="C38" s="897"/>
      <c r="D38" s="365">
        <f>DataH!B52/SUM(DataH!$B52:'DataH'!$D52)</f>
        <v>0.75806451612903225</v>
      </c>
      <c r="E38" s="365">
        <f>DataH!C52/SUM(DataH!$B52:'DataH'!$D52)</f>
        <v>0.19354838709677419</v>
      </c>
      <c r="F38" s="366">
        <f>DataH!D52/SUM(DataH!$B52:'DataH'!$D52)</f>
        <v>4.8387096774193547E-2</v>
      </c>
      <c r="H38" s="896">
        <v>42213</v>
      </c>
      <c r="I38" s="897"/>
      <c r="J38" s="208">
        <v>123.38</v>
      </c>
      <c r="K38" s="323">
        <v>147.97399999999999</v>
      </c>
      <c r="M38" s="910" t="s">
        <v>681</v>
      </c>
      <c r="N38" s="764"/>
      <c r="O38" s="765"/>
      <c r="P38" s="763" t="s">
        <v>777</v>
      </c>
      <c r="Q38" s="765"/>
      <c r="R38" s="926" t="s">
        <v>709</v>
      </c>
      <c r="S38" s="927"/>
      <c r="T38" s="208">
        <v>132</v>
      </c>
      <c r="U38" s="367">
        <v>42223</v>
      </c>
      <c r="V38" s="317"/>
    </row>
    <row r="39" spans="2:22" ht="15" customHeight="1">
      <c r="B39" s="898"/>
      <c r="C39" s="899"/>
      <c r="D39" s="176"/>
      <c r="E39" s="176"/>
      <c r="F39" s="186"/>
      <c r="H39" s="894">
        <v>42212</v>
      </c>
      <c r="I39" s="895"/>
      <c r="J39" s="205">
        <v>122.77</v>
      </c>
      <c r="K39" s="319">
        <v>147.97399999999999</v>
      </c>
      <c r="M39" s="862" t="s">
        <v>827</v>
      </c>
      <c r="N39" s="767"/>
      <c r="O39" s="768"/>
      <c r="P39" s="766" t="s">
        <v>825</v>
      </c>
      <c r="Q39" s="768"/>
      <c r="R39" s="914" t="s">
        <v>568</v>
      </c>
      <c r="S39" s="865"/>
      <c r="T39" s="205">
        <v>145</v>
      </c>
      <c r="U39" s="368">
        <v>42223</v>
      </c>
      <c r="V39" s="317"/>
    </row>
    <row r="40" spans="2:22" ht="15" customHeight="1">
      <c r="B40" s="900"/>
      <c r="C40" s="901"/>
      <c r="D40" s="175"/>
      <c r="E40" s="175"/>
      <c r="F40" s="187"/>
      <c r="H40" s="896">
        <v>42209</v>
      </c>
      <c r="I40" s="897"/>
      <c r="J40" s="208">
        <v>124.5</v>
      </c>
      <c r="K40" s="323">
        <v>147.97399999999999</v>
      </c>
      <c r="M40" s="910" t="s">
        <v>679</v>
      </c>
      <c r="N40" s="764"/>
      <c r="O40" s="765"/>
      <c r="P40" s="763" t="s">
        <v>698</v>
      </c>
      <c r="Q40" s="765"/>
      <c r="R40" s="926" t="s">
        <v>709</v>
      </c>
      <c r="S40" s="927"/>
      <c r="T40" s="208">
        <v>145</v>
      </c>
      <c r="U40" s="367">
        <v>42222</v>
      </c>
      <c r="V40" s="317"/>
    </row>
    <row r="41" spans="2:22" ht="15" customHeight="1">
      <c r="B41" s="898"/>
      <c r="C41" s="899"/>
      <c r="D41" s="176"/>
      <c r="E41" s="176"/>
      <c r="F41" s="186"/>
      <c r="H41" s="894">
        <v>42208</v>
      </c>
      <c r="I41" s="895"/>
      <c r="J41" s="205">
        <v>125.16</v>
      </c>
      <c r="K41" s="319">
        <v>147.97399999999999</v>
      </c>
      <c r="M41" s="862" t="s">
        <v>818</v>
      </c>
      <c r="N41" s="767"/>
      <c r="O41" s="768"/>
      <c r="P41" s="766" t="s">
        <v>819</v>
      </c>
      <c r="Q41" s="768"/>
      <c r="R41" s="914" t="s">
        <v>821</v>
      </c>
      <c r="S41" s="865"/>
      <c r="T41" s="205">
        <v>155</v>
      </c>
      <c r="U41" s="368">
        <v>42222</v>
      </c>
      <c r="V41" s="317"/>
    </row>
    <row r="42" spans="2:22" ht="15" customHeight="1">
      <c r="B42" s="900"/>
      <c r="C42" s="901"/>
      <c r="D42" s="175"/>
      <c r="E42" s="175"/>
      <c r="F42" s="187"/>
      <c r="H42" s="896">
        <v>42207</v>
      </c>
      <c r="I42" s="897"/>
      <c r="J42" s="208">
        <v>125.22</v>
      </c>
      <c r="K42" s="323">
        <v>147.97399999999999</v>
      </c>
      <c r="M42" s="910" t="s">
        <v>806</v>
      </c>
      <c r="N42" s="764"/>
      <c r="O42" s="765"/>
      <c r="P42" s="763" t="s">
        <v>807</v>
      </c>
      <c r="Q42" s="765"/>
      <c r="R42" s="926" t="s">
        <v>709</v>
      </c>
      <c r="S42" s="927"/>
      <c r="T42" s="208">
        <v>175</v>
      </c>
      <c r="U42" s="367">
        <v>42222</v>
      </c>
      <c r="V42" s="317"/>
    </row>
    <row r="43" spans="2:22" ht="15" customHeight="1">
      <c r="B43" s="898"/>
      <c r="C43" s="899"/>
      <c r="D43" s="176"/>
      <c r="E43" s="176"/>
      <c r="F43" s="186"/>
      <c r="H43" s="894">
        <v>42206</v>
      </c>
      <c r="I43" s="895"/>
      <c r="J43" s="205">
        <v>130.75</v>
      </c>
      <c r="K43" s="319">
        <v>149.60499999999999</v>
      </c>
      <c r="M43" s="862" t="s">
        <v>691</v>
      </c>
      <c r="N43" s="767"/>
      <c r="O43" s="768"/>
      <c r="P43" s="766" t="s">
        <v>636</v>
      </c>
      <c r="Q43" s="768"/>
      <c r="R43" s="914" t="s">
        <v>568</v>
      </c>
      <c r="S43" s="865"/>
      <c r="T43" s="205">
        <v>145</v>
      </c>
      <c r="U43" s="368">
        <v>42221</v>
      </c>
      <c r="V43" s="317"/>
    </row>
    <row r="44" spans="2:22" ht="15" customHeight="1">
      <c r="B44" s="900"/>
      <c r="C44" s="901"/>
      <c r="D44" s="175"/>
      <c r="E44" s="175"/>
      <c r="F44" s="187"/>
      <c r="H44" s="896">
        <v>42205</v>
      </c>
      <c r="I44" s="897"/>
      <c r="J44" s="208">
        <v>132.07</v>
      </c>
      <c r="K44" s="323">
        <v>149.47399999999999</v>
      </c>
      <c r="M44" s="910" t="s">
        <v>708</v>
      </c>
      <c r="N44" s="764"/>
      <c r="O44" s="765"/>
      <c r="P44" s="763" t="s">
        <v>707</v>
      </c>
      <c r="Q44" s="765"/>
      <c r="R44" s="926" t="s">
        <v>709</v>
      </c>
      <c r="S44" s="927"/>
      <c r="T44" s="208">
        <v>150</v>
      </c>
      <c r="U44" s="367">
        <v>42220</v>
      </c>
      <c r="V44" s="317"/>
    </row>
    <row r="45" spans="2:22" ht="15" customHeight="1">
      <c r="B45" s="898"/>
      <c r="C45" s="899"/>
      <c r="D45" s="176"/>
      <c r="E45" s="176"/>
      <c r="F45" s="186"/>
      <c r="H45" s="894">
        <v>42202</v>
      </c>
      <c r="I45" s="895"/>
      <c r="J45" s="205">
        <v>129.62</v>
      </c>
      <c r="K45" s="319">
        <v>149.47399999999999</v>
      </c>
      <c r="M45" s="862" t="s">
        <v>665</v>
      </c>
      <c r="N45" s="767"/>
      <c r="O45" s="768"/>
      <c r="P45" s="766" t="s">
        <v>699</v>
      </c>
      <c r="Q45" s="768"/>
      <c r="R45" s="914" t="s">
        <v>568</v>
      </c>
      <c r="S45" s="865"/>
      <c r="T45" s="205"/>
      <c r="U45" s="368">
        <v>42220</v>
      </c>
      <c r="V45" s="317"/>
    </row>
    <row r="46" spans="2:22" ht="15" customHeight="1">
      <c r="B46" s="900"/>
      <c r="C46" s="901"/>
      <c r="D46" s="175"/>
      <c r="E46" s="175"/>
      <c r="F46" s="187"/>
      <c r="H46" s="896">
        <v>42201</v>
      </c>
      <c r="I46" s="897"/>
      <c r="J46" s="208">
        <v>128.51</v>
      </c>
      <c r="K46" s="323">
        <v>149.47399999999999</v>
      </c>
      <c r="M46" s="910" t="s">
        <v>672</v>
      </c>
      <c r="N46" s="764"/>
      <c r="O46" s="765"/>
      <c r="P46" s="763" t="s">
        <v>773</v>
      </c>
      <c r="Q46" s="765"/>
      <c r="R46" s="926" t="s">
        <v>568</v>
      </c>
      <c r="S46" s="927"/>
      <c r="T46" s="208"/>
      <c r="U46" s="367">
        <v>42220</v>
      </c>
      <c r="V46" s="317"/>
    </row>
    <row r="47" spans="2:22" ht="15" customHeight="1">
      <c r="B47" s="902"/>
      <c r="C47" s="903"/>
      <c r="D47" s="185"/>
      <c r="E47" s="185"/>
      <c r="F47" s="188"/>
      <c r="H47" s="894">
        <v>42200</v>
      </c>
      <c r="I47" s="895"/>
      <c r="J47" s="205">
        <v>126.82</v>
      </c>
      <c r="K47" s="319">
        <v>149.47399999999999</v>
      </c>
      <c r="M47" s="862" t="s">
        <v>667</v>
      </c>
      <c r="N47" s="767"/>
      <c r="O47" s="768"/>
      <c r="P47" s="766" t="s">
        <v>697</v>
      </c>
      <c r="Q47" s="768"/>
      <c r="R47" s="914" t="s">
        <v>568</v>
      </c>
      <c r="S47" s="865"/>
      <c r="T47" s="205">
        <v>145</v>
      </c>
      <c r="U47" s="368">
        <v>42215</v>
      </c>
      <c r="V47" s="317"/>
    </row>
    <row r="48" spans="2:22" ht="15" customHeight="1">
      <c r="H48" s="896">
        <v>42199</v>
      </c>
      <c r="I48" s="897"/>
      <c r="J48" s="208">
        <v>125.61</v>
      </c>
      <c r="K48" s="323">
        <v>149.05099999999999</v>
      </c>
      <c r="M48" s="910" t="s">
        <v>734</v>
      </c>
      <c r="N48" s="764"/>
      <c r="O48" s="765"/>
      <c r="P48" s="763" t="s">
        <v>780</v>
      </c>
      <c r="Q48" s="765"/>
      <c r="R48" s="926" t="s">
        <v>568</v>
      </c>
      <c r="S48" s="927"/>
      <c r="T48" s="208">
        <v>165</v>
      </c>
      <c r="U48" s="367">
        <v>42215</v>
      </c>
      <c r="V48" s="317"/>
    </row>
    <row r="49" spans="8:22" ht="15" customHeight="1">
      <c r="H49" s="894">
        <v>42198</v>
      </c>
      <c r="I49" s="895"/>
      <c r="J49" s="205">
        <v>125.66</v>
      </c>
      <c r="K49" s="319">
        <v>149.05099999999999</v>
      </c>
      <c r="M49" s="862" t="s">
        <v>736</v>
      </c>
      <c r="N49" s="767"/>
      <c r="O49" s="768"/>
      <c r="P49" s="766" t="s">
        <v>782</v>
      </c>
      <c r="Q49" s="768"/>
      <c r="R49" s="914" t="s">
        <v>569</v>
      </c>
      <c r="S49" s="865"/>
      <c r="T49" s="205">
        <v>115</v>
      </c>
      <c r="U49" s="368">
        <v>42213</v>
      </c>
      <c r="V49" s="317"/>
    </row>
    <row r="50" spans="8:22" ht="15" customHeight="1">
      <c r="H50" s="896">
        <v>42195</v>
      </c>
      <c r="I50" s="897"/>
      <c r="J50" s="208">
        <v>123.28</v>
      </c>
      <c r="K50" s="323">
        <v>149.05099999999999</v>
      </c>
      <c r="M50" s="910" t="s">
        <v>812</v>
      </c>
      <c r="N50" s="764"/>
      <c r="O50" s="765"/>
      <c r="P50" s="763" t="s">
        <v>813</v>
      </c>
      <c r="Q50" s="765"/>
      <c r="R50" s="926" t="s">
        <v>706</v>
      </c>
      <c r="S50" s="927"/>
      <c r="T50" s="208"/>
      <c r="U50" s="367">
        <v>42212</v>
      </c>
      <c r="V50" s="317"/>
    </row>
    <row r="51" spans="8:22" ht="15" customHeight="1">
      <c r="H51" s="894">
        <v>42194</v>
      </c>
      <c r="I51" s="895"/>
      <c r="J51" s="205">
        <v>120.07</v>
      </c>
      <c r="K51" s="319">
        <v>149.05099999999999</v>
      </c>
      <c r="M51" s="862" t="s">
        <v>716</v>
      </c>
      <c r="N51" s="767"/>
      <c r="O51" s="768"/>
      <c r="P51" s="766" t="s">
        <v>754</v>
      </c>
      <c r="Q51" s="768"/>
      <c r="R51" s="914" t="s">
        <v>706</v>
      </c>
      <c r="S51" s="865"/>
      <c r="T51" s="205"/>
      <c r="U51" s="368">
        <v>42209</v>
      </c>
      <c r="V51" s="317"/>
    </row>
    <row r="52" spans="8:22" ht="15" customHeight="1">
      <c r="H52" s="896">
        <v>42193</v>
      </c>
      <c r="I52" s="897"/>
      <c r="J52" s="208">
        <v>122.57</v>
      </c>
      <c r="K52" s="323">
        <v>149.05099999999999</v>
      </c>
      <c r="M52" s="910" t="s">
        <v>720</v>
      </c>
      <c r="N52" s="764"/>
      <c r="O52" s="765"/>
      <c r="P52" s="763" t="s">
        <v>761</v>
      </c>
      <c r="Q52" s="765"/>
      <c r="R52" s="926" t="s">
        <v>709</v>
      </c>
      <c r="S52" s="927"/>
      <c r="T52" s="208">
        <v>150</v>
      </c>
      <c r="U52" s="367">
        <v>42209</v>
      </c>
      <c r="V52" s="317"/>
    </row>
    <row r="53" spans="8:22" ht="15" customHeight="1">
      <c r="H53" s="894">
        <v>42192</v>
      </c>
      <c r="I53" s="895"/>
      <c r="J53" s="205">
        <v>125.69</v>
      </c>
      <c r="K53" s="319">
        <v>149.05099999999999</v>
      </c>
      <c r="M53" s="862" t="s">
        <v>683</v>
      </c>
      <c r="N53" s="767"/>
      <c r="O53" s="768"/>
      <c r="P53" s="766" t="s">
        <v>757</v>
      </c>
      <c r="Q53" s="768"/>
      <c r="R53" s="914" t="s">
        <v>568</v>
      </c>
      <c r="S53" s="865"/>
      <c r="T53" s="205">
        <v>140</v>
      </c>
      <c r="U53" s="368">
        <v>42207</v>
      </c>
      <c r="V53" s="317"/>
    </row>
    <row r="54" spans="8:22" ht="15" customHeight="1">
      <c r="H54" s="896">
        <v>42191</v>
      </c>
      <c r="I54" s="897"/>
      <c r="J54" s="208">
        <v>126</v>
      </c>
      <c r="K54" s="323">
        <v>149.05099999999999</v>
      </c>
      <c r="M54" s="910" t="s">
        <v>718</v>
      </c>
      <c r="N54" s="764"/>
      <c r="O54" s="765"/>
      <c r="P54" s="763" t="s">
        <v>758</v>
      </c>
      <c r="Q54" s="765"/>
      <c r="R54" s="926" t="s">
        <v>705</v>
      </c>
      <c r="S54" s="927"/>
      <c r="T54" s="208">
        <v>65</v>
      </c>
      <c r="U54" s="367">
        <v>42207</v>
      </c>
      <c r="V54" s="317"/>
    </row>
    <row r="55" spans="8:22" ht="15" customHeight="1">
      <c r="H55" s="894">
        <v>42188</v>
      </c>
      <c r="I55" s="895"/>
      <c r="J55" s="205">
        <v>126.44</v>
      </c>
      <c r="K55" s="319">
        <v>149.05099999999999</v>
      </c>
      <c r="M55" s="862" t="s">
        <v>674</v>
      </c>
      <c r="N55" s="767"/>
      <c r="O55" s="768"/>
      <c r="P55" s="766" t="s">
        <v>700</v>
      </c>
      <c r="Q55" s="768"/>
      <c r="R55" s="914" t="s">
        <v>709</v>
      </c>
      <c r="S55" s="865"/>
      <c r="T55" s="205">
        <v>145</v>
      </c>
      <c r="U55" s="368">
        <v>42207</v>
      </c>
      <c r="V55" s="317"/>
    </row>
    <row r="56" spans="8:22" ht="15" customHeight="1">
      <c r="H56" s="896">
        <v>42187</v>
      </c>
      <c r="I56" s="897"/>
      <c r="J56" s="208">
        <v>126.44</v>
      </c>
      <c r="K56" s="323">
        <v>149.05099999999999</v>
      </c>
      <c r="M56" s="910" t="s">
        <v>735</v>
      </c>
      <c r="N56" s="764"/>
      <c r="O56" s="765"/>
      <c r="P56" s="763" t="s">
        <v>781</v>
      </c>
      <c r="Q56" s="765"/>
      <c r="R56" s="926" t="s">
        <v>822</v>
      </c>
      <c r="S56" s="927"/>
      <c r="T56" s="208">
        <v>154</v>
      </c>
      <c r="U56" s="367">
        <v>42207</v>
      </c>
      <c r="V56" s="317"/>
    </row>
    <row r="57" spans="8:22" ht="15" customHeight="1">
      <c r="H57" s="894">
        <v>42186</v>
      </c>
      <c r="I57" s="895"/>
      <c r="J57" s="205">
        <v>126.6</v>
      </c>
      <c r="K57" s="319">
        <v>149.05099999999999</v>
      </c>
      <c r="M57" s="862" t="s">
        <v>676</v>
      </c>
      <c r="N57" s="767"/>
      <c r="O57" s="768"/>
      <c r="P57" s="766" t="s">
        <v>770</v>
      </c>
      <c r="Q57" s="768"/>
      <c r="R57" s="914" t="s">
        <v>567</v>
      </c>
      <c r="S57" s="865"/>
      <c r="T57" s="205">
        <v>145</v>
      </c>
      <c r="U57" s="368">
        <v>42207</v>
      </c>
      <c r="V57" s="317"/>
    </row>
    <row r="58" spans="8:22" ht="15" customHeight="1">
      <c r="H58" s="896">
        <v>42185</v>
      </c>
      <c r="I58" s="897"/>
      <c r="J58" s="208">
        <v>125.425</v>
      </c>
      <c r="K58" s="323">
        <v>149.05099999999999</v>
      </c>
      <c r="M58" s="910" t="s">
        <v>687</v>
      </c>
      <c r="N58" s="764"/>
      <c r="O58" s="765"/>
      <c r="P58" s="763" t="s">
        <v>701</v>
      </c>
      <c r="Q58" s="765"/>
      <c r="R58" s="926" t="s">
        <v>568</v>
      </c>
      <c r="S58" s="927"/>
      <c r="T58" s="208">
        <v>195</v>
      </c>
      <c r="U58" s="367">
        <v>42207</v>
      </c>
      <c r="V58" s="317"/>
    </row>
    <row r="59" spans="8:22" ht="15" customHeight="1">
      <c r="H59" s="894">
        <v>42184</v>
      </c>
      <c r="I59" s="895"/>
      <c r="J59" s="205">
        <v>124.53</v>
      </c>
      <c r="K59" s="319">
        <v>149.05099999999999</v>
      </c>
      <c r="M59" s="862" t="s">
        <v>725</v>
      </c>
      <c r="N59" s="767"/>
      <c r="O59" s="768"/>
      <c r="P59" s="766" t="s">
        <v>769</v>
      </c>
      <c r="Q59" s="768"/>
      <c r="R59" s="914" t="s">
        <v>705</v>
      </c>
      <c r="S59" s="865"/>
      <c r="T59" s="205">
        <v>85</v>
      </c>
      <c r="U59" s="368">
        <v>42207</v>
      </c>
      <c r="V59" s="317"/>
    </row>
    <row r="60" spans="8:22" ht="15" customHeight="1">
      <c r="H60" s="896">
        <v>42181</v>
      </c>
      <c r="I60" s="897"/>
      <c r="J60" s="208">
        <v>126.75</v>
      </c>
      <c r="K60" s="323">
        <v>149.05099999999999</v>
      </c>
      <c r="M60" s="910" t="s">
        <v>727</v>
      </c>
      <c r="N60" s="764"/>
      <c r="O60" s="765"/>
      <c r="P60" s="763" t="s">
        <v>772</v>
      </c>
      <c r="Q60" s="765"/>
      <c r="R60" s="926" t="s">
        <v>712</v>
      </c>
      <c r="S60" s="927"/>
      <c r="T60" s="208">
        <v>150</v>
      </c>
      <c r="U60" s="367">
        <v>42207</v>
      </c>
      <c r="V60" s="317"/>
    </row>
    <row r="61" spans="8:22" ht="15" customHeight="1">
      <c r="H61" s="894">
        <v>42180</v>
      </c>
      <c r="I61" s="895"/>
      <c r="J61" s="205">
        <v>127.5</v>
      </c>
      <c r="K61" s="319">
        <v>149.05099999999999</v>
      </c>
      <c r="M61" s="862" t="s">
        <v>805</v>
      </c>
      <c r="N61" s="767"/>
      <c r="O61" s="768"/>
      <c r="P61" s="766" t="s">
        <v>808</v>
      </c>
      <c r="Q61" s="768"/>
      <c r="R61" s="914" t="s">
        <v>569</v>
      </c>
      <c r="S61" s="865"/>
      <c r="T61" s="205">
        <v>144</v>
      </c>
      <c r="U61" s="368">
        <v>42207</v>
      </c>
      <c r="V61" s="317"/>
    </row>
    <row r="62" spans="8:22" ht="15" customHeight="1">
      <c r="H62" s="896">
        <v>42179</v>
      </c>
      <c r="I62" s="897"/>
      <c r="J62" s="208">
        <v>128.11000000000001</v>
      </c>
      <c r="K62" s="323">
        <v>149.05099999999999</v>
      </c>
      <c r="M62" s="910" t="s">
        <v>721</v>
      </c>
      <c r="N62" s="764"/>
      <c r="O62" s="765"/>
      <c r="P62" s="763" t="s">
        <v>762</v>
      </c>
      <c r="Q62" s="765"/>
      <c r="R62" s="926" t="s">
        <v>710</v>
      </c>
      <c r="S62" s="927"/>
      <c r="T62" s="208">
        <v>155</v>
      </c>
      <c r="U62" s="367">
        <v>42207</v>
      </c>
      <c r="V62" s="317"/>
    </row>
    <row r="63" spans="8:22" ht="15" customHeight="1">
      <c r="H63" s="894">
        <v>42178</v>
      </c>
      <c r="I63" s="895"/>
      <c r="J63" s="205">
        <v>127.03</v>
      </c>
      <c r="K63" s="319">
        <v>149.05000000000001</v>
      </c>
      <c r="M63" s="862" t="s">
        <v>678</v>
      </c>
      <c r="N63" s="767"/>
      <c r="O63" s="768"/>
      <c r="P63" s="766" t="s">
        <v>763</v>
      </c>
      <c r="Q63" s="768"/>
      <c r="R63" s="914" t="s">
        <v>567</v>
      </c>
      <c r="S63" s="865"/>
      <c r="T63" s="205">
        <v>150</v>
      </c>
      <c r="U63" s="368">
        <v>42207</v>
      </c>
      <c r="V63" s="317"/>
    </row>
    <row r="64" spans="8:22" ht="15" customHeight="1">
      <c r="H64" s="896">
        <v>42177</v>
      </c>
      <c r="I64" s="897"/>
      <c r="J64" s="208">
        <v>127.61</v>
      </c>
      <c r="K64" s="323">
        <v>149.05000000000001</v>
      </c>
      <c r="M64" s="910" t="s">
        <v>728</v>
      </c>
      <c r="N64" s="764"/>
      <c r="O64" s="765"/>
      <c r="P64" s="763" t="s">
        <v>774</v>
      </c>
      <c r="Q64" s="765"/>
      <c r="R64" s="926" t="s">
        <v>709</v>
      </c>
      <c r="S64" s="927"/>
      <c r="T64" s="208">
        <v>150</v>
      </c>
      <c r="U64" s="367">
        <v>42207</v>
      </c>
      <c r="V64" s="317"/>
    </row>
    <row r="65" spans="8:22" ht="15" customHeight="1">
      <c r="H65" s="894">
        <v>42174</v>
      </c>
      <c r="I65" s="895"/>
      <c r="J65" s="205">
        <v>126.6</v>
      </c>
      <c r="K65" s="319">
        <v>149.05000000000001</v>
      </c>
      <c r="M65" s="862" t="s">
        <v>690</v>
      </c>
      <c r="N65" s="767"/>
      <c r="O65" s="768"/>
      <c r="P65" s="766" t="s">
        <v>666</v>
      </c>
      <c r="Q65" s="768"/>
      <c r="R65" s="914" t="s">
        <v>714</v>
      </c>
      <c r="S65" s="865"/>
      <c r="T65" s="205"/>
      <c r="U65" s="368">
        <v>42207</v>
      </c>
      <c r="V65" s="317"/>
    </row>
    <row r="66" spans="8:22" ht="15" customHeight="1">
      <c r="H66" s="896">
        <v>42173</v>
      </c>
      <c r="I66" s="897"/>
      <c r="J66" s="208">
        <v>127.88</v>
      </c>
      <c r="K66" s="323">
        <v>149.05000000000001</v>
      </c>
      <c r="M66" s="910" t="s">
        <v>731</v>
      </c>
      <c r="N66" s="764"/>
      <c r="O66" s="765"/>
      <c r="P66" s="763" t="s">
        <v>776</v>
      </c>
      <c r="Q66" s="765"/>
      <c r="R66" s="926" t="s">
        <v>815</v>
      </c>
      <c r="S66" s="927"/>
      <c r="T66" s="208"/>
      <c r="U66" s="367">
        <v>42206</v>
      </c>
      <c r="V66" s="317"/>
    </row>
    <row r="67" spans="8:22" ht="15" customHeight="1">
      <c r="H67" s="894">
        <v>42172</v>
      </c>
      <c r="I67" s="895"/>
      <c r="J67" s="205">
        <v>127.3</v>
      </c>
      <c r="K67" s="319">
        <v>149.05000000000001</v>
      </c>
      <c r="M67" s="862" t="s">
        <v>738</v>
      </c>
      <c r="N67" s="767"/>
      <c r="O67" s="768"/>
      <c r="P67" s="766" t="s">
        <v>784</v>
      </c>
      <c r="Q67" s="768"/>
      <c r="R67" s="914" t="s">
        <v>709</v>
      </c>
      <c r="S67" s="865"/>
      <c r="T67" s="205"/>
      <c r="U67" s="368">
        <v>42206</v>
      </c>
      <c r="V67" s="317"/>
    </row>
    <row r="68" spans="8:22" ht="15" customHeight="1">
      <c r="H68" s="896">
        <v>42171</v>
      </c>
      <c r="I68" s="897"/>
      <c r="J68" s="208">
        <v>127.6</v>
      </c>
      <c r="K68" s="323">
        <v>149.05000000000001</v>
      </c>
      <c r="M68" s="910" t="s">
        <v>824</v>
      </c>
      <c r="N68" s="764"/>
      <c r="O68" s="765"/>
      <c r="P68" s="763" t="s">
        <v>755</v>
      </c>
      <c r="Q68" s="765"/>
      <c r="R68" s="926" t="s">
        <v>568</v>
      </c>
      <c r="S68" s="927"/>
      <c r="T68" s="208">
        <v>155</v>
      </c>
      <c r="U68" s="367">
        <v>42206</v>
      </c>
      <c r="V68" s="317"/>
    </row>
    <row r="69" spans="8:22" ht="15" customHeight="1">
      <c r="H69" s="894">
        <v>42170</v>
      </c>
      <c r="I69" s="895"/>
      <c r="J69" s="205">
        <v>126.92</v>
      </c>
      <c r="K69" s="319">
        <v>149.05000000000001</v>
      </c>
      <c r="M69" s="862" t="s">
        <v>730</v>
      </c>
      <c r="N69" s="767"/>
      <c r="O69" s="768"/>
      <c r="P69" s="766" t="s">
        <v>826</v>
      </c>
      <c r="Q69" s="768"/>
      <c r="R69" s="914" t="s">
        <v>638</v>
      </c>
      <c r="S69" s="865"/>
      <c r="T69" s="205">
        <v>125</v>
      </c>
      <c r="U69" s="368">
        <v>42206</v>
      </c>
      <c r="V69" s="317"/>
    </row>
    <row r="70" spans="8:22" ht="15" customHeight="1">
      <c r="H70" s="896">
        <v>42167</v>
      </c>
      <c r="I70" s="897"/>
      <c r="J70" s="208">
        <v>127.17</v>
      </c>
      <c r="K70" s="323">
        <v>149.05000000000001</v>
      </c>
      <c r="M70" s="910" t="s">
        <v>737</v>
      </c>
      <c r="N70" s="764"/>
      <c r="O70" s="765"/>
      <c r="P70" s="763" t="s">
        <v>783</v>
      </c>
      <c r="Q70" s="765"/>
      <c r="R70" s="926" t="s">
        <v>568</v>
      </c>
      <c r="S70" s="927"/>
      <c r="T70" s="208">
        <v>160</v>
      </c>
      <c r="U70" s="367">
        <v>42206</v>
      </c>
      <c r="V70" s="317"/>
    </row>
    <row r="71" spans="8:22" ht="15" customHeight="1">
      <c r="H71" s="894">
        <v>42166</v>
      </c>
      <c r="I71" s="895"/>
      <c r="J71" s="205">
        <v>128.59</v>
      </c>
      <c r="K71" s="319">
        <v>149.05000000000001</v>
      </c>
      <c r="M71" s="862" t="s">
        <v>724</v>
      </c>
      <c r="N71" s="767"/>
      <c r="O71" s="768"/>
      <c r="P71" s="766" t="s">
        <v>767</v>
      </c>
      <c r="Q71" s="768"/>
      <c r="R71" s="914" t="s">
        <v>711</v>
      </c>
      <c r="S71" s="865"/>
      <c r="T71" s="205"/>
      <c r="U71" s="368">
        <v>42202</v>
      </c>
      <c r="V71" s="317"/>
    </row>
    <row r="72" spans="8:22" ht="15" customHeight="1">
      <c r="H72" s="896">
        <v>42165</v>
      </c>
      <c r="I72" s="897"/>
      <c r="J72" s="208">
        <v>128.88</v>
      </c>
      <c r="K72" s="323">
        <v>148.95099999999999</v>
      </c>
      <c r="M72" s="910" t="s">
        <v>677</v>
      </c>
      <c r="N72" s="764"/>
      <c r="O72" s="765"/>
      <c r="P72" s="763" t="s">
        <v>814</v>
      </c>
      <c r="Q72" s="765"/>
      <c r="R72" s="926" t="s">
        <v>569</v>
      </c>
      <c r="S72" s="927"/>
      <c r="T72" s="208"/>
      <c r="U72" s="367">
        <v>42160</v>
      </c>
      <c r="V72" s="317"/>
    </row>
    <row r="73" spans="8:22" ht="15" customHeight="1">
      <c r="H73" s="894">
        <v>42164</v>
      </c>
      <c r="I73" s="895"/>
      <c r="J73" s="205">
        <v>127.42</v>
      </c>
      <c r="K73" s="319">
        <v>148.95099999999999</v>
      </c>
      <c r="M73" s="862" t="s">
        <v>732</v>
      </c>
      <c r="N73" s="767"/>
      <c r="O73" s="768"/>
      <c r="P73" s="766" t="s">
        <v>778</v>
      </c>
      <c r="Q73" s="768"/>
      <c r="R73" s="914" t="s">
        <v>568</v>
      </c>
      <c r="S73" s="865"/>
      <c r="T73" s="205"/>
      <c r="U73" s="368">
        <v>42131</v>
      </c>
      <c r="V73" s="317"/>
    </row>
    <row r="74" spans="8:22" ht="15" customHeight="1">
      <c r="H74" s="896">
        <v>42163</v>
      </c>
      <c r="I74" s="897"/>
      <c r="J74" s="208">
        <v>127.8</v>
      </c>
      <c r="K74" s="323">
        <v>148.95099999999999</v>
      </c>
      <c r="M74" s="910" t="s">
        <v>557</v>
      </c>
      <c r="N74" s="764"/>
      <c r="O74" s="765"/>
      <c r="P74" s="763" t="s">
        <v>703</v>
      </c>
      <c r="Q74" s="765"/>
      <c r="R74" s="926" t="s">
        <v>713</v>
      </c>
      <c r="S74" s="927"/>
      <c r="T74" s="208">
        <v>163</v>
      </c>
      <c r="U74" s="367">
        <v>42122</v>
      </c>
      <c r="V74" s="317"/>
    </row>
    <row r="75" spans="8:22" ht="15" customHeight="1">
      <c r="H75" s="894">
        <v>42160</v>
      </c>
      <c r="I75" s="895"/>
      <c r="J75" s="205">
        <v>128.65</v>
      </c>
      <c r="K75" s="319">
        <v>148.95099999999999</v>
      </c>
      <c r="M75" s="862" t="s">
        <v>689</v>
      </c>
      <c r="N75" s="767"/>
      <c r="O75" s="768"/>
      <c r="P75" s="766" t="s">
        <v>668</v>
      </c>
      <c r="Q75" s="768"/>
      <c r="R75" s="914" t="s">
        <v>638</v>
      </c>
      <c r="S75" s="865"/>
      <c r="T75" s="205"/>
      <c r="U75" s="368">
        <v>42122</v>
      </c>
      <c r="V75" s="317"/>
    </row>
    <row r="76" spans="8:22" ht="15" customHeight="1">
      <c r="H76" s="896">
        <v>42159</v>
      </c>
      <c r="I76" s="897"/>
      <c r="J76" s="208">
        <v>129.36000000000001</v>
      </c>
      <c r="K76" s="323">
        <v>148.82900000000001</v>
      </c>
      <c r="M76" s="910" t="s">
        <v>692</v>
      </c>
      <c r="N76" s="764"/>
      <c r="O76" s="765"/>
      <c r="P76" s="763" t="s">
        <v>702</v>
      </c>
      <c r="Q76" s="765"/>
      <c r="R76" s="926" t="s">
        <v>568</v>
      </c>
      <c r="S76" s="927"/>
      <c r="T76" s="208">
        <v>149</v>
      </c>
      <c r="U76" s="367">
        <v>42086</v>
      </c>
      <c r="V76" s="317"/>
    </row>
    <row r="77" spans="8:22" ht="15" customHeight="1">
      <c r="H77" s="894">
        <v>42158</v>
      </c>
      <c r="I77" s="895"/>
      <c r="J77" s="205">
        <v>130.12</v>
      </c>
      <c r="K77" s="319">
        <v>148.82900000000001</v>
      </c>
      <c r="M77" s="862" t="s">
        <v>726</v>
      </c>
      <c r="N77" s="767"/>
      <c r="O77" s="768"/>
      <c r="P77" s="766" t="s">
        <v>771</v>
      </c>
      <c r="Q77" s="768"/>
      <c r="R77" s="914" t="s">
        <v>568</v>
      </c>
      <c r="S77" s="865"/>
      <c r="T77" s="205">
        <v>145</v>
      </c>
      <c r="U77" s="368">
        <v>42073</v>
      </c>
      <c r="V77" s="317"/>
    </row>
    <row r="78" spans="8:22" ht="15" customHeight="1">
      <c r="H78" s="896">
        <v>42157</v>
      </c>
      <c r="I78" s="897"/>
      <c r="J78" s="208">
        <v>129.96</v>
      </c>
      <c r="K78" s="323">
        <v>148.82900000000001</v>
      </c>
      <c r="M78" s="910" t="s">
        <v>733</v>
      </c>
      <c r="N78" s="764"/>
      <c r="O78" s="765"/>
      <c r="P78" s="763" t="s">
        <v>779</v>
      </c>
      <c r="Q78" s="765"/>
      <c r="R78" s="926" t="s">
        <v>568</v>
      </c>
      <c r="S78" s="927"/>
      <c r="T78" s="208">
        <v>139</v>
      </c>
      <c r="U78" s="367">
        <v>42040</v>
      </c>
      <c r="V78" s="317"/>
    </row>
    <row r="79" spans="8:22" ht="15" customHeight="1">
      <c r="H79" s="894">
        <v>42156</v>
      </c>
      <c r="I79" s="895"/>
      <c r="J79" s="205">
        <v>130.535</v>
      </c>
      <c r="K79" s="319">
        <v>148.82900000000001</v>
      </c>
      <c r="M79" s="862" t="s">
        <v>739</v>
      </c>
      <c r="N79" s="767"/>
      <c r="O79" s="768"/>
      <c r="P79" s="766" t="s">
        <v>785</v>
      </c>
      <c r="Q79" s="768"/>
      <c r="R79" s="914" t="s">
        <v>715</v>
      </c>
      <c r="S79" s="865"/>
      <c r="T79" s="205"/>
      <c r="U79" s="368">
        <v>41913</v>
      </c>
      <c r="V79" s="317"/>
    </row>
    <row r="80" spans="8:22" ht="15" customHeight="1">
      <c r="H80" s="896">
        <v>42153</v>
      </c>
      <c r="I80" s="897"/>
      <c r="J80" s="208">
        <v>130.28</v>
      </c>
      <c r="K80" s="323">
        <v>148.82900000000001</v>
      </c>
      <c r="M80" s="910" t="s">
        <v>673</v>
      </c>
      <c r="N80" s="764"/>
      <c r="O80" s="765"/>
      <c r="P80" s="763" t="s">
        <v>786</v>
      </c>
      <c r="Q80" s="765"/>
      <c r="R80" s="926" t="s">
        <v>568</v>
      </c>
      <c r="S80" s="927"/>
      <c r="T80" s="208"/>
      <c r="U80" s="367">
        <v>41842</v>
      </c>
      <c r="V80" s="317"/>
    </row>
    <row r="81" spans="8:22" ht="15" customHeight="1">
      <c r="H81" s="894">
        <v>42152</v>
      </c>
      <c r="I81" s="895"/>
      <c r="J81" s="205">
        <v>131.78</v>
      </c>
      <c r="K81" s="319">
        <v>148.82900000000001</v>
      </c>
      <c r="M81" s="862"/>
      <c r="N81" s="767"/>
      <c r="O81" s="768"/>
      <c r="P81" s="766"/>
      <c r="Q81" s="768"/>
      <c r="R81" s="914"/>
      <c r="S81" s="865"/>
      <c r="T81" s="205"/>
      <c r="U81" s="368"/>
      <c r="V81" s="317"/>
    </row>
    <row r="82" spans="8:22" ht="15" customHeight="1">
      <c r="H82" s="896">
        <v>42151</v>
      </c>
      <c r="I82" s="897"/>
      <c r="J82" s="208">
        <v>132.04499999999999</v>
      </c>
      <c r="K82" s="323">
        <v>148.82900000000001</v>
      </c>
      <c r="M82" s="910"/>
      <c r="N82" s="764"/>
      <c r="O82" s="765"/>
      <c r="P82" s="763"/>
      <c r="Q82" s="765"/>
      <c r="R82" s="926"/>
      <c r="S82" s="927"/>
      <c r="T82" s="208"/>
      <c r="U82" s="367"/>
      <c r="V82" s="317"/>
    </row>
    <row r="83" spans="8:22" ht="15" customHeight="1">
      <c r="H83" s="894">
        <v>42150</v>
      </c>
      <c r="I83" s="895"/>
      <c r="J83" s="205">
        <v>129.62</v>
      </c>
      <c r="K83" s="319">
        <v>148.82900000000001</v>
      </c>
      <c r="M83" s="862"/>
      <c r="N83" s="767"/>
      <c r="O83" s="768"/>
      <c r="P83" s="766"/>
      <c r="Q83" s="768"/>
      <c r="R83" s="914"/>
      <c r="S83" s="865"/>
      <c r="T83" s="205"/>
      <c r="U83" s="368"/>
      <c r="V83" s="317"/>
    </row>
    <row r="84" spans="8:22" ht="15" customHeight="1">
      <c r="H84" s="896">
        <v>42149</v>
      </c>
      <c r="I84" s="897"/>
      <c r="J84" s="208">
        <v>132.54</v>
      </c>
      <c r="K84" s="323">
        <v>148.70699999999999</v>
      </c>
      <c r="M84" s="910"/>
      <c r="N84" s="764"/>
      <c r="O84" s="765"/>
      <c r="P84" s="763"/>
      <c r="Q84" s="765"/>
      <c r="R84" s="926"/>
      <c r="S84" s="927"/>
      <c r="T84" s="208"/>
      <c r="U84" s="367"/>
      <c r="V84" s="317"/>
    </row>
    <row r="85" spans="8:22" ht="15" customHeight="1">
      <c r="H85" s="894">
        <v>42146</v>
      </c>
      <c r="I85" s="895"/>
      <c r="J85" s="205">
        <v>132.54</v>
      </c>
      <c r="K85" s="319">
        <v>148.70699999999999</v>
      </c>
      <c r="M85" s="862"/>
      <c r="N85" s="767"/>
      <c r="O85" s="768"/>
      <c r="P85" s="766"/>
      <c r="Q85" s="768"/>
      <c r="R85" s="914"/>
      <c r="S85" s="865"/>
      <c r="T85" s="205"/>
      <c r="U85" s="368"/>
      <c r="V85" s="317"/>
    </row>
    <row r="86" spans="8:22" ht="15" customHeight="1">
      <c r="H86" s="896">
        <v>42145</v>
      </c>
      <c r="I86" s="897"/>
      <c r="J86" s="208">
        <v>131.38999999999999</v>
      </c>
      <c r="K86" s="323">
        <v>148.70699999999999</v>
      </c>
      <c r="M86" s="910"/>
      <c r="N86" s="764"/>
      <c r="O86" s="765"/>
      <c r="P86" s="763"/>
      <c r="Q86" s="765"/>
      <c r="R86" s="926"/>
      <c r="S86" s="927"/>
      <c r="T86" s="208"/>
      <c r="U86" s="367"/>
      <c r="V86" s="317"/>
    </row>
    <row r="87" spans="8:22" ht="15" customHeight="1">
      <c r="H87" s="894">
        <v>42144</v>
      </c>
      <c r="I87" s="895"/>
      <c r="J87" s="205">
        <v>130.06</v>
      </c>
      <c r="K87" s="319">
        <v>148.70699999999999</v>
      </c>
      <c r="M87" s="862"/>
      <c r="N87" s="767"/>
      <c r="O87" s="768"/>
      <c r="P87" s="766"/>
      <c r="Q87" s="768"/>
      <c r="R87" s="914"/>
      <c r="S87" s="865"/>
      <c r="T87" s="205"/>
      <c r="U87" s="368"/>
      <c r="V87" s="317"/>
    </row>
    <row r="88" spans="8:22" ht="15" customHeight="1">
      <c r="H88" s="896">
        <v>42143</v>
      </c>
      <c r="I88" s="897"/>
      <c r="J88" s="208">
        <v>130.07</v>
      </c>
      <c r="K88" s="323">
        <v>148.70699999999999</v>
      </c>
      <c r="M88" s="915"/>
      <c r="N88" s="916"/>
      <c r="O88" s="917"/>
      <c r="P88" s="929"/>
      <c r="Q88" s="917"/>
      <c r="R88" s="931"/>
      <c r="S88" s="932"/>
      <c r="T88" s="208"/>
      <c r="U88" s="367"/>
      <c r="V88" s="317"/>
    </row>
    <row r="89" spans="8:22" ht="15" customHeight="1">
      <c r="H89" s="894">
        <v>42142</v>
      </c>
      <c r="I89" s="895"/>
      <c r="J89" s="205">
        <v>130.19</v>
      </c>
      <c r="K89" s="319">
        <v>148.70699999999999</v>
      </c>
      <c r="M89" s="921"/>
      <c r="N89" s="922"/>
      <c r="O89" s="923"/>
      <c r="P89" s="928"/>
      <c r="Q89" s="923"/>
      <c r="R89" s="933"/>
      <c r="S89" s="934"/>
      <c r="T89" s="205"/>
      <c r="U89" s="368"/>
      <c r="V89" s="317"/>
    </row>
    <row r="90" spans="8:22" ht="15" customHeight="1">
      <c r="H90" s="896">
        <v>42139</v>
      </c>
      <c r="I90" s="897"/>
      <c r="J90" s="208">
        <v>128.77000000000001</v>
      </c>
      <c r="K90" s="323">
        <v>148.70699999999999</v>
      </c>
      <c r="M90" s="915"/>
      <c r="N90" s="916"/>
      <c r="O90" s="917"/>
      <c r="P90" s="929"/>
      <c r="Q90" s="917"/>
      <c r="R90" s="931"/>
      <c r="S90" s="932"/>
      <c r="T90" s="208"/>
      <c r="U90" s="367"/>
      <c r="V90" s="317"/>
    </row>
    <row r="91" spans="8:22" ht="15" customHeight="1">
      <c r="H91" s="894">
        <v>42138</v>
      </c>
      <c r="I91" s="895"/>
      <c r="J91" s="205">
        <v>128.94999999999999</v>
      </c>
      <c r="K91" s="319">
        <v>148.70699999999999</v>
      </c>
      <c r="M91" s="921"/>
      <c r="N91" s="922"/>
      <c r="O91" s="923"/>
      <c r="P91" s="928"/>
      <c r="Q91" s="923"/>
      <c r="R91" s="933"/>
      <c r="S91" s="934"/>
      <c r="T91" s="205"/>
      <c r="U91" s="368"/>
      <c r="V91" s="317"/>
    </row>
    <row r="92" spans="8:22" ht="15" customHeight="1">
      <c r="H92" s="896">
        <v>42137</v>
      </c>
      <c r="I92" s="897"/>
      <c r="J92" s="208">
        <v>126.01</v>
      </c>
      <c r="K92" s="323">
        <v>148.738</v>
      </c>
      <c r="M92" s="915"/>
      <c r="N92" s="916"/>
      <c r="O92" s="917"/>
      <c r="P92" s="929"/>
      <c r="Q92" s="917"/>
      <c r="R92" s="931"/>
      <c r="S92" s="932"/>
      <c r="T92" s="193"/>
      <c r="U92" s="367"/>
      <c r="V92" s="317"/>
    </row>
    <row r="93" spans="8:22" ht="15" customHeight="1">
      <c r="H93" s="894">
        <v>42136</v>
      </c>
      <c r="I93" s="895"/>
      <c r="J93" s="205">
        <v>125.86499999999999</v>
      </c>
      <c r="K93" s="319">
        <v>148.738</v>
      </c>
      <c r="M93" s="921"/>
      <c r="N93" s="922"/>
      <c r="O93" s="923"/>
      <c r="P93" s="928"/>
      <c r="Q93" s="923"/>
      <c r="R93" s="933"/>
      <c r="S93" s="934"/>
      <c r="T93" s="192"/>
      <c r="U93" s="368"/>
      <c r="V93" s="317"/>
    </row>
    <row r="94" spans="8:22" ht="15" customHeight="1">
      <c r="H94" s="896">
        <v>42135</v>
      </c>
      <c r="I94" s="897"/>
      <c r="J94" s="208">
        <v>126.32</v>
      </c>
      <c r="K94" s="323">
        <v>148.738</v>
      </c>
      <c r="M94" s="915"/>
      <c r="N94" s="916"/>
      <c r="O94" s="917"/>
      <c r="P94" s="929"/>
      <c r="Q94" s="917"/>
      <c r="R94" s="931"/>
      <c r="S94" s="932"/>
      <c r="T94" s="193"/>
      <c r="U94" s="367"/>
      <c r="V94" s="317"/>
    </row>
    <row r="95" spans="8:22" ht="15" customHeight="1">
      <c r="H95" s="894">
        <v>42132</v>
      </c>
      <c r="I95" s="895"/>
      <c r="J95" s="205">
        <v>127.62</v>
      </c>
      <c r="K95" s="319">
        <v>148.619</v>
      </c>
      <c r="M95" s="921"/>
      <c r="N95" s="922"/>
      <c r="O95" s="923"/>
      <c r="P95" s="928"/>
      <c r="Q95" s="923"/>
      <c r="R95" s="933"/>
      <c r="S95" s="934"/>
      <c r="T95" s="192"/>
      <c r="U95" s="368"/>
      <c r="V95" s="317"/>
    </row>
    <row r="96" spans="8:22" ht="15" customHeight="1">
      <c r="H96" s="896">
        <v>42131</v>
      </c>
      <c r="I96" s="897"/>
      <c r="J96" s="208">
        <v>125.26</v>
      </c>
      <c r="K96" s="323">
        <v>148.619</v>
      </c>
      <c r="M96" s="915"/>
      <c r="N96" s="916"/>
      <c r="O96" s="917"/>
      <c r="P96" s="929"/>
      <c r="Q96" s="917"/>
      <c r="R96" s="931"/>
      <c r="S96" s="932"/>
      <c r="T96" s="193"/>
      <c r="U96" s="367"/>
      <c r="V96" s="317"/>
    </row>
    <row r="97" spans="8:22" ht="15" customHeight="1">
      <c r="H97" s="894">
        <v>42130</v>
      </c>
      <c r="I97" s="895"/>
      <c r="J97" s="205">
        <v>125.01</v>
      </c>
      <c r="K97" s="319">
        <v>148.619</v>
      </c>
      <c r="M97" s="921"/>
      <c r="N97" s="922"/>
      <c r="O97" s="923"/>
      <c r="P97" s="928"/>
      <c r="Q97" s="923"/>
      <c r="R97" s="933"/>
      <c r="S97" s="934"/>
      <c r="T97" s="192"/>
      <c r="U97" s="368"/>
      <c r="V97" s="317"/>
    </row>
    <row r="98" spans="8:22" ht="15" customHeight="1">
      <c r="H98" s="896">
        <v>42129</v>
      </c>
      <c r="I98" s="897"/>
      <c r="J98" s="208">
        <v>125.8</v>
      </c>
      <c r="K98" s="323">
        <v>148.39500000000001</v>
      </c>
      <c r="M98" s="915"/>
      <c r="N98" s="916"/>
      <c r="O98" s="917"/>
      <c r="P98" s="929"/>
      <c r="Q98" s="917"/>
      <c r="R98" s="931"/>
      <c r="S98" s="932"/>
      <c r="T98" s="193"/>
      <c r="U98" s="367"/>
      <c r="V98" s="317"/>
    </row>
    <row r="99" spans="8:22" ht="15" customHeight="1">
      <c r="H99" s="894">
        <v>42128</v>
      </c>
      <c r="I99" s="895"/>
      <c r="J99" s="205">
        <v>128.69999999999999</v>
      </c>
      <c r="K99" s="319">
        <v>148.39500000000001</v>
      </c>
      <c r="M99" s="921"/>
      <c r="N99" s="922"/>
      <c r="O99" s="923"/>
      <c r="P99" s="928"/>
      <c r="Q99" s="923"/>
      <c r="R99" s="933"/>
      <c r="S99" s="934"/>
      <c r="T99" s="192"/>
      <c r="U99" s="368"/>
      <c r="V99" s="317"/>
    </row>
    <row r="100" spans="8:22" ht="15" customHeight="1">
      <c r="H100" s="896">
        <v>42125</v>
      </c>
      <c r="I100" s="897"/>
      <c r="J100" s="208">
        <v>128.94999999999999</v>
      </c>
      <c r="K100" s="323">
        <v>148.39500000000001</v>
      </c>
      <c r="M100" s="915"/>
      <c r="N100" s="916"/>
      <c r="O100" s="917"/>
      <c r="P100" s="929"/>
      <c r="Q100" s="917"/>
      <c r="R100" s="931"/>
      <c r="S100" s="932"/>
      <c r="T100" s="193"/>
      <c r="U100" s="367"/>
      <c r="V100" s="317"/>
    </row>
    <row r="101" spans="8:22" ht="15" customHeight="1">
      <c r="H101" s="894">
        <v>42124</v>
      </c>
      <c r="I101" s="895"/>
      <c r="J101" s="205">
        <v>125.15</v>
      </c>
      <c r="K101" s="319">
        <v>148.36000000000001</v>
      </c>
      <c r="M101" s="921"/>
      <c r="N101" s="922"/>
      <c r="O101" s="923"/>
      <c r="P101" s="928"/>
      <c r="Q101" s="923"/>
      <c r="R101" s="933"/>
      <c r="S101" s="934"/>
      <c r="T101" s="192"/>
      <c r="U101" s="368"/>
      <c r="V101" s="317"/>
    </row>
    <row r="102" spans="8:22" ht="15" customHeight="1">
      <c r="H102" s="896">
        <v>42123</v>
      </c>
      <c r="I102" s="897"/>
      <c r="J102" s="208">
        <v>128.63999999999999</v>
      </c>
      <c r="K102" s="323">
        <v>148.36000000000001</v>
      </c>
      <c r="M102" s="915"/>
      <c r="N102" s="916"/>
      <c r="O102" s="917"/>
      <c r="P102" s="929"/>
      <c r="Q102" s="917"/>
      <c r="R102" s="931"/>
      <c r="S102" s="932"/>
      <c r="T102" s="193"/>
      <c r="U102" s="367"/>
      <c r="V102" s="317"/>
    </row>
    <row r="103" spans="8:22" ht="15" customHeight="1">
      <c r="H103" s="894">
        <v>42122</v>
      </c>
      <c r="I103" s="895"/>
      <c r="J103" s="205">
        <v>130.56</v>
      </c>
      <c r="K103" s="319">
        <v>147.82599999999999</v>
      </c>
      <c r="M103" s="921"/>
      <c r="N103" s="922"/>
      <c r="O103" s="923"/>
      <c r="P103" s="928"/>
      <c r="Q103" s="923"/>
      <c r="R103" s="933"/>
      <c r="S103" s="934"/>
      <c r="T103" s="192"/>
      <c r="U103" s="368"/>
      <c r="V103" s="317"/>
    </row>
    <row r="104" spans="8:22" ht="15" customHeight="1">
      <c r="H104" s="896">
        <v>42121</v>
      </c>
      <c r="I104" s="897"/>
      <c r="J104" s="208">
        <v>132.65</v>
      </c>
      <c r="K104" s="323">
        <v>144.12799999999999</v>
      </c>
      <c r="M104" s="915"/>
      <c r="N104" s="916"/>
      <c r="O104" s="917"/>
      <c r="P104" s="929"/>
      <c r="Q104" s="917"/>
      <c r="R104" s="931"/>
      <c r="S104" s="932"/>
      <c r="T104" s="193"/>
      <c r="U104" s="367"/>
      <c r="V104" s="317"/>
    </row>
    <row r="105" spans="8:22" ht="15" customHeight="1">
      <c r="H105" s="894">
        <v>42118</v>
      </c>
      <c r="I105" s="895"/>
      <c r="J105" s="205">
        <v>130.28</v>
      </c>
      <c r="K105" s="319">
        <v>142.869</v>
      </c>
      <c r="M105" s="921"/>
      <c r="N105" s="922"/>
      <c r="O105" s="923"/>
      <c r="P105" s="928"/>
      <c r="Q105" s="923"/>
      <c r="R105" s="933"/>
      <c r="S105" s="934"/>
      <c r="T105" s="192"/>
      <c r="U105" s="368"/>
      <c r="V105" s="317"/>
    </row>
    <row r="106" spans="8:22" ht="15" customHeight="1">
      <c r="H106" s="896">
        <v>42117</v>
      </c>
      <c r="I106" s="897"/>
      <c r="J106" s="208">
        <v>129.66999999999999</v>
      </c>
      <c r="K106" s="323">
        <v>142.702</v>
      </c>
      <c r="M106" s="918"/>
      <c r="N106" s="919"/>
      <c r="O106" s="920"/>
      <c r="P106" s="930"/>
      <c r="Q106" s="920"/>
      <c r="R106" s="935"/>
      <c r="S106" s="936"/>
      <c r="T106" s="195"/>
      <c r="U106" s="369"/>
      <c r="V106" s="317"/>
    </row>
    <row r="107" spans="8:22" ht="15" customHeight="1">
      <c r="H107" s="894">
        <v>42116</v>
      </c>
      <c r="I107" s="895"/>
      <c r="J107" s="205">
        <v>128.62</v>
      </c>
      <c r="K107" s="319">
        <v>142.345</v>
      </c>
      <c r="T107" s="39"/>
      <c r="U107" s="359"/>
      <c r="V107" s="317"/>
    </row>
    <row r="108" spans="8:22" ht="15" customHeight="1">
      <c r="H108" s="896">
        <v>42115</v>
      </c>
      <c r="I108" s="897"/>
      <c r="J108" s="208">
        <v>126.91</v>
      </c>
      <c r="K108" s="323">
        <v>142.345</v>
      </c>
      <c r="T108" s="39"/>
      <c r="U108" s="359"/>
      <c r="V108" s="317"/>
    </row>
    <row r="109" spans="8:22" ht="15" customHeight="1">
      <c r="H109" s="894">
        <v>42114</v>
      </c>
      <c r="I109" s="895"/>
      <c r="J109" s="205">
        <v>127.6</v>
      </c>
      <c r="K109" s="319">
        <v>142.345</v>
      </c>
      <c r="T109" s="39"/>
      <c r="U109" s="359"/>
      <c r="V109" s="317"/>
    </row>
    <row r="110" spans="8:22" ht="15" customHeight="1">
      <c r="H110" s="896">
        <v>42111</v>
      </c>
      <c r="I110" s="897"/>
      <c r="J110" s="208">
        <v>124.75</v>
      </c>
      <c r="K110" s="323">
        <v>142.345</v>
      </c>
      <c r="T110" s="39"/>
      <c r="U110" s="359"/>
      <c r="V110" s="317"/>
    </row>
    <row r="111" spans="8:22" ht="15" customHeight="1">
      <c r="H111" s="894">
        <v>42110</v>
      </c>
      <c r="I111" s="895"/>
      <c r="J111" s="205">
        <v>126.17</v>
      </c>
      <c r="K111" s="319">
        <v>142.345</v>
      </c>
      <c r="T111" s="39"/>
      <c r="U111" s="359"/>
      <c r="V111" s="317"/>
    </row>
    <row r="112" spans="8:22" ht="15" customHeight="1">
      <c r="H112" s="896">
        <v>42109</v>
      </c>
      <c r="I112" s="897"/>
      <c r="J112" s="208">
        <v>126.78</v>
      </c>
      <c r="K112" s="323">
        <v>141.274</v>
      </c>
      <c r="T112" s="39"/>
      <c r="U112" s="359"/>
      <c r="V112" s="317"/>
    </row>
    <row r="113" spans="8:22" ht="15" customHeight="1">
      <c r="H113" s="894">
        <v>42108</v>
      </c>
      <c r="I113" s="895"/>
      <c r="J113" s="205">
        <v>126.3</v>
      </c>
      <c r="K113" s="319">
        <v>141.20699999999999</v>
      </c>
      <c r="T113" s="39"/>
      <c r="U113" s="359"/>
      <c r="V113" s="317"/>
    </row>
    <row r="114" spans="8:22" ht="15" customHeight="1">
      <c r="H114" s="896">
        <v>42107</v>
      </c>
      <c r="I114" s="897"/>
      <c r="J114" s="208">
        <v>126.85</v>
      </c>
      <c r="K114" s="323">
        <v>140.84100000000001</v>
      </c>
      <c r="T114" s="39"/>
      <c r="U114" s="359"/>
      <c r="V114" s="317"/>
    </row>
    <row r="115" spans="8:22" ht="15" customHeight="1">
      <c r="H115" s="894">
        <v>42104</v>
      </c>
      <c r="I115" s="895"/>
      <c r="J115" s="205">
        <v>127.1</v>
      </c>
      <c r="K115" s="319">
        <v>140.84100000000001</v>
      </c>
      <c r="T115" s="39"/>
      <c r="U115" s="359"/>
      <c r="V115" s="317"/>
    </row>
    <row r="116" spans="8:22" ht="15" customHeight="1">
      <c r="H116" s="896">
        <v>42103</v>
      </c>
      <c r="I116" s="897"/>
      <c r="J116" s="208">
        <v>126.56</v>
      </c>
      <c r="K116" s="323">
        <v>140.44</v>
      </c>
      <c r="T116" s="39"/>
      <c r="U116" s="359"/>
      <c r="V116" s="317"/>
    </row>
    <row r="117" spans="8:22" ht="15" customHeight="1">
      <c r="H117" s="894">
        <v>42102</v>
      </c>
      <c r="I117" s="895"/>
      <c r="J117" s="205">
        <v>125.6</v>
      </c>
      <c r="K117" s="319">
        <v>140.321</v>
      </c>
      <c r="T117" s="39"/>
      <c r="U117" s="359"/>
      <c r="V117" s="317"/>
    </row>
    <row r="118" spans="8:22" ht="15" customHeight="1">
      <c r="H118" s="896">
        <v>42101</v>
      </c>
      <c r="I118" s="897"/>
      <c r="J118" s="208">
        <v>126.01</v>
      </c>
      <c r="K118" s="323">
        <v>140.321</v>
      </c>
      <c r="T118" s="39"/>
      <c r="U118" s="359"/>
      <c r="V118" s="317"/>
    </row>
    <row r="119" spans="8:22" ht="15" customHeight="1">
      <c r="H119" s="894">
        <v>42100</v>
      </c>
      <c r="I119" s="895"/>
      <c r="J119" s="205">
        <v>127.35</v>
      </c>
      <c r="K119" s="319">
        <v>140.321</v>
      </c>
      <c r="T119" s="39"/>
      <c r="U119" s="359"/>
      <c r="V119" s="317"/>
    </row>
    <row r="120" spans="8:22" ht="15" customHeight="1">
      <c r="H120" s="896">
        <v>42097</v>
      </c>
      <c r="I120" s="897"/>
      <c r="J120" s="208">
        <v>125.32</v>
      </c>
      <c r="K120" s="323">
        <v>140.321</v>
      </c>
      <c r="T120" s="39"/>
      <c r="U120" s="359"/>
      <c r="V120" s="317"/>
    </row>
    <row r="121" spans="8:22" ht="15" customHeight="1">
      <c r="H121" s="894">
        <v>42096</v>
      </c>
      <c r="I121" s="895"/>
      <c r="J121" s="205">
        <v>125.32</v>
      </c>
      <c r="K121" s="319">
        <v>140.321</v>
      </c>
      <c r="T121" s="39"/>
      <c r="U121" s="359"/>
      <c r="V121" s="317"/>
    </row>
    <row r="122" spans="8:22" ht="15" customHeight="1">
      <c r="H122" s="896">
        <v>42095</v>
      </c>
      <c r="I122" s="897"/>
      <c r="J122" s="208">
        <v>124.25</v>
      </c>
      <c r="K122" s="323">
        <v>140.321</v>
      </c>
      <c r="T122" s="39"/>
      <c r="U122" s="359"/>
      <c r="V122" s="317"/>
    </row>
    <row r="123" spans="8:22" ht="15" customHeight="1">
      <c r="H123" s="894">
        <v>42094</v>
      </c>
      <c r="I123" s="895"/>
      <c r="J123" s="205">
        <v>124.43</v>
      </c>
      <c r="K123" s="319">
        <v>140.779</v>
      </c>
      <c r="T123" s="39"/>
      <c r="U123" s="359"/>
      <c r="V123" s="317"/>
    </row>
    <row r="124" spans="8:22" ht="15" customHeight="1">
      <c r="H124" s="896">
        <v>42093</v>
      </c>
      <c r="I124" s="897"/>
      <c r="J124" s="208">
        <v>126.37</v>
      </c>
      <c r="K124" s="323">
        <v>140.733</v>
      </c>
      <c r="T124" s="39"/>
      <c r="U124" s="359"/>
      <c r="V124" s="317"/>
    </row>
    <row r="125" spans="8:22" ht="15" customHeight="1">
      <c r="H125" s="894">
        <v>42090</v>
      </c>
      <c r="I125" s="895"/>
      <c r="J125" s="205">
        <v>123.25</v>
      </c>
      <c r="K125" s="319">
        <v>140.733</v>
      </c>
      <c r="T125" s="39"/>
      <c r="U125" s="359"/>
      <c r="V125" s="317"/>
    </row>
    <row r="126" spans="8:22" ht="15" customHeight="1">
      <c r="H126" s="896">
        <v>42089</v>
      </c>
      <c r="I126" s="897"/>
      <c r="J126" s="208">
        <v>124.24</v>
      </c>
      <c r="K126" s="323">
        <v>140.94300000000001</v>
      </c>
      <c r="T126" s="39"/>
      <c r="U126" s="359"/>
      <c r="V126" s="317"/>
    </row>
    <row r="127" spans="8:22" ht="15" customHeight="1">
      <c r="H127" s="894">
        <v>42088</v>
      </c>
      <c r="I127" s="895"/>
      <c r="J127" s="205">
        <v>123.38</v>
      </c>
      <c r="K127" s="319">
        <v>140.83000000000001</v>
      </c>
      <c r="T127" s="39"/>
      <c r="U127" s="359"/>
      <c r="V127" s="317"/>
    </row>
    <row r="128" spans="8:22" ht="15" customHeight="1">
      <c r="H128" s="896">
        <v>42087</v>
      </c>
      <c r="I128" s="897"/>
      <c r="J128" s="208">
        <v>126.69</v>
      </c>
      <c r="K128" s="323">
        <v>140.83000000000001</v>
      </c>
      <c r="T128" s="39"/>
      <c r="U128" s="359"/>
      <c r="V128" s="317"/>
    </row>
    <row r="129" spans="8:22" ht="15" customHeight="1">
      <c r="H129" s="894">
        <v>42086</v>
      </c>
      <c r="I129" s="895"/>
      <c r="J129" s="205">
        <v>127.21</v>
      </c>
      <c r="K129" s="319">
        <v>140.83000000000001</v>
      </c>
      <c r="T129" s="39"/>
      <c r="U129" s="359"/>
      <c r="V129" s="317"/>
    </row>
    <row r="130" spans="8:22" ht="15" customHeight="1">
      <c r="H130" s="896">
        <v>42083</v>
      </c>
      <c r="I130" s="897"/>
      <c r="J130" s="208">
        <v>125.9</v>
      </c>
      <c r="K130" s="323">
        <v>139.511</v>
      </c>
      <c r="T130" s="39"/>
      <c r="U130" s="359"/>
      <c r="V130" s="317"/>
    </row>
    <row r="131" spans="8:22" ht="15" customHeight="1">
      <c r="H131" s="894">
        <v>42082</v>
      </c>
      <c r="I131" s="895"/>
      <c r="J131" s="205">
        <v>127.495</v>
      </c>
      <c r="K131" s="319">
        <v>139.511</v>
      </c>
      <c r="T131" s="39"/>
      <c r="U131" s="359"/>
      <c r="V131" s="317"/>
    </row>
    <row r="132" spans="8:22" ht="15" customHeight="1">
      <c r="H132" s="896">
        <v>42081</v>
      </c>
      <c r="I132" s="897"/>
      <c r="J132" s="208">
        <v>128.47</v>
      </c>
      <c r="K132" s="323">
        <v>139.511</v>
      </c>
      <c r="T132" s="39"/>
      <c r="U132" s="359"/>
      <c r="V132" s="317"/>
    </row>
    <row r="133" spans="8:22" ht="15" customHeight="1">
      <c r="H133" s="894">
        <v>42080</v>
      </c>
      <c r="I133" s="895"/>
      <c r="J133" s="205">
        <v>127.04</v>
      </c>
      <c r="K133" s="319">
        <v>139.511</v>
      </c>
      <c r="T133" s="39"/>
      <c r="U133" s="359"/>
      <c r="V133" s="317"/>
    </row>
    <row r="134" spans="8:22" ht="15" customHeight="1">
      <c r="H134" s="896">
        <v>42079</v>
      </c>
      <c r="I134" s="897"/>
      <c r="J134" s="208">
        <v>124.95</v>
      </c>
      <c r="K134" s="323">
        <v>139.375</v>
      </c>
      <c r="T134" s="39"/>
      <c r="U134" s="359"/>
      <c r="V134" s="317"/>
    </row>
    <row r="135" spans="8:22" ht="15" customHeight="1">
      <c r="H135" s="894">
        <v>42076</v>
      </c>
      <c r="I135" s="895"/>
      <c r="J135" s="205">
        <v>123.59</v>
      </c>
      <c r="K135" s="319">
        <v>139.375</v>
      </c>
      <c r="T135" s="39"/>
      <c r="U135" s="359"/>
      <c r="V135" s="317"/>
    </row>
    <row r="136" spans="8:22" ht="15" customHeight="1">
      <c r="H136" s="896">
        <v>42075</v>
      </c>
      <c r="I136" s="897"/>
      <c r="J136" s="208">
        <v>124.45</v>
      </c>
      <c r="K136" s="323">
        <v>139.05600000000001</v>
      </c>
      <c r="T136" s="39"/>
      <c r="U136" s="359"/>
      <c r="V136" s="317"/>
    </row>
    <row r="137" spans="8:22" ht="15" customHeight="1">
      <c r="H137" s="894">
        <v>42074</v>
      </c>
      <c r="I137" s="895"/>
      <c r="J137" s="205">
        <v>122.24</v>
      </c>
      <c r="K137" s="319">
        <v>138.5</v>
      </c>
      <c r="T137" s="39"/>
      <c r="U137" s="359"/>
      <c r="V137" s="317"/>
    </row>
    <row r="138" spans="8:22" ht="15" customHeight="1">
      <c r="H138" s="896">
        <v>42073</v>
      </c>
      <c r="I138" s="897"/>
      <c r="J138" s="208">
        <v>124.51</v>
      </c>
      <c r="K138" s="323">
        <v>138.5</v>
      </c>
      <c r="T138" s="39"/>
      <c r="U138" s="359"/>
      <c r="V138" s="317"/>
    </row>
    <row r="139" spans="8:22" ht="15" customHeight="1">
      <c r="H139" s="894">
        <v>42072</v>
      </c>
      <c r="I139" s="895"/>
      <c r="J139" s="205">
        <v>127.14</v>
      </c>
      <c r="K139" s="319">
        <v>137.42400000000001</v>
      </c>
      <c r="T139" s="39"/>
      <c r="U139" s="359"/>
      <c r="V139" s="317"/>
    </row>
    <row r="140" spans="8:22" ht="15" customHeight="1">
      <c r="H140" s="896">
        <v>42069</v>
      </c>
      <c r="I140" s="897"/>
      <c r="J140" s="208">
        <v>126.6</v>
      </c>
      <c r="K140" s="323">
        <v>136.489</v>
      </c>
      <c r="T140" s="39"/>
      <c r="U140" s="359"/>
      <c r="V140" s="317"/>
    </row>
    <row r="141" spans="8:22" ht="15" customHeight="1">
      <c r="H141" s="894">
        <v>42068</v>
      </c>
      <c r="I141" s="895"/>
      <c r="J141" s="205">
        <v>126.41</v>
      </c>
      <c r="K141" s="319">
        <v>136.489</v>
      </c>
      <c r="T141" s="39"/>
      <c r="U141" s="359"/>
      <c r="V141" s="317"/>
    </row>
    <row r="142" spans="8:22" ht="15" customHeight="1">
      <c r="H142" s="896">
        <v>42067</v>
      </c>
      <c r="I142" s="897"/>
      <c r="J142" s="208">
        <v>128.54</v>
      </c>
      <c r="K142" s="323">
        <v>136.489</v>
      </c>
      <c r="T142" s="39"/>
      <c r="U142" s="359"/>
      <c r="V142" s="317"/>
    </row>
    <row r="143" spans="8:22" ht="15" customHeight="1">
      <c r="H143" s="894">
        <v>42066</v>
      </c>
      <c r="I143" s="895"/>
      <c r="J143" s="205">
        <v>129.36000000000001</v>
      </c>
      <c r="K143" s="319">
        <v>136.489</v>
      </c>
      <c r="T143" s="39"/>
      <c r="U143" s="359"/>
      <c r="V143" s="317"/>
    </row>
    <row r="144" spans="8:22" ht="15" customHeight="1">
      <c r="H144" s="896">
        <v>42065</v>
      </c>
      <c r="I144" s="897"/>
      <c r="J144" s="208">
        <v>129.09</v>
      </c>
      <c r="K144" s="323">
        <v>135.946</v>
      </c>
      <c r="T144" s="39"/>
      <c r="U144" s="359"/>
      <c r="V144" s="317"/>
    </row>
    <row r="145" spans="8:22" ht="15" customHeight="1">
      <c r="H145" s="894">
        <v>42062</v>
      </c>
      <c r="I145" s="895"/>
      <c r="J145" s="205">
        <v>128.46</v>
      </c>
      <c r="K145" s="319">
        <v>135.35900000000001</v>
      </c>
      <c r="T145" s="39"/>
      <c r="U145" s="359"/>
      <c r="V145" s="317"/>
    </row>
    <row r="146" spans="8:22" ht="15" customHeight="1">
      <c r="H146" s="896">
        <v>42061</v>
      </c>
      <c r="I146" s="897"/>
      <c r="J146" s="208">
        <v>130.41499999999999</v>
      </c>
      <c r="K146" s="323">
        <v>135.35900000000001</v>
      </c>
      <c r="T146" s="39"/>
      <c r="U146" s="359"/>
      <c r="V146" s="317"/>
    </row>
    <row r="147" spans="8:22" ht="15" customHeight="1">
      <c r="H147" s="894">
        <v>42060</v>
      </c>
      <c r="I147" s="895"/>
      <c r="J147" s="205">
        <v>128.79</v>
      </c>
      <c r="K147" s="319">
        <v>135.35900000000001</v>
      </c>
      <c r="T147" s="39"/>
      <c r="U147" s="359"/>
      <c r="V147" s="317"/>
    </row>
    <row r="148" spans="8:22" ht="15" customHeight="1">
      <c r="H148" s="896">
        <v>42059</v>
      </c>
      <c r="I148" s="897"/>
      <c r="J148" s="208">
        <v>132.16999999999999</v>
      </c>
      <c r="K148" s="323">
        <v>135.35900000000001</v>
      </c>
      <c r="T148" s="39"/>
      <c r="U148" s="359"/>
      <c r="V148" s="317"/>
    </row>
    <row r="149" spans="8:22" ht="15" customHeight="1">
      <c r="H149" s="894">
        <v>42058</v>
      </c>
      <c r="I149" s="895"/>
      <c r="J149" s="205">
        <v>133</v>
      </c>
      <c r="K149" s="319">
        <v>134.92400000000001</v>
      </c>
      <c r="T149" s="39"/>
      <c r="U149" s="359"/>
      <c r="V149" s="317"/>
    </row>
    <row r="150" spans="8:22" ht="15" customHeight="1">
      <c r="H150" s="896">
        <v>42055</v>
      </c>
      <c r="I150" s="897"/>
      <c r="J150" s="208">
        <v>129.495</v>
      </c>
      <c r="K150" s="323">
        <v>134.911</v>
      </c>
      <c r="T150" s="39"/>
      <c r="U150" s="359"/>
      <c r="V150" s="317"/>
    </row>
    <row r="151" spans="8:22" ht="15" customHeight="1">
      <c r="H151" s="894">
        <v>42054</v>
      </c>
      <c r="I151" s="895"/>
      <c r="J151" s="205">
        <v>128.44999999999999</v>
      </c>
      <c r="K151" s="319">
        <v>134.911</v>
      </c>
      <c r="T151" s="39"/>
      <c r="U151" s="359"/>
      <c r="V151" s="317"/>
    </row>
    <row r="152" spans="8:22" ht="15" customHeight="1">
      <c r="H152" s="896">
        <v>42053</v>
      </c>
      <c r="I152" s="897"/>
      <c r="J152" s="208">
        <v>128.715</v>
      </c>
      <c r="K152" s="323">
        <v>134.35599999999999</v>
      </c>
      <c r="T152" s="39"/>
      <c r="U152" s="359"/>
      <c r="V152" s="317"/>
    </row>
    <row r="153" spans="8:22" ht="15" customHeight="1">
      <c r="H153" s="894">
        <v>42052</v>
      </c>
      <c r="I153" s="895"/>
      <c r="J153" s="205">
        <v>127.83</v>
      </c>
      <c r="K153" s="319">
        <v>134.35599999999999</v>
      </c>
      <c r="T153" s="39"/>
      <c r="U153" s="359"/>
      <c r="V153" s="317"/>
    </row>
    <row r="154" spans="8:22" ht="15" customHeight="1">
      <c r="H154" s="896">
        <v>42051</v>
      </c>
      <c r="I154" s="897"/>
      <c r="J154" s="208">
        <v>127.08</v>
      </c>
      <c r="K154" s="323">
        <v>134.35599999999999</v>
      </c>
      <c r="T154" s="39"/>
      <c r="U154" s="359"/>
      <c r="V154" s="317"/>
    </row>
    <row r="155" spans="8:22" ht="15" customHeight="1">
      <c r="H155" s="894">
        <v>42048</v>
      </c>
      <c r="I155" s="895"/>
      <c r="J155" s="205">
        <v>127.08</v>
      </c>
      <c r="K155" s="319">
        <v>133.80000000000001</v>
      </c>
      <c r="T155" s="39"/>
      <c r="U155" s="359"/>
      <c r="V155" s="317"/>
    </row>
    <row r="156" spans="8:22" ht="15" customHeight="1">
      <c r="H156" s="896">
        <v>42047</v>
      </c>
      <c r="I156" s="897"/>
      <c r="J156" s="208">
        <v>126.46</v>
      </c>
      <c r="K156" s="323">
        <v>133.35599999999999</v>
      </c>
      <c r="T156" s="39"/>
      <c r="U156" s="359"/>
      <c r="V156" s="317"/>
    </row>
    <row r="157" spans="8:22" ht="15" customHeight="1">
      <c r="H157" s="894">
        <v>42046</v>
      </c>
      <c r="I157" s="895"/>
      <c r="J157" s="205">
        <v>124.88</v>
      </c>
      <c r="K157" s="319">
        <v>132.39099999999999</v>
      </c>
      <c r="T157" s="39"/>
      <c r="U157" s="359"/>
      <c r="V157" s="317"/>
    </row>
    <row r="158" spans="8:22" ht="15" customHeight="1">
      <c r="H158" s="896">
        <v>42045</v>
      </c>
      <c r="I158" s="897"/>
      <c r="J158" s="208">
        <v>122.02</v>
      </c>
      <c r="K158" s="323">
        <v>132.28299999999999</v>
      </c>
      <c r="T158" s="39"/>
      <c r="U158" s="359"/>
      <c r="V158" s="317"/>
    </row>
    <row r="159" spans="8:22" ht="15" customHeight="1">
      <c r="H159" s="894">
        <v>42044</v>
      </c>
      <c r="I159" s="895"/>
      <c r="J159" s="205">
        <v>119.72</v>
      </c>
      <c r="K159" s="319">
        <v>132.28299999999999</v>
      </c>
      <c r="T159" s="39"/>
      <c r="U159" s="359"/>
      <c r="V159" s="317"/>
    </row>
    <row r="160" spans="8:22" ht="15" customHeight="1">
      <c r="H160" s="896">
        <v>42041</v>
      </c>
      <c r="I160" s="897"/>
      <c r="J160" s="208">
        <v>118.93</v>
      </c>
      <c r="K160" s="323">
        <v>131.84800000000001</v>
      </c>
      <c r="T160" s="39"/>
      <c r="U160" s="359"/>
      <c r="V160" s="317"/>
    </row>
    <row r="161" spans="8:22" ht="15" customHeight="1">
      <c r="H161" s="894">
        <v>42040</v>
      </c>
      <c r="I161" s="895"/>
      <c r="J161" s="205">
        <v>119.94</v>
      </c>
      <c r="K161" s="319">
        <v>131.84800000000001</v>
      </c>
      <c r="T161" s="39"/>
      <c r="U161" s="359"/>
      <c r="V161" s="317"/>
    </row>
    <row r="162" spans="8:22" ht="15" customHeight="1">
      <c r="H162" s="896">
        <v>42039</v>
      </c>
      <c r="I162" s="897"/>
      <c r="J162" s="208">
        <v>119.56</v>
      </c>
      <c r="K162" s="323">
        <v>131.46700000000001</v>
      </c>
      <c r="T162" s="39"/>
      <c r="U162" s="359"/>
      <c r="V162" s="317"/>
    </row>
    <row r="163" spans="8:22" ht="15" customHeight="1">
      <c r="H163" s="894">
        <v>42038</v>
      </c>
      <c r="I163" s="895"/>
      <c r="J163" s="205">
        <v>118.65</v>
      </c>
      <c r="K163" s="319">
        <v>131.46700000000001</v>
      </c>
      <c r="T163" s="39"/>
      <c r="U163" s="359"/>
      <c r="V163" s="317"/>
    </row>
    <row r="164" spans="8:22" ht="15" customHeight="1">
      <c r="H164" s="896">
        <v>42037</v>
      </c>
      <c r="I164" s="897"/>
      <c r="J164" s="208">
        <v>118.63</v>
      </c>
      <c r="K164" s="323">
        <v>131.04300000000001</v>
      </c>
      <c r="T164" s="39"/>
      <c r="U164" s="359"/>
      <c r="V164" s="317"/>
    </row>
    <row r="165" spans="8:22" ht="15" customHeight="1">
      <c r="H165" s="894">
        <v>42034</v>
      </c>
      <c r="I165" s="895"/>
      <c r="J165" s="205">
        <v>117.16</v>
      </c>
      <c r="K165" s="319">
        <v>130.702</v>
      </c>
      <c r="T165" s="39"/>
      <c r="U165" s="359"/>
      <c r="V165" s="317"/>
    </row>
    <row r="166" spans="8:22" ht="15" customHeight="1">
      <c r="H166" s="896">
        <v>42033</v>
      </c>
      <c r="I166" s="897"/>
      <c r="J166" s="208">
        <v>118.9</v>
      </c>
      <c r="K166" s="323">
        <v>130.38300000000001</v>
      </c>
      <c r="T166" s="39"/>
      <c r="U166" s="359"/>
      <c r="V166" s="317"/>
    </row>
    <row r="167" spans="8:22" ht="15" customHeight="1">
      <c r="H167" s="894">
        <v>42032</v>
      </c>
      <c r="I167" s="895"/>
      <c r="J167" s="205">
        <v>115.31</v>
      </c>
      <c r="K167" s="319">
        <v>129.64599999999999</v>
      </c>
      <c r="T167" s="39"/>
      <c r="U167" s="359"/>
      <c r="V167" s="317"/>
    </row>
    <row r="168" spans="8:22" ht="15" customHeight="1">
      <c r="H168" s="896">
        <v>42031</v>
      </c>
      <c r="I168" s="897"/>
      <c r="J168" s="208">
        <v>109.14</v>
      </c>
      <c r="K168" s="323">
        <v>124.429</v>
      </c>
      <c r="T168" s="39"/>
      <c r="U168" s="359"/>
      <c r="V168" s="317"/>
    </row>
    <row r="169" spans="8:22" ht="15" customHeight="1">
      <c r="H169" s="894">
        <v>42030</v>
      </c>
      <c r="I169" s="895"/>
      <c r="J169" s="205">
        <v>113.1</v>
      </c>
      <c r="K169" s="319">
        <v>123.791</v>
      </c>
      <c r="T169" s="39"/>
      <c r="U169" s="359"/>
      <c r="V169" s="317"/>
    </row>
    <row r="170" spans="8:22" ht="15" customHeight="1">
      <c r="H170" s="896">
        <v>42027</v>
      </c>
      <c r="I170" s="897"/>
      <c r="J170" s="208">
        <v>112.98</v>
      </c>
      <c r="K170" s="323">
        <v>124.071</v>
      </c>
      <c r="T170" s="39"/>
      <c r="U170" s="359"/>
      <c r="V170" s="317"/>
    </row>
    <row r="171" spans="8:22" ht="15" customHeight="1">
      <c r="H171" s="894">
        <v>42026</v>
      </c>
      <c r="I171" s="895"/>
      <c r="J171" s="205">
        <v>112.4</v>
      </c>
      <c r="K171" s="319">
        <v>124</v>
      </c>
      <c r="T171" s="39"/>
      <c r="U171" s="359"/>
      <c r="V171" s="317"/>
    </row>
    <row r="172" spans="8:22" ht="15" customHeight="1">
      <c r="H172" s="896">
        <v>42025</v>
      </c>
      <c r="I172" s="897"/>
      <c r="J172" s="208">
        <v>109.55</v>
      </c>
      <c r="K172" s="323">
        <v>123.553</v>
      </c>
      <c r="T172" s="39"/>
      <c r="U172" s="359"/>
      <c r="V172" s="317"/>
    </row>
    <row r="173" spans="8:22" ht="15" customHeight="1">
      <c r="H173" s="894">
        <v>42024</v>
      </c>
      <c r="I173" s="895"/>
      <c r="J173" s="205">
        <v>108.72</v>
      </c>
      <c r="K173" s="319">
        <v>123.553</v>
      </c>
      <c r="T173" s="39"/>
      <c r="U173" s="359"/>
      <c r="V173" s="317"/>
    </row>
    <row r="174" spans="8:22" ht="15" customHeight="1">
      <c r="H174" s="896">
        <v>42023</v>
      </c>
      <c r="I174" s="897"/>
      <c r="J174" s="208">
        <v>105.99</v>
      </c>
      <c r="K174" s="323">
        <v>123.413</v>
      </c>
      <c r="T174" s="39"/>
      <c r="U174" s="359"/>
      <c r="V174" s="317"/>
    </row>
    <row r="175" spans="8:22" ht="15" customHeight="1">
      <c r="H175" s="894">
        <v>42020</v>
      </c>
      <c r="I175" s="895"/>
      <c r="J175" s="205">
        <v>105.99</v>
      </c>
      <c r="K175" s="319">
        <v>123.413</v>
      </c>
      <c r="T175" s="39"/>
      <c r="U175" s="359"/>
      <c r="V175" s="317"/>
    </row>
    <row r="176" spans="8:22" ht="15" customHeight="1">
      <c r="H176" s="896">
        <v>42019</v>
      </c>
      <c r="I176" s="897"/>
      <c r="J176" s="208">
        <v>106.82</v>
      </c>
      <c r="K176" s="323">
        <v>123.02200000000001</v>
      </c>
      <c r="T176" s="39"/>
      <c r="U176" s="359"/>
      <c r="V176" s="317"/>
    </row>
    <row r="177" spans="8:22" ht="15" customHeight="1">
      <c r="H177" s="894">
        <v>42018</v>
      </c>
      <c r="I177" s="895"/>
      <c r="J177" s="205">
        <v>109.8</v>
      </c>
      <c r="K177" s="319">
        <v>123.02200000000001</v>
      </c>
      <c r="T177" s="39"/>
      <c r="U177" s="359"/>
      <c r="V177" s="317"/>
    </row>
    <row r="178" spans="8:22" ht="15" customHeight="1">
      <c r="H178" s="896">
        <v>42017</v>
      </c>
      <c r="I178" s="897"/>
      <c r="J178" s="208">
        <v>110.22</v>
      </c>
      <c r="K178" s="323">
        <v>123.02200000000001</v>
      </c>
      <c r="T178" s="39"/>
      <c r="U178" s="359"/>
      <c r="V178" s="317"/>
    </row>
    <row r="179" spans="8:22" ht="15" customHeight="1">
      <c r="H179" s="894">
        <v>42016</v>
      </c>
      <c r="I179" s="895"/>
      <c r="J179" s="205">
        <v>109.25</v>
      </c>
      <c r="K179" s="319">
        <v>122.587</v>
      </c>
      <c r="T179" s="39"/>
      <c r="U179" s="359"/>
      <c r="V179" s="317"/>
    </row>
    <row r="180" spans="8:22" ht="15" customHeight="1">
      <c r="H180" s="896">
        <v>42013</v>
      </c>
      <c r="I180" s="897"/>
      <c r="J180" s="208">
        <v>112.01</v>
      </c>
      <c r="K180" s="323">
        <v>122.587</v>
      </c>
      <c r="T180" s="39"/>
      <c r="U180" s="359"/>
      <c r="V180" s="317"/>
    </row>
    <row r="181" spans="8:22" ht="15" customHeight="1">
      <c r="H181" s="894">
        <v>42012</v>
      </c>
      <c r="I181" s="895"/>
      <c r="J181" s="205">
        <v>111.89</v>
      </c>
      <c r="K181" s="319">
        <v>122.54300000000001</v>
      </c>
      <c r="T181" s="39"/>
      <c r="U181" s="359"/>
      <c r="V181" s="317"/>
    </row>
    <row r="182" spans="8:22" ht="15" customHeight="1">
      <c r="H182" s="896">
        <v>42011</v>
      </c>
      <c r="I182" s="897"/>
      <c r="J182" s="208">
        <v>107.75</v>
      </c>
      <c r="K182" s="323">
        <v>122.54300000000001</v>
      </c>
      <c r="T182" s="39"/>
      <c r="U182" s="359"/>
      <c r="V182" s="317"/>
    </row>
    <row r="183" spans="8:22" ht="15" customHeight="1">
      <c r="H183" s="894">
        <v>42010</v>
      </c>
      <c r="I183" s="895"/>
      <c r="J183" s="205">
        <v>106.26</v>
      </c>
      <c r="K183" s="319">
        <v>122.596</v>
      </c>
      <c r="T183" s="39"/>
      <c r="U183" s="359"/>
      <c r="V183" s="317"/>
    </row>
    <row r="184" spans="8:22" ht="15" customHeight="1">
      <c r="H184" s="896">
        <v>42009</v>
      </c>
      <c r="I184" s="897"/>
      <c r="J184" s="208">
        <v>106.25</v>
      </c>
      <c r="K184" s="323">
        <v>122.596</v>
      </c>
      <c r="T184" s="39"/>
      <c r="U184" s="359"/>
      <c r="V184" s="317"/>
    </row>
    <row r="185" spans="8:22" ht="15" customHeight="1">
      <c r="H185" s="894">
        <v>42006</v>
      </c>
      <c r="I185" s="895"/>
      <c r="J185" s="205">
        <v>109.33</v>
      </c>
      <c r="K185" s="319">
        <v>122.596</v>
      </c>
      <c r="T185" s="39"/>
      <c r="U185" s="359"/>
      <c r="V185" s="317"/>
    </row>
    <row r="186" spans="8:22" ht="15" customHeight="1">
      <c r="H186" s="896">
        <v>42005</v>
      </c>
      <c r="I186" s="897"/>
      <c r="J186" s="208">
        <v>110.38</v>
      </c>
      <c r="K186" s="323">
        <v>122.489</v>
      </c>
      <c r="T186" s="39"/>
      <c r="U186" s="359"/>
      <c r="V186" s="317"/>
    </row>
    <row r="187" spans="8:22" ht="15" customHeight="1">
      <c r="H187" s="894">
        <v>42004</v>
      </c>
      <c r="I187" s="895"/>
      <c r="J187" s="205">
        <v>110.38</v>
      </c>
      <c r="K187" s="319">
        <v>122.489</v>
      </c>
      <c r="T187" s="39"/>
      <c r="U187" s="359"/>
      <c r="V187" s="317"/>
    </row>
    <row r="188" spans="8:22" ht="15" customHeight="1">
      <c r="H188" s="896">
        <v>42003</v>
      </c>
      <c r="I188" s="897"/>
      <c r="J188" s="208">
        <v>112.52</v>
      </c>
      <c r="K188" s="323">
        <v>122.489</v>
      </c>
      <c r="T188" s="39"/>
      <c r="U188" s="359"/>
      <c r="V188" s="317"/>
    </row>
    <row r="189" spans="8:22" ht="15" customHeight="1">
      <c r="H189" s="894">
        <v>42002</v>
      </c>
      <c r="I189" s="895"/>
      <c r="J189" s="205">
        <v>113.91</v>
      </c>
      <c r="K189" s="319">
        <v>122.489</v>
      </c>
      <c r="T189" s="39"/>
      <c r="U189" s="359"/>
      <c r="V189" s="317"/>
    </row>
    <row r="190" spans="8:22" ht="15" customHeight="1">
      <c r="H190" s="896">
        <v>41999</v>
      </c>
      <c r="I190" s="897"/>
      <c r="J190" s="208">
        <v>113.99</v>
      </c>
      <c r="K190" s="323">
        <v>122.489</v>
      </c>
      <c r="T190" s="39"/>
      <c r="U190" s="359"/>
      <c r="V190" s="317"/>
    </row>
    <row r="191" spans="8:22" ht="15" customHeight="1">
      <c r="H191" s="894">
        <v>41998</v>
      </c>
      <c r="I191" s="895"/>
      <c r="J191" s="205">
        <v>112.01</v>
      </c>
      <c r="K191" s="319">
        <v>122.761</v>
      </c>
      <c r="T191" s="39"/>
      <c r="U191" s="359"/>
      <c r="V191" s="317"/>
    </row>
    <row r="192" spans="8:22" ht="15" customHeight="1">
      <c r="H192" s="896">
        <v>41997</v>
      </c>
      <c r="I192" s="897"/>
      <c r="J192" s="208">
        <v>112.01</v>
      </c>
      <c r="K192" s="323">
        <v>122.761</v>
      </c>
      <c r="T192" s="39"/>
      <c r="U192" s="359"/>
      <c r="V192" s="317"/>
    </row>
    <row r="193" spans="8:22" ht="15" customHeight="1">
      <c r="H193" s="894">
        <v>41996</v>
      </c>
      <c r="I193" s="895"/>
      <c r="J193" s="205">
        <v>112.54</v>
      </c>
      <c r="K193" s="319">
        <v>122.761</v>
      </c>
      <c r="T193" s="39"/>
      <c r="U193" s="359"/>
      <c r="V193" s="317"/>
    </row>
    <row r="194" spans="8:22" ht="15" customHeight="1">
      <c r="H194" s="896">
        <v>41995</v>
      </c>
      <c r="I194" s="897"/>
      <c r="J194" s="208">
        <v>112.94</v>
      </c>
      <c r="K194" s="323">
        <v>122.761</v>
      </c>
      <c r="T194" s="39"/>
      <c r="U194" s="359"/>
      <c r="V194" s="317"/>
    </row>
    <row r="195" spans="8:22" ht="15" customHeight="1">
      <c r="H195" s="894">
        <v>41992</v>
      </c>
      <c r="I195" s="895"/>
      <c r="J195" s="205">
        <v>111.78</v>
      </c>
      <c r="K195" s="319">
        <v>122.91500000000001</v>
      </c>
      <c r="T195" s="39"/>
      <c r="U195" s="359"/>
      <c r="V195" s="317"/>
    </row>
    <row r="196" spans="8:22" ht="15" customHeight="1">
      <c r="H196" s="896">
        <v>41991</v>
      </c>
      <c r="I196" s="897"/>
      <c r="J196" s="208">
        <v>112.65</v>
      </c>
      <c r="K196" s="323">
        <v>122.83</v>
      </c>
      <c r="T196" s="39"/>
      <c r="U196" s="359"/>
      <c r="V196" s="317"/>
    </row>
    <row r="197" spans="8:22" ht="15" customHeight="1">
      <c r="H197" s="894">
        <v>41990</v>
      </c>
      <c r="I197" s="895"/>
      <c r="J197" s="205">
        <v>109.41</v>
      </c>
      <c r="K197" s="319">
        <v>122.83</v>
      </c>
      <c r="T197" s="39"/>
      <c r="U197" s="359"/>
      <c r="V197" s="317"/>
    </row>
    <row r="198" spans="8:22" ht="15" customHeight="1">
      <c r="H198" s="896">
        <v>41989</v>
      </c>
      <c r="I198" s="897"/>
      <c r="J198" s="208">
        <v>106.745</v>
      </c>
      <c r="K198" s="323">
        <v>122.83</v>
      </c>
      <c r="T198" s="39"/>
      <c r="U198" s="359"/>
      <c r="V198" s="317"/>
    </row>
    <row r="199" spans="8:22" ht="15" customHeight="1">
      <c r="H199" s="894">
        <v>41988</v>
      </c>
      <c r="I199" s="895"/>
      <c r="J199" s="205">
        <v>108.22499999999999</v>
      </c>
      <c r="K199" s="319">
        <v>122.83</v>
      </c>
      <c r="T199" s="39"/>
      <c r="U199" s="359"/>
      <c r="V199" s="317"/>
    </row>
    <row r="200" spans="8:22" ht="15" customHeight="1">
      <c r="H200" s="896">
        <v>41985</v>
      </c>
      <c r="I200" s="897"/>
      <c r="J200" s="208">
        <v>109.73</v>
      </c>
      <c r="K200" s="323">
        <v>122.83</v>
      </c>
      <c r="T200" s="39"/>
      <c r="U200" s="359"/>
      <c r="V200" s="317"/>
    </row>
    <row r="201" spans="8:22" ht="15" customHeight="1">
      <c r="H201" s="894">
        <v>41984</v>
      </c>
      <c r="I201" s="895"/>
      <c r="J201" s="205">
        <v>111.62</v>
      </c>
      <c r="K201" s="319">
        <v>122.83</v>
      </c>
      <c r="T201" s="39"/>
      <c r="U201" s="359"/>
      <c r="V201" s="317"/>
    </row>
    <row r="202" spans="8:22" ht="15" customHeight="1">
      <c r="H202" s="896">
        <v>41983</v>
      </c>
      <c r="I202" s="897"/>
      <c r="J202" s="208">
        <v>111.95</v>
      </c>
      <c r="K202" s="323">
        <v>122.83</v>
      </c>
      <c r="T202" s="39"/>
      <c r="U202" s="359"/>
      <c r="V202" s="317"/>
    </row>
    <row r="203" spans="8:22" ht="15" customHeight="1">
      <c r="H203" s="894">
        <v>41982</v>
      </c>
      <c r="I203" s="895"/>
      <c r="J203" s="205">
        <v>114.12</v>
      </c>
      <c r="K203" s="319">
        <v>122.83</v>
      </c>
      <c r="T203" s="39"/>
      <c r="U203" s="359"/>
      <c r="V203" s="317"/>
    </row>
    <row r="204" spans="8:22" ht="15" customHeight="1">
      <c r="H204" s="896">
        <v>41981</v>
      </c>
      <c r="I204" s="897"/>
      <c r="J204" s="208">
        <v>112.4</v>
      </c>
      <c r="K204" s="323">
        <v>122.83</v>
      </c>
      <c r="T204" s="39"/>
      <c r="U204" s="359"/>
      <c r="V204" s="317"/>
    </row>
    <row r="205" spans="8:22" ht="15" customHeight="1">
      <c r="H205" s="894">
        <v>41978</v>
      </c>
      <c r="I205" s="895"/>
      <c r="J205" s="205">
        <v>115</v>
      </c>
      <c r="K205" s="319">
        <v>122.298</v>
      </c>
      <c r="T205" s="39"/>
      <c r="U205" s="359"/>
      <c r="V205" s="317"/>
    </row>
    <row r="206" spans="8:22" ht="15" customHeight="1">
      <c r="H206" s="896">
        <v>41977</v>
      </c>
      <c r="I206" s="897"/>
      <c r="J206" s="208">
        <v>115.49</v>
      </c>
      <c r="K206" s="323">
        <v>122.298</v>
      </c>
      <c r="T206" s="39"/>
      <c r="U206" s="359"/>
      <c r="V206" s="317"/>
    </row>
    <row r="207" spans="8:22" ht="15" customHeight="1">
      <c r="H207" s="894">
        <v>41976</v>
      </c>
      <c r="I207" s="895"/>
      <c r="J207" s="205">
        <v>115.93</v>
      </c>
      <c r="K207" s="319">
        <v>122.298</v>
      </c>
      <c r="T207" s="39"/>
      <c r="U207" s="359"/>
      <c r="V207" s="317"/>
    </row>
    <row r="208" spans="8:22" ht="15" customHeight="1">
      <c r="H208" s="896">
        <v>41975</v>
      </c>
      <c r="I208" s="897"/>
      <c r="J208" s="208">
        <v>114.63</v>
      </c>
      <c r="K208" s="323">
        <v>121.979</v>
      </c>
      <c r="T208" s="39"/>
      <c r="U208" s="359"/>
      <c r="V208" s="317"/>
    </row>
    <row r="209" spans="8:22" ht="15" customHeight="1">
      <c r="H209" s="894">
        <v>41974</v>
      </c>
      <c r="I209" s="895"/>
      <c r="J209" s="205">
        <v>115.07</v>
      </c>
      <c r="K209" s="319">
        <v>121.76600000000001</v>
      </c>
      <c r="T209" s="39"/>
      <c r="U209" s="359"/>
      <c r="V209" s="317"/>
    </row>
    <row r="210" spans="8:22" ht="15" customHeight="1">
      <c r="H210" s="896">
        <v>41971</v>
      </c>
      <c r="I210" s="897"/>
      <c r="J210" s="208">
        <v>118.93</v>
      </c>
      <c r="K210" s="323">
        <v>120.702</v>
      </c>
      <c r="T210" s="39"/>
      <c r="U210" s="359"/>
      <c r="V210" s="317"/>
    </row>
    <row r="211" spans="8:22" ht="15" customHeight="1">
      <c r="H211" s="894">
        <v>41970</v>
      </c>
      <c r="I211" s="895"/>
      <c r="J211" s="205">
        <v>119</v>
      </c>
      <c r="K211" s="319">
        <v>120.702</v>
      </c>
      <c r="T211" s="39"/>
      <c r="U211" s="359"/>
      <c r="V211" s="317"/>
    </row>
    <row r="212" spans="8:22" ht="15" customHeight="1">
      <c r="H212" s="896">
        <v>41969</v>
      </c>
      <c r="I212" s="897"/>
      <c r="J212" s="208">
        <v>119</v>
      </c>
      <c r="K212" s="323">
        <v>120.702</v>
      </c>
      <c r="T212" s="39"/>
      <c r="U212" s="359"/>
      <c r="V212" s="317"/>
    </row>
    <row r="213" spans="8:22" ht="15" customHeight="1">
      <c r="H213" s="894">
        <v>41968</v>
      </c>
      <c r="I213" s="895"/>
      <c r="J213" s="205">
        <v>117.6</v>
      </c>
      <c r="K213" s="319">
        <v>120.34</v>
      </c>
      <c r="T213" s="39"/>
      <c r="U213" s="359"/>
      <c r="V213" s="317"/>
    </row>
    <row r="214" spans="8:22" ht="15" customHeight="1">
      <c r="H214" s="896">
        <v>41967</v>
      </c>
      <c r="I214" s="897"/>
      <c r="J214" s="208">
        <v>118.625</v>
      </c>
      <c r="K214" s="323">
        <v>120.34</v>
      </c>
      <c r="T214" s="39"/>
      <c r="U214" s="359"/>
      <c r="V214" s="317"/>
    </row>
    <row r="215" spans="8:22" ht="15" customHeight="1">
      <c r="H215" s="894">
        <v>41964</v>
      </c>
      <c r="I215" s="895"/>
      <c r="J215" s="205">
        <v>116.47</v>
      </c>
      <c r="K215" s="319">
        <v>119.702</v>
      </c>
      <c r="T215" s="39"/>
      <c r="U215" s="359"/>
      <c r="V215" s="317"/>
    </row>
    <row r="216" spans="8:22" ht="15" customHeight="1">
      <c r="H216" s="896">
        <v>41963</v>
      </c>
      <c r="I216" s="897"/>
      <c r="J216" s="208">
        <v>116.31</v>
      </c>
      <c r="K216" s="323">
        <v>119.702</v>
      </c>
      <c r="T216" s="39"/>
      <c r="U216" s="359"/>
      <c r="V216" s="317"/>
    </row>
    <row r="217" spans="8:22" ht="15" customHeight="1">
      <c r="H217" s="894">
        <v>41962</v>
      </c>
      <c r="I217" s="895"/>
      <c r="J217" s="205">
        <v>114.67</v>
      </c>
      <c r="K217" s="319">
        <v>119.383</v>
      </c>
      <c r="T217" s="39"/>
      <c r="U217" s="359"/>
      <c r="V217" s="317"/>
    </row>
    <row r="218" spans="8:22" ht="15" customHeight="1">
      <c r="H218" s="896">
        <v>41961</v>
      </c>
      <c r="I218" s="897"/>
      <c r="J218" s="208">
        <v>115.47</v>
      </c>
      <c r="K218" s="323">
        <v>118.93600000000001</v>
      </c>
      <c r="T218" s="39"/>
      <c r="U218" s="359"/>
      <c r="V218" s="317"/>
    </row>
    <row r="219" spans="8:22" ht="15" customHeight="1">
      <c r="H219" s="894">
        <v>41960</v>
      </c>
      <c r="I219" s="895"/>
      <c r="J219" s="205">
        <v>113.99</v>
      </c>
      <c r="K219" s="319">
        <v>117.60899999999999</v>
      </c>
      <c r="T219" s="39"/>
      <c r="U219" s="359"/>
      <c r="V219" s="317"/>
    </row>
    <row r="220" spans="8:22" ht="15" customHeight="1">
      <c r="H220" s="896">
        <v>41957</v>
      </c>
      <c r="I220" s="897"/>
      <c r="J220" s="208">
        <v>114.18</v>
      </c>
      <c r="K220" s="323">
        <v>117.5</v>
      </c>
      <c r="T220" s="39"/>
      <c r="U220" s="359"/>
      <c r="V220" s="317"/>
    </row>
    <row r="221" spans="8:22" ht="15" customHeight="1">
      <c r="H221" s="894">
        <v>41956</v>
      </c>
      <c r="I221" s="895"/>
      <c r="J221" s="205">
        <v>112.82</v>
      </c>
      <c r="K221" s="319">
        <v>117.5</v>
      </c>
      <c r="T221" s="39"/>
      <c r="U221" s="359"/>
      <c r="V221" s="317"/>
    </row>
    <row r="222" spans="8:22" ht="15" customHeight="1">
      <c r="H222" s="896">
        <v>41955</v>
      </c>
      <c r="I222" s="897"/>
      <c r="J222" s="208">
        <v>111.25</v>
      </c>
      <c r="K222" s="323">
        <v>117.283</v>
      </c>
      <c r="T222" s="39"/>
      <c r="U222" s="359"/>
      <c r="V222" s="317"/>
    </row>
    <row r="223" spans="8:22" ht="15" customHeight="1">
      <c r="H223" s="894">
        <v>41954</v>
      </c>
      <c r="I223" s="895"/>
      <c r="J223" s="205">
        <v>109.7</v>
      </c>
      <c r="K223" s="319">
        <v>117.283</v>
      </c>
      <c r="T223" s="39"/>
      <c r="U223" s="359"/>
      <c r="V223" s="317"/>
    </row>
    <row r="224" spans="8:22" ht="15" customHeight="1">
      <c r="H224" s="896">
        <v>41953</v>
      </c>
      <c r="I224" s="897"/>
      <c r="J224" s="208">
        <v>108.83</v>
      </c>
      <c r="K224" s="323">
        <v>117.13</v>
      </c>
      <c r="T224" s="39"/>
      <c r="U224" s="359"/>
      <c r="V224" s="317"/>
    </row>
    <row r="225" spans="8:22" ht="15" customHeight="1">
      <c r="H225" s="894">
        <v>41950</v>
      </c>
      <c r="I225" s="895"/>
      <c r="J225" s="205">
        <v>109.01</v>
      </c>
      <c r="K225" s="319">
        <v>116.913</v>
      </c>
      <c r="T225" s="39"/>
      <c r="U225" s="359"/>
      <c r="V225" s="317"/>
    </row>
    <row r="226" spans="8:22" ht="15" customHeight="1">
      <c r="H226" s="896">
        <v>41949</v>
      </c>
      <c r="I226" s="897"/>
      <c r="J226" s="208">
        <v>108.7</v>
      </c>
      <c r="K226" s="323">
        <v>116.913</v>
      </c>
      <c r="T226" s="39"/>
      <c r="U226" s="359"/>
      <c r="V226" s="317"/>
    </row>
    <row r="227" spans="8:22" ht="15" customHeight="1">
      <c r="H227" s="894">
        <v>41948</v>
      </c>
      <c r="I227" s="895"/>
      <c r="J227" s="205">
        <v>108.86</v>
      </c>
      <c r="K227" s="319">
        <v>116.913</v>
      </c>
      <c r="T227" s="39"/>
      <c r="U227" s="359"/>
      <c r="V227" s="317"/>
    </row>
    <row r="228" spans="8:22" ht="15" customHeight="1">
      <c r="H228" s="896">
        <v>41947</v>
      </c>
      <c r="I228" s="897"/>
      <c r="J228" s="208">
        <v>108.6</v>
      </c>
      <c r="K228" s="323">
        <v>116.804</v>
      </c>
      <c r="T228" s="39"/>
      <c r="U228" s="359"/>
      <c r="V228" s="317"/>
    </row>
    <row r="229" spans="8:22" ht="15" customHeight="1">
      <c r="H229" s="894">
        <v>41946</v>
      </c>
      <c r="I229" s="895"/>
      <c r="J229" s="205">
        <v>109.4</v>
      </c>
      <c r="K229" s="319">
        <v>116.804</v>
      </c>
      <c r="T229" s="39"/>
      <c r="U229" s="359"/>
      <c r="V229" s="317"/>
    </row>
    <row r="230" spans="8:22" ht="15" customHeight="1">
      <c r="H230" s="896">
        <v>41943</v>
      </c>
      <c r="I230" s="897"/>
      <c r="J230" s="208">
        <v>108</v>
      </c>
      <c r="K230" s="323">
        <v>116.804</v>
      </c>
      <c r="T230" s="39"/>
      <c r="U230" s="359"/>
      <c r="V230" s="317"/>
    </row>
    <row r="231" spans="8:22" ht="15" customHeight="1">
      <c r="H231" s="894">
        <v>41942</v>
      </c>
      <c r="I231" s="895"/>
      <c r="J231" s="205">
        <v>106.98</v>
      </c>
      <c r="K231" s="319">
        <v>116.383</v>
      </c>
      <c r="T231" s="39"/>
      <c r="U231" s="359"/>
      <c r="V231" s="317"/>
    </row>
    <row r="232" spans="8:22" ht="15" customHeight="1">
      <c r="H232" s="896">
        <v>41941</v>
      </c>
      <c r="I232" s="897"/>
      <c r="J232" s="208">
        <v>107.34</v>
      </c>
      <c r="K232" s="323">
        <v>116.383</v>
      </c>
      <c r="T232" s="39"/>
      <c r="U232" s="359"/>
      <c r="V232" s="317"/>
    </row>
    <row r="233" spans="8:22" ht="15" customHeight="1">
      <c r="H233" s="894">
        <v>41940</v>
      </c>
      <c r="I233" s="895"/>
      <c r="J233" s="205">
        <v>106.74</v>
      </c>
      <c r="K233" s="319">
        <v>116.383</v>
      </c>
      <c r="T233" s="39"/>
      <c r="U233" s="359"/>
      <c r="V233" s="317"/>
    </row>
    <row r="234" spans="8:22" ht="15" customHeight="1">
      <c r="H234" s="896">
        <v>41939</v>
      </c>
      <c r="I234" s="897"/>
      <c r="J234" s="208">
        <v>105.11</v>
      </c>
      <c r="K234" s="323">
        <v>116.149</v>
      </c>
      <c r="T234" s="39"/>
      <c r="U234" s="359"/>
      <c r="V234" s="317"/>
    </row>
    <row r="235" spans="8:22" ht="15" customHeight="1">
      <c r="H235" s="894">
        <v>41936</v>
      </c>
      <c r="I235" s="895"/>
      <c r="J235" s="205">
        <v>105.22</v>
      </c>
      <c r="K235" s="319">
        <v>116.149</v>
      </c>
      <c r="T235" s="39"/>
      <c r="U235" s="359"/>
      <c r="V235" s="317"/>
    </row>
    <row r="236" spans="8:22" ht="15" customHeight="1">
      <c r="H236" s="896">
        <v>41935</v>
      </c>
      <c r="I236" s="897"/>
      <c r="J236" s="208">
        <v>104.83</v>
      </c>
      <c r="K236" s="323">
        <v>116.149</v>
      </c>
      <c r="T236" s="39"/>
      <c r="U236" s="359"/>
      <c r="V236" s="317"/>
    </row>
    <row r="237" spans="8:22" ht="15" customHeight="1">
      <c r="H237" s="894">
        <v>41934</v>
      </c>
      <c r="I237" s="895"/>
      <c r="J237" s="205">
        <v>102.99</v>
      </c>
      <c r="K237" s="319">
        <v>116.149</v>
      </c>
      <c r="T237" s="39"/>
      <c r="U237" s="359"/>
      <c r="V237" s="317"/>
    </row>
    <row r="238" spans="8:22" ht="15" customHeight="1">
      <c r="H238" s="896">
        <v>41933</v>
      </c>
      <c r="I238" s="897"/>
      <c r="J238" s="208">
        <v>102.47</v>
      </c>
      <c r="K238" s="323">
        <v>116.10599999999999</v>
      </c>
      <c r="T238" s="39"/>
      <c r="U238" s="359"/>
      <c r="V238" s="317"/>
    </row>
    <row r="239" spans="8:22" ht="15" customHeight="1">
      <c r="H239" s="894">
        <v>41932</v>
      </c>
      <c r="I239" s="895"/>
      <c r="J239" s="205">
        <v>99.76</v>
      </c>
      <c r="K239" s="319">
        <v>112.89100000000001</v>
      </c>
      <c r="T239" s="39"/>
      <c r="U239" s="359"/>
      <c r="V239" s="317"/>
    </row>
    <row r="240" spans="8:22" ht="15" customHeight="1">
      <c r="H240" s="896">
        <v>41929</v>
      </c>
      <c r="I240" s="897"/>
      <c r="J240" s="208">
        <v>97.67</v>
      </c>
      <c r="K240" s="323">
        <v>112.413</v>
      </c>
      <c r="T240" s="39"/>
      <c r="U240" s="359"/>
      <c r="V240" s="317"/>
    </row>
    <row r="241" spans="8:22" ht="15" customHeight="1">
      <c r="H241" s="894">
        <v>41928</v>
      </c>
      <c r="I241" s="895"/>
      <c r="J241" s="205">
        <v>96.26</v>
      </c>
      <c r="K241" s="319">
        <v>112.413</v>
      </c>
      <c r="T241" s="39"/>
      <c r="U241" s="359"/>
      <c r="V241" s="317"/>
    </row>
    <row r="242" spans="8:22" ht="15" customHeight="1">
      <c r="H242" s="896">
        <v>41927</v>
      </c>
      <c r="I242" s="897"/>
      <c r="J242" s="208">
        <v>97.54</v>
      </c>
      <c r="K242" s="323">
        <v>112.413</v>
      </c>
      <c r="T242" s="39"/>
      <c r="U242" s="359"/>
      <c r="V242" s="317"/>
    </row>
    <row r="243" spans="8:22" ht="15" customHeight="1">
      <c r="H243" s="894">
        <v>41926</v>
      </c>
      <c r="I243" s="895"/>
      <c r="J243" s="205">
        <v>98.75</v>
      </c>
      <c r="K243" s="319">
        <v>112.413</v>
      </c>
      <c r="T243" s="39"/>
      <c r="U243" s="359"/>
      <c r="V243" s="317"/>
    </row>
    <row r="244" spans="8:22" ht="15" customHeight="1">
      <c r="H244" s="896">
        <v>41925</v>
      </c>
      <c r="I244" s="897"/>
      <c r="J244" s="208">
        <v>99.81</v>
      </c>
      <c r="K244" s="323">
        <v>111.783</v>
      </c>
      <c r="T244" s="39"/>
      <c r="U244" s="359"/>
      <c r="V244" s="317"/>
    </row>
    <row r="245" spans="8:22" ht="15" customHeight="1">
      <c r="H245" s="894">
        <v>41922</v>
      </c>
      <c r="I245" s="895"/>
      <c r="J245" s="205">
        <v>100.73</v>
      </c>
      <c r="K245" s="319">
        <v>111.739</v>
      </c>
      <c r="T245" s="39"/>
      <c r="U245" s="359"/>
      <c r="V245" s="317"/>
    </row>
    <row r="246" spans="8:22" ht="15" customHeight="1">
      <c r="H246" s="896">
        <v>41921</v>
      </c>
      <c r="I246" s="897"/>
      <c r="J246" s="208">
        <v>101.02</v>
      </c>
      <c r="K246" s="323">
        <v>111.739</v>
      </c>
      <c r="T246" s="39"/>
      <c r="U246" s="359"/>
      <c r="V246" s="317"/>
    </row>
    <row r="247" spans="8:22" ht="15" customHeight="1">
      <c r="H247" s="894">
        <v>41920</v>
      </c>
      <c r="I247" s="895"/>
      <c r="J247" s="205">
        <v>100.8</v>
      </c>
      <c r="K247" s="319">
        <v>111.667</v>
      </c>
      <c r="T247" s="39"/>
      <c r="U247" s="359"/>
      <c r="V247" s="317"/>
    </row>
    <row r="248" spans="8:22" ht="15" customHeight="1">
      <c r="H248" s="896">
        <v>41919</v>
      </c>
      <c r="I248" s="897"/>
      <c r="J248" s="208">
        <v>98.75</v>
      </c>
      <c r="K248" s="323">
        <v>111.667</v>
      </c>
      <c r="T248" s="39"/>
      <c r="U248" s="359"/>
      <c r="V248" s="317"/>
    </row>
    <row r="249" spans="8:22" ht="15" customHeight="1">
      <c r="H249" s="894">
        <v>41918</v>
      </c>
      <c r="I249" s="895"/>
      <c r="J249" s="205">
        <v>99.62</v>
      </c>
      <c r="K249" s="319">
        <v>111.364</v>
      </c>
      <c r="T249" s="39"/>
      <c r="U249" s="359"/>
      <c r="V249" s="317"/>
    </row>
    <row r="250" spans="8:22" ht="15" customHeight="1">
      <c r="H250" s="896">
        <v>41915</v>
      </c>
      <c r="I250" s="897"/>
      <c r="J250" s="208">
        <v>99.62</v>
      </c>
      <c r="K250" s="323">
        <v>111.136</v>
      </c>
      <c r="T250" s="39"/>
      <c r="U250" s="359"/>
      <c r="V250" s="317"/>
    </row>
    <row r="251" spans="8:22" ht="15" customHeight="1">
      <c r="H251" s="894">
        <v>41914</v>
      </c>
      <c r="I251" s="895"/>
      <c r="J251" s="205">
        <v>99.9</v>
      </c>
      <c r="K251" s="319">
        <v>111.136</v>
      </c>
      <c r="T251" s="39"/>
      <c r="U251" s="359"/>
      <c r="V251" s="317"/>
    </row>
    <row r="252" spans="8:22" ht="15" customHeight="1">
      <c r="H252" s="896">
        <v>41913</v>
      </c>
      <c r="I252" s="897"/>
      <c r="J252" s="208">
        <v>99.18</v>
      </c>
      <c r="K252" s="323">
        <v>111.22199999999999</v>
      </c>
      <c r="T252" s="39"/>
      <c r="U252" s="359"/>
      <c r="V252" s="317"/>
    </row>
    <row r="253" spans="8:22" ht="15" customHeight="1">
      <c r="H253" s="894">
        <v>41912</v>
      </c>
      <c r="I253" s="895"/>
      <c r="J253" s="205">
        <v>100.75</v>
      </c>
      <c r="K253" s="319">
        <v>110.652</v>
      </c>
      <c r="T253" s="39"/>
      <c r="U253" s="359"/>
      <c r="V253" s="317"/>
    </row>
    <row r="254" spans="8:22" ht="15" customHeight="1">
      <c r="H254" s="896">
        <v>41911</v>
      </c>
      <c r="I254" s="897"/>
      <c r="J254" s="208">
        <v>100.11</v>
      </c>
      <c r="K254" s="323">
        <v>110.444</v>
      </c>
      <c r="T254" s="39"/>
      <c r="U254" s="359"/>
      <c r="V254" s="317"/>
    </row>
    <row r="255" spans="8:22" ht="15" customHeight="1">
      <c r="H255" s="894">
        <v>41908</v>
      </c>
      <c r="I255" s="895"/>
      <c r="J255" s="205">
        <v>100.75</v>
      </c>
      <c r="K255" s="319">
        <v>110.217</v>
      </c>
      <c r="T255" s="39"/>
      <c r="U255" s="359"/>
      <c r="V255" s="317"/>
    </row>
    <row r="256" spans="8:22" ht="15" customHeight="1">
      <c r="H256" s="896">
        <v>41907</v>
      </c>
      <c r="I256" s="897"/>
      <c r="J256" s="208">
        <v>97.87</v>
      </c>
      <c r="K256" s="323">
        <v>110.217</v>
      </c>
      <c r="T256" s="39"/>
      <c r="U256" s="359"/>
      <c r="V256" s="317"/>
    </row>
    <row r="257" spans="8:22" ht="15" customHeight="1">
      <c r="H257" s="894">
        <v>41906</v>
      </c>
      <c r="I257" s="895"/>
      <c r="J257" s="205">
        <v>101.75</v>
      </c>
      <c r="K257" s="319">
        <v>110.13</v>
      </c>
      <c r="T257" s="39"/>
      <c r="U257" s="359"/>
      <c r="V257" s="317"/>
    </row>
    <row r="258" spans="8:22" ht="15" customHeight="1">
      <c r="H258" s="896">
        <v>41905</v>
      </c>
      <c r="I258" s="897"/>
      <c r="J258" s="208">
        <v>102.64</v>
      </c>
      <c r="K258" s="323">
        <v>110.13</v>
      </c>
      <c r="T258" s="39"/>
      <c r="U258" s="359"/>
      <c r="V258" s="317"/>
    </row>
    <row r="259" spans="8:22" ht="15" customHeight="1">
      <c r="H259" s="894">
        <v>41904</v>
      </c>
      <c r="I259" s="895"/>
      <c r="J259" s="205">
        <v>101.06</v>
      </c>
      <c r="K259" s="319">
        <v>110.13</v>
      </c>
      <c r="T259" s="39"/>
      <c r="U259" s="359"/>
      <c r="V259" s="317"/>
    </row>
    <row r="260" spans="8:22" ht="15" customHeight="1">
      <c r="H260" s="896">
        <v>41901</v>
      </c>
      <c r="I260" s="897"/>
      <c r="J260" s="208">
        <v>100.96</v>
      </c>
      <c r="K260" s="323">
        <v>110.065</v>
      </c>
      <c r="T260" s="39"/>
      <c r="U260" s="359"/>
      <c r="V260" s="317"/>
    </row>
    <row r="261" spans="8:22" ht="15" customHeight="1">
      <c r="H261" s="894">
        <v>41900</v>
      </c>
      <c r="I261" s="895"/>
      <c r="J261" s="205">
        <v>101.79</v>
      </c>
      <c r="K261" s="319">
        <v>109.97799999999999</v>
      </c>
      <c r="T261" s="39"/>
      <c r="U261" s="359"/>
      <c r="V261" s="317"/>
    </row>
    <row r="262" spans="8:22" ht="15" customHeight="1">
      <c r="H262" s="896">
        <v>41899</v>
      </c>
      <c r="I262" s="897"/>
      <c r="J262" s="208">
        <v>101.58</v>
      </c>
      <c r="K262" s="323">
        <v>109.97799999999999</v>
      </c>
      <c r="T262" s="39"/>
      <c r="U262" s="359"/>
      <c r="V262" s="317"/>
    </row>
    <row r="263" spans="8:22" ht="15" customHeight="1">
      <c r="H263" s="894">
        <v>41898</v>
      </c>
      <c r="I263" s="895"/>
      <c r="J263" s="205">
        <v>100.86</v>
      </c>
      <c r="K263" s="319">
        <v>109.761</v>
      </c>
      <c r="T263" s="39"/>
      <c r="U263" s="359"/>
      <c r="V263" s="317"/>
    </row>
    <row r="264" spans="8:22" ht="15" customHeight="1">
      <c r="H264" s="896">
        <v>41897</v>
      </c>
      <c r="I264" s="897"/>
      <c r="J264" s="208">
        <v>101.63</v>
      </c>
      <c r="K264" s="323">
        <v>109.913</v>
      </c>
      <c r="T264" s="39"/>
      <c r="U264" s="359"/>
      <c r="V264" s="317"/>
    </row>
    <row r="265" spans="8:22" ht="15" customHeight="1">
      <c r="H265" s="894">
        <v>41894</v>
      </c>
      <c r="I265" s="895"/>
      <c r="J265" s="205">
        <v>101.66</v>
      </c>
      <c r="K265" s="319">
        <v>109.261</v>
      </c>
      <c r="T265" s="39"/>
      <c r="U265" s="359"/>
      <c r="V265" s="317"/>
    </row>
    <row r="266" spans="8:22" ht="15" customHeight="1">
      <c r="H266" s="896">
        <v>41893</v>
      </c>
      <c r="I266" s="897"/>
      <c r="J266" s="208">
        <v>101.43</v>
      </c>
      <c r="K266" s="323">
        <v>109.261</v>
      </c>
      <c r="T266" s="39"/>
      <c r="U266" s="359"/>
      <c r="V266" s="317"/>
    </row>
    <row r="267" spans="8:22" ht="15" customHeight="1">
      <c r="H267" s="894">
        <v>41892</v>
      </c>
      <c r="I267" s="895"/>
      <c r="J267" s="205">
        <v>101</v>
      </c>
      <c r="K267" s="319">
        <v>109.087</v>
      </c>
      <c r="T267" s="39"/>
      <c r="U267" s="359"/>
      <c r="V267" s="317"/>
    </row>
    <row r="268" spans="8:22" ht="15" customHeight="1">
      <c r="H268" s="896">
        <v>41891</v>
      </c>
      <c r="I268" s="897"/>
      <c r="J268" s="208">
        <v>97.99</v>
      </c>
      <c r="K268" s="323">
        <v>108.02200000000001</v>
      </c>
      <c r="T268" s="39"/>
      <c r="U268" s="359"/>
      <c r="V268" s="317"/>
    </row>
    <row r="269" spans="8:22" ht="15" customHeight="1">
      <c r="H269" s="894">
        <v>41890</v>
      </c>
      <c r="I269" s="895"/>
      <c r="J269" s="205">
        <v>98.36</v>
      </c>
      <c r="K269" s="319">
        <v>107.61799999999999</v>
      </c>
      <c r="T269" s="39"/>
      <c r="U269" s="359"/>
      <c r="V269" s="317"/>
    </row>
    <row r="270" spans="8:22" ht="15" customHeight="1">
      <c r="H270" s="896">
        <v>41887</v>
      </c>
      <c r="I270" s="897"/>
      <c r="J270" s="208">
        <v>98.97</v>
      </c>
      <c r="K270" s="323">
        <v>107.521</v>
      </c>
      <c r="T270" s="39"/>
      <c r="U270" s="359"/>
      <c r="V270" s="317"/>
    </row>
    <row r="271" spans="8:22" ht="15" customHeight="1">
      <c r="H271" s="894">
        <v>41886</v>
      </c>
      <c r="I271" s="895"/>
      <c r="J271" s="205">
        <v>98.12</v>
      </c>
      <c r="K271" s="319">
        <v>107.521</v>
      </c>
      <c r="T271" s="39"/>
      <c r="U271" s="359"/>
      <c r="V271" s="317"/>
    </row>
    <row r="272" spans="8:22" ht="15" customHeight="1">
      <c r="H272" s="896">
        <v>41885</v>
      </c>
      <c r="I272" s="897"/>
      <c r="J272" s="208">
        <v>98.94</v>
      </c>
      <c r="K272" s="323">
        <v>107.31399999999999</v>
      </c>
      <c r="T272" s="39"/>
      <c r="U272" s="359"/>
      <c r="V272" s="317"/>
    </row>
    <row r="273" spans="8:22" ht="15" customHeight="1">
      <c r="H273" s="894">
        <v>41884</v>
      </c>
      <c r="I273" s="895"/>
      <c r="J273" s="205">
        <v>103.3</v>
      </c>
      <c r="K273" s="319">
        <v>107.31399999999999</v>
      </c>
      <c r="T273" s="39"/>
      <c r="U273" s="359"/>
      <c r="V273" s="317"/>
    </row>
    <row r="274" spans="8:22" ht="15" customHeight="1">
      <c r="H274" s="896">
        <v>41883</v>
      </c>
      <c r="I274" s="897"/>
      <c r="J274" s="208">
        <v>102.5</v>
      </c>
      <c r="K274" s="323">
        <v>106.988</v>
      </c>
      <c r="T274" s="39"/>
      <c r="U274" s="359"/>
      <c r="V274" s="317"/>
    </row>
    <row r="275" spans="8:22" ht="15" customHeight="1">
      <c r="H275" s="894">
        <v>41880</v>
      </c>
      <c r="I275" s="895"/>
      <c r="J275" s="205">
        <v>102.5</v>
      </c>
      <c r="K275" s="319">
        <v>106.792</v>
      </c>
      <c r="T275" s="39"/>
      <c r="U275" s="359"/>
      <c r="V275" s="317"/>
    </row>
    <row r="276" spans="8:22" ht="15" customHeight="1">
      <c r="H276" s="896">
        <v>41879</v>
      </c>
      <c r="I276" s="897"/>
      <c r="J276" s="208">
        <v>102.25</v>
      </c>
      <c r="K276" s="323">
        <v>106.792</v>
      </c>
      <c r="T276" s="39"/>
      <c r="U276" s="359"/>
      <c r="V276" s="317"/>
    </row>
    <row r="277" spans="8:22" ht="15" customHeight="1">
      <c r="H277" s="894">
        <v>41878</v>
      </c>
      <c r="I277" s="895"/>
      <c r="J277" s="205">
        <v>102.13</v>
      </c>
      <c r="K277" s="319">
        <v>106.754</v>
      </c>
      <c r="T277" s="39"/>
      <c r="U277" s="359"/>
      <c r="V277" s="317"/>
    </row>
    <row r="278" spans="8:22" ht="15" customHeight="1">
      <c r="H278" s="896">
        <v>41877</v>
      </c>
      <c r="I278" s="897"/>
      <c r="J278" s="208">
        <v>100.889</v>
      </c>
      <c r="K278" s="323">
        <v>106.754</v>
      </c>
      <c r="T278" s="39"/>
      <c r="U278" s="359"/>
      <c r="V278" s="317"/>
    </row>
    <row r="279" spans="8:22" ht="15" customHeight="1">
      <c r="H279" s="894">
        <v>41876</v>
      </c>
      <c r="I279" s="895"/>
      <c r="J279" s="205">
        <v>101.54</v>
      </c>
      <c r="K279" s="319">
        <v>106.754</v>
      </c>
      <c r="T279" s="39"/>
      <c r="U279" s="359"/>
      <c r="V279" s="317"/>
    </row>
    <row r="280" spans="8:22" ht="15" customHeight="1">
      <c r="H280" s="896">
        <v>41873</v>
      </c>
      <c r="I280" s="897"/>
      <c r="J280" s="208">
        <v>101.32</v>
      </c>
      <c r="K280" s="323">
        <v>106.754</v>
      </c>
      <c r="T280" s="39"/>
      <c r="U280" s="359"/>
      <c r="V280" s="317"/>
    </row>
    <row r="281" spans="8:22" ht="15" customHeight="1">
      <c r="H281" s="894">
        <v>41872</v>
      </c>
      <c r="I281" s="895"/>
      <c r="J281" s="205">
        <v>100.58</v>
      </c>
      <c r="K281" s="319">
        <v>106.754</v>
      </c>
      <c r="T281" s="39"/>
      <c r="U281" s="359"/>
      <c r="V281" s="317"/>
    </row>
    <row r="282" spans="8:22" ht="15" customHeight="1">
      <c r="H282" s="896">
        <v>41871</v>
      </c>
      <c r="I282" s="897"/>
      <c r="J282" s="208">
        <v>100.57</v>
      </c>
      <c r="K282" s="323">
        <v>106.754</v>
      </c>
      <c r="T282" s="39"/>
      <c r="U282" s="359"/>
      <c r="V282" s="317"/>
    </row>
    <row r="283" spans="8:22" ht="15" customHeight="1">
      <c r="H283" s="894">
        <v>41870</v>
      </c>
      <c r="I283" s="895"/>
      <c r="J283" s="205">
        <v>100.53</v>
      </c>
      <c r="K283" s="319">
        <v>106.754</v>
      </c>
      <c r="T283" s="39"/>
      <c r="U283" s="359"/>
      <c r="V283" s="317"/>
    </row>
    <row r="284" spans="8:22" ht="15" customHeight="1">
      <c r="H284" s="896">
        <v>41869</v>
      </c>
      <c r="I284" s="897"/>
      <c r="J284" s="208">
        <v>99.16</v>
      </c>
      <c r="K284" s="323">
        <v>106.63500000000001</v>
      </c>
      <c r="T284" s="39"/>
      <c r="U284" s="359"/>
      <c r="V284" s="317"/>
    </row>
    <row r="285" spans="8:22" ht="15" customHeight="1">
      <c r="H285" s="894">
        <v>41866</v>
      </c>
      <c r="I285" s="895"/>
      <c r="J285" s="205">
        <v>97.98</v>
      </c>
      <c r="K285" s="319">
        <v>106.63500000000001</v>
      </c>
      <c r="T285" s="39"/>
      <c r="U285" s="359"/>
      <c r="V285" s="317"/>
    </row>
    <row r="286" spans="8:22" ht="15" customHeight="1">
      <c r="H286" s="896">
        <v>41865</v>
      </c>
      <c r="I286" s="897"/>
      <c r="J286" s="208">
        <v>97.5</v>
      </c>
      <c r="K286" s="323">
        <v>106.63500000000001</v>
      </c>
      <c r="T286" s="39"/>
      <c r="U286" s="359"/>
      <c r="V286" s="317"/>
    </row>
    <row r="287" spans="8:22" ht="15" customHeight="1">
      <c r="H287" s="894">
        <v>41864</v>
      </c>
      <c r="I287" s="895"/>
      <c r="J287" s="205">
        <v>97.24</v>
      </c>
      <c r="K287" s="319">
        <v>106.63500000000001</v>
      </c>
      <c r="T287" s="39"/>
      <c r="U287" s="359"/>
      <c r="V287" s="317"/>
    </row>
    <row r="288" spans="8:22" ht="15" customHeight="1">
      <c r="H288" s="896">
        <v>41863</v>
      </c>
      <c r="I288" s="897"/>
      <c r="J288" s="208">
        <v>95.97</v>
      </c>
      <c r="K288" s="323">
        <v>106.63500000000001</v>
      </c>
      <c r="T288" s="39"/>
      <c r="U288" s="359"/>
      <c r="V288" s="317"/>
    </row>
    <row r="289" spans="8:22" ht="15" customHeight="1">
      <c r="H289" s="894">
        <v>41862</v>
      </c>
      <c r="I289" s="895"/>
      <c r="J289" s="205">
        <v>95.99</v>
      </c>
      <c r="K289" s="319">
        <v>106.63500000000001</v>
      </c>
      <c r="T289" s="39"/>
      <c r="U289" s="359"/>
      <c r="V289" s="317"/>
    </row>
    <row r="290" spans="8:22" ht="15" customHeight="1">
      <c r="H290" s="896">
        <v>41859</v>
      </c>
      <c r="I290" s="897"/>
      <c r="J290" s="208">
        <v>94.74</v>
      </c>
      <c r="K290" s="323">
        <v>106.63500000000001</v>
      </c>
      <c r="T290" s="39"/>
      <c r="U290" s="359"/>
      <c r="V290" s="317"/>
    </row>
    <row r="291" spans="8:22" ht="15" customHeight="1">
      <c r="H291" s="894">
        <v>41858</v>
      </c>
      <c r="I291" s="895"/>
      <c r="J291" s="205">
        <v>94.48</v>
      </c>
      <c r="K291" s="319">
        <v>106.63500000000001</v>
      </c>
      <c r="T291" s="39"/>
      <c r="U291" s="359"/>
      <c r="V291" s="317"/>
    </row>
    <row r="292" spans="8:22" ht="15" customHeight="1">
      <c r="H292" s="896">
        <v>41857</v>
      </c>
      <c r="I292" s="897"/>
      <c r="J292" s="208">
        <v>94.96</v>
      </c>
      <c r="K292" s="323">
        <v>106.63500000000001</v>
      </c>
      <c r="T292" s="39"/>
      <c r="U292" s="359"/>
      <c r="V292" s="317"/>
    </row>
    <row r="293" spans="8:22" ht="15" customHeight="1">
      <c r="H293" s="894">
        <v>41856</v>
      </c>
      <c r="I293" s="895"/>
      <c r="J293" s="205">
        <v>95.12</v>
      </c>
      <c r="K293" s="319">
        <v>106.63500000000001</v>
      </c>
      <c r="T293" s="39"/>
      <c r="U293" s="359"/>
      <c r="V293" s="317"/>
    </row>
    <row r="294" spans="8:22" ht="15" customHeight="1">
      <c r="H294" s="896">
        <v>41855</v>
      </c>
      <c r="I294" s="897"/>
      <c r="J294" s="208">
        <v>95.59</v>
      </c>
      <c r="K294" s="323">
        <v>106.63500000000001</v>
      </c>
      <c r="T294" s="39"/>
      <c r="U294" s="359"/>
      <c r="V294" s="317"/>
    </row>
    <row r="295" spans="8:22" ht="15" customHeight="1">
      <c r="H295" s="894">
        <v>41852</v>
      </c>
      <c r="I295" s="895"/>
      <c r="J295" s="205">
        <v>96.13</v>
      </c>
      <c r="K295" s="319">
        <v>106.63500000000001</v>
      </c>
      <c r="T295" s="39"/>
      <c r="U295" s="359"/>
      <c r="V295" s="317"/>
    </row>
    <row r="296" spans="8:22" ht="15" customHeight="1">
      <c r="H296" s="896">
        <v>41851</v>
      </c>
      <c r="I296" s="897"/>
      <c r="J296" s="208">
        <v>95.6</v>
      </c>
      <c r="K296" s="323">
        <v>106.63500000000001</v>
      </c>
      <c r="T296" s="39"/>
      <c r="U296" s="359"/>
      <c r="V296" s="317"/>
    </row>
    <row r="297" spans="8:22" ht="15" customHeight="1">
      <c r="H297" s="894">
        <v>41850</v>
      </c>
      <c r="I297" s="895"/>
      <c r="J297" s="205">
        <v>98.15</v>
      </c>
      <c r="K297" s="319">
        <v>106.63500000000001</v>
      </c>
      <c r="T297" s="39"/>
      <c r="U297" s="359"/>
      <c r="V297" s="317"/>
    </row>
    <row r="298" spans="8:22" ht="15" customHeight="1">
      <c r="H298" s="896">
        <v>41849</v>
      </c>
      <c r="I298" s="897"/>
      <c r="J298" s="208">
        <v>98.38</v>
      </c>
      <c r="K298" s="323">
        <v>106.63500000000001</v>
      </c>
      <c r="T298" s="39"/>
      <c r="U298" s="359"/>
      <c r="V298" s="317"/>
    </row>
    <row r="299" spans="8:22" ht="15" customHeight="1">
      <c r="H299" s="894">
        <v>41848</v>
      </c>
      <c r="I299" s="895"/>
      <c r="J299" s="205">
        <v>99.02</v>
      </c>
      <c r="K299" s="319">
        <v>106.55</v>
      </c>
      <c r="T299" s="39"/>
      <c r="U299" s="359"/>
      <c r="V299" s="317"/>
    </row>
    <row r="300" spans="8:22" ht="15" customHeight="1">
      <c r="H300" s="896">
        <v>41845</v>
      </c>
      <c r="I300" s="897"/>
      <c r="J300" s="208">
        <v>97.671000000000006</v>
      </c>
      <c r="K300" s="323">
        <v>106.55</v>
      </c>
      <c r="T300" s="39"/>
      <c r="U300" s="359"/>
      <c r="V300" s="317"/>
    </row>
    <row r="301" spans="8:22" ht="15" customHeight="1">
      <c r="H301" s="894">
        <v>41844</v>
      </c>
      <c r="I301" s="895"/>
      <c r="J301" s="205">
        <v>97.03</v>
      </c>
      <c r="K301" s="319">
        <v>106.55</v>
      </c>
      <c r="T301" s="39"/>
      <c r="U301" s="359"/>
      <c r="V301" s="317"/>
    </row>
    <row r="302" spans="8:22" ht="15" customHeight="1">
      <c r="H302" s="896">
        <v>41843</v>
      </c>
      <c r="I302" s="897"/>
      <c r="J302" s="208">
        <v>97.19</v>
      </c>
      <c r="K302" s="323">
        <v>106.55</v>
      </c>
      <c r="T302" s="39"/>
      <c r="U302" s="359"/>
      <c r="V302" s="317"/>
    </row>
    <row r="303" spans="8:22" ht="15" customHeight="1">
      <c r="H303" s="894">
        <v>41842</v>
      </c>
      <c r="I303" s="895"/>
      <c r="J303" s="205">
        <v>94.72</v>
      </c>
      <c r="K303" s="319">
        <v>104.012</v>
      </c>
      <c r="T303" s="39"/>
      <c r="U303" s="359"/>
      <c r="V303" s="317"/>
    </row>
    <row r="304" spans="8:22" ht="15" customHeight="1">
      <c r="H304" s="896">
        <v>41841</v>
      </c>
      <c r="I304" s="897"/>
      <c r="J304" s="208">
        <v>93.938999999999993</v>
      </c>
      <c r="K304" s="323">
        <v>103.821</v>
      </c>
      <c r="T304" s="39"/>
      <c r="U304" s="359"/>
      <c r="V304" s="317"/>
    </row>
    <row r="305" spans="8:22" ht="15" customHeight="1">
      <c r="H305" s="894">
        <v>41838</v>
      </c>
      <c r="I305" s="895"/>
      <c r="J305" s="205">
        <v>94.43</v>
      </c>
      <c r="K305" s="319">
        <v>102.32899999999999</v>
      </c>
      <c r="T305" s="39"/>
      <c r="U305" s="359"/>
      <c r="V305" s="317"/>
    </row>
    <row r="306" spans="8:22" ht="15" customHeight="1">
      <c r="H306" s="896">
        <v>41837</v>
      </c>
      <c r="I306" s="897"/>
      <c r="J306" s="208">
        <v>93.0899</v>
      </c>
      <c r="K306" s="323">
        <v>102.32899999999999</v>
      </c>
      <c r="T306" s="39"/>
      <c r="U306" s="359"/>
      <c r="V306" s="317"/>
    </row>
    <row r="307" spans="8:22" ht="15" customHeight="1">
      <c r="H307" s="894">
        <v>41836</v>
      </c>
      <c r="I307" s="895"/>
      <c r="J307" s="205">
        <v>94.78</v>
      </c>
      <c r="K307" s="319">
        <v>101.956</v>
      </c>
      <c r="T307" s="39"/>
      <c r="U307" s="359"/>
      <c r="V307" s="317"/>
    </row>
    <row r="308" spans="8:22" ht="15" customHeight="1">
      <c r="H308" s="896">
        <v>41835</v>
      </c>
      <c r="I308" s="897"/>
      <c r="J308" s="208">
        <v>95.32</v>
      </c>
      <c r="K308" s="323">
        <v>101.422</v>
      </c>
      <c r="T308" s="39"/>
      <c r="U308" s="359"/>
      <c r="V308" s="317"/>
    </row>
    <row r="309" spans="8:22" ht="15" customHeight="1">
      <c r="H309" s="894">
        <v>41834</v>
      </c>
      <c r="I309" s="895"/>
      <c r="J309" s="205">
        <v>96.45</v>
      </c>
      <c r="K309" s="319">
        <v>100.977</v>
      </c>
      <c r="T309" s="39"/>
      <c r="U309" s="359"/>
      <c r="V309" s="317"/>
    </row>
    <row r="310" spans="8:22" ht="15" customHeight="1">
      <c r="H310" s="896">
        <v>41831</v>
      </c>
      <c r="I310" s="897"/>
      <c r="J310" s="208">
        <v>95.22</v>
      </c>
      <c r="K310" s="323">
        <v>100.376</v>
      </c>
      <c r="T310" s="39"/>
      <c r="U310" s="359"/>
      <c r="V310" s="317"/>
    </row>
    <row r="311" spans="8:22" ht="15" customHeight="1">
      <c r="H311" s="894">
        <v>41830</v>
      </c>
      <c r="I311" s="895"/>
      <c r="J311" s="205">
        <v>95.034999999999997</v>
      </c>
      <c r="K311" s="319">
        <v>100.376</v>
      </c>
      <c r="T311" s="39"/>
      <c r="U311" s="359"/>
      <c r="V311" s="317"/>
    </row>
    <row r="312" spans="8:22" ht="15" customHeight="1">
      <c r="H312" s="896">
        <v>41829</v>
      </c>
      <c r="I312" s="897"/>
      <c r="J312" s="208">
        <v>95.39</v>
      </c>
      <c r="K312" s="323">
        <v>100.149</v>
      </c>
      <c r="T312" s="39"/>
      <c r="U312" s="359"/>
      <c r="V312" s="317"/>
    </row>
    <row r="313" spans="8:22" ht="15" customHeight="1">
      <c r="H313" s="894">
        <v>41828</v>
      </c>
      <c r="I313" s="895"/>
      <c r="J313" s="205">
        <v>95.35</v>
      </c>
      <c r="K313" s="319">
        <v>99.792000000000002</v>
      </c>
      <c r="T313" s="39"/>
      <c r="U313" s="359"/>
      <c r="V313" s="317"/>
    </row>
    <row r="314" spans="8:22" ht="15" customHeight="1">
      <c r="H314" s="896">
        <v>41827</v>
      </c>
      <c r="I314" s="897"/>
      <c r="J314" s="208">
        <v>95.968000000000004</v>
      </c>
      <c r="K314" s="323">
        <v>99.231999999999999</v>
      </c>
      <c r="T314" s="39"/>
      <c r="U314" s="359"/>
      <c r="V314" s="317"/>
    </row>
    <row r="315" spans="8:22" ht="15" customHeight="1">
      <c r="H315" s="894">
        <v>41824</v>
      </c>
      <c r="I315" s="895"/>
      <c r="J315" s="205">
        <v>94.03</v>
      </c>
      <c r="K315" s="319">
        <v>99.081999999999994</v>
      </c>
      <c r="T315" s="39"/>
      <c r="U315" s="359"/>
      <c r="V315" s="317"/>
    </row>
    <row r="316" spans="8:22" ht="15" customHeight="1">
      <c r="H316" s="896">
        <v>41823</v>
      </c>
      <c r="I316" s="897"/>
      <c r="J316" s="208">
        <v>94.03</v>
      </c>
      <c r="K316" s="323">
        <v>99.081999999999994</v>
      </c>
      <c r="T316" s="39"/>
      <c r="U316" s="359"/>
      <c r="V316" s="317"/>
    </row>
    <row r="317" spans="8:22" ht="15" customHeight="1">
      <c r="H317" s="894">
        <v>41822</v>
      </c>
      <c r="I317" s="895"/>
      <c r="J317" s="205">
        <v>93.48</v>
      </c>
      <c r="K317" s="319">
        <v>98.710999999999999</v>
      </c>
      <c r="T317" s="39"/>
      <c r="U317" s="359"/>
      <c r="V317" s="317"/>
    </row>
    <row r="318" spans="8:22" ht="15" customHeight="1">
      <c r="H318" s="896">
        <v>41821</v>
      </c>
      <c r="I318" s="897"/>
      <c r="J318" s="208">
        <v>93.52</v>
      </c>
      <c r="K318" s="323">
        <v>98.385000000000005</v>
      </c>
      <c r="T318" s="39"/>
      <c r="U318" s="359"/>
      <c r="V318" s="317"/>
    </row>
    <row r="319" spans="8:22" ht="15" customHeight="1">
      <c r="H319" s="894">
        <v>41820</v>
      </c>
      <c r="I319" s="895"/>
      <c r="J319" s="205">
        <v>92.93</v>
      </c>
      <c r="K319" s="319">
        <v>97.593999999999994</v>
      </c>
      <c r="T319" s="39"/>
      <c r="U319" s="359"/>
      <c r="V319" s="317"/>
    </row>
    <row r="320" spans="8:22" ht="15" customHeight="1">
      <c r="H320" s="896">
        <v>41817</v>
      </c>
      <c r="I320" s="897"/>
      <c r="J320" s="208">
        <v>91.98</v>
      </c>
      <c r="K320" s="323">
        <v>97.593999999999994</v>
      </c>
      <c r="T320" s="39"/>
      <c r="U320" s="359"/>
      <c r="V320" s="317"/>
    </row>
    <row r="321" spans="8:22" ht="15" customHeight="1">
      <c r="H321" s="894">
        <v>41816</v>
      </c>
      <c r="I321" s="895"/>
      <c r="J321" s="205">
        <v>90.9</v>
      </c>
      <c r="K321" s="319">
        <v>97.593999999999994</v>
      </c>
      <c r="T321" s="39"/>
      <c r="U321" s="359"/>
      <c r="V321" s="317"/>
    </row>
    <row r="322" spans="8:22" ht="15" customHeight="1">
      <c r="H322" s="896">
        <v>41815</v>
      </c>
      <c r="I322" s="897"/>
      <c r="J322" s="208">
        <v>90.36</v>
      </c>
      <c r="K322" s="323">
        <v>97.593999999999994</v>
      </c>
      <c r="T322" s="39"/>
      <c r="U322" s="359"/>
      <c r="V322" s="317"/>
    </row>
    <row r="323" spans="8:22" ht="15" customHeight="1">
      <c r="H323" s="894">
        <v>41814</v>
      </c>
      <c r="I323" s="895"/>
      <c r="J323" s="205">
        <v>90.28</v>
      </c>
      <c r="K323" s="319">
        <v>97.646000000000001</v>
      </c>
      <c r="T323" s="39"/>
      <c r="U323" s="359"/>
      <c r="V323" s="317"/>
    </row>
    <row r="324" spans="8:22" ht="15" customHeight="1">
      <c r="H324" s="896">
        <v>41813</v>
      </c>
      <c r="I324" s="897"/>
      <c r="J324" s="208">
        <v>90.83</v>
      </c>
      <c r="K324" s="323">
        <v>95.539000000000001</v>
      </c>
      <c r="T324" s="39"/>
      <c r="U324" s="359"/>
      <c r="V324" s="317"/>
    </row>
    <row r="325" spans="8:22" ht="15" customHeight="1">
      <c r="H325" s="894">
        <v>41810</v>
      </c>
      <c r="I325" s="895"/>
      <c r="J325" s="205">
        <v>90.91</v>
      </c>
      <c r="K325" s="319">
        <v>95.539000000000001</v>
      </c>
      <c r="T325" s="39"/>
      <c r="U325" s="359"/>
      <c r="V325" s="317"/>
    </row>
    <row r="326" spans="8:22" ht="15" customHeight="1">
      <c r="H326" s="896">
        <v>41809</v>
      </c>
      <c r="I326" s="897"/>
      <c r="J326" s="208">
        <v>91.86</v>
      </c>
      <c r="K326" s="323">
        <v>95.539000000000001</v>
      </c>
      <c r="T326" s="39"/>
      <c r="U326" s="359"/>
      <c r="V326" s="317"/>
    </row>
    <row r="327" spans="8:22" ht="15" customHeight="1">
      <c r="H327" s="894">
        <v>41808</v>
      </c>
      <c r="I327" s="895"/>
      <c r="J327" s="205">
        <v>92.18</v>
      </c>
      <c r="K327" s="319">
        <v>95.539000000000001</v>
      </c>
      <c r="T327" s="39"/>
      <c r="U327" s="359"/>
      <c r="V327" s="317"/>
    </row>
    <row r="328" spans="8:22" ht="15" customHeight="1">
      <c r="H328" s="896">
        <v>41807</v>
      </c>
      <c r="I328" s="897"/>
      <c r="J328" s="208">
        <v>92.08</v>
      </c>
      <c r="K328" s="323">
        <v>95.539000000000001</v>
      </c>
      <c r="T328" s="39"/>
      <c r="U328" s="359"/>
      <c r="V328" s="317"/>
    </row>
    <row r="329" spans="8:22" ht="15" customHeight="1">
      <c r="H329" s="894">
        <v>41806</v>
      </c>
      <c r="I329" s="895"/>
      <c r="J329" s="205">
        <v>92.2</v>
      </c>
      <c r="K329" s="319">
        <v>94.781999999999996</v>
      </c>
      <c r="T329" s="39"/>
      <c r="U329" s="359"/>
      <c r="V329" s="317"/>
    </row>
    <row r="330" spans="8:22" ht="15" customHeight="1">
      <c r="H330" s="896">
        <v>41803</v>
      </c>
      <c r="I330" s="897"/>
      <c r="J330" s="208">
        <v>91.28</v>
      </c>
      <c r="K330" s="323">
        <v>94.781999999999996</v>
      </c>
      <c r="T330" s="39"/>
      <c r="U330" s="359"/>
      <c r="V330" s="317"/>
    </row>
    <row r="331" spans="8:22" ht="15" customHeight="1">
      <c r="H331" s="894">
        <v>41802</v>
      </c>
      <c r="I331" s="895"/>
      <c r="J331" s="205">
        <v>92.29</v>
      </c>
      <c r="K331" s="319">
        <v>94.546000000000006</v>
      </c>
      <c r="T331" s="39"/>
      <c r="U331" s="359"/>
      <c r="V331" s="317"/>
    </row>
    <row r="332" spans="8:22" ht="15" customHeight="1">
      <c r="H332" s="896">
        <v>41801</v>
      </c>
      <c r="I332" s="897"/>
      <c r="J332" s="208">
        <v>93.86</v>
      </c>
      <c r="K332" s="323">
        <v>94.132999999999996</v>
      </c>
      <c r="T332" s="39"/>
      <c r="U332" s="359"/>
      <c r="V332" s="317"/>
    </row>
    <row r="333" spans="8:22" ht="15" customHeight="1">
      <c r="H333" s="894">
        <v>41800</v>
      </c>
      <c r="I333" s="895"/>
      <c r="J333" s="205">
        <v>94.25</v>
      </c>
      <c r="K333" s="319">
        <v>93.001999999999995</v>
      </c>
      <c r="T333" s="39"/>
      <c r="U333" s="359"/>
      <c r="V333" s="317"/>
    </row>
    <row r="334" spans="8:22" ht="15" customHeight="1">
      <c r="H334" s="896">
        <v>41799</v>
      </c>
      <c r="I334" s="897"/>
      <c r="J334" s="208">
        <v>93.7</v>
      </c>
      <c r="K334" s="323">
        <v>92.614000000000004</v>
      </c>
      <c r="T334" s="39"/>
      <c r="U334" s="359"/>
      <c r="V334" s="317"/>
    </row>
    <row r="335" spans="8:22" ht="15" customHeight="1">
      <c r="H335" s="894">
        <v>41796</v>
      </c>
      <c r="I335" s="895"/>
      <c r="J335" s="205">
        <v>92.224299999999999</v>
      </c>
      <c r="K335" s="319">
        <v>90.364000000000004</v>
      </c>
      <c r="T335" s="39"/>
      <c r="U335" s="359"/>
      <c r="V335" s="317"/>
    </row>
    <row r="336" spans="8:22" ht="15" customHeight="1">
      <c r="H336" s="896">
        <v>41795</v>
      </c>
      <c r="I336" s="897"/>
      <c r="J336" s="208">
        <v>92.4786</v>
      </c>
      <c r="K336" s="323">
        <v>89.96</v>
      </c>
      <c r="T336" s="39"/>
      <c r="U336" s="359"/>
      <c r="V336" s="317"/>
    </row>
    <row r="337" spans="8:22" ht="15" customHeight="1">
      <c r="H337" s="894">
        <v>41794</v>
      </c>
      <c r="I337" s="895"/>
      <c r="J337" s="205">
        <v>92.117099999999994</v>
      </c>
      <c r="K337" s="319">
        <v>89.96</v>
      </c>
      <c r="T337" s="39"/>
      <c r="U337" s="359"/>
      <c r="V337" s="317"/>
    </row>
    <row r="338" spans="8:22" ht="15" customHeight="1">
      <c r="H338" s="896">
        <v>41793</v>
      </c>
      <c r="I338" s="897"/>
      <c r="J338" s="208">
        <v>91.077100000000002</v>
      </c>
      <c r="K338" s="323">
        <v>89.727000000000004</v>
      </c>
      <c r="T338" s="39"/>
      <c r="U338" s="359"/>
      <c r="V338" s="317"/>
    </row>
    <row r="339" spans="8:22" ht="15" customHeight="1">
      <c r="H339" s="894">
        <v>41792</v>
      </c>
      <c r="I339" s="895"/>
      <c r="J339" s="205">
        <v>89.807100000000005</v>
      </c>
      <c r="K339" s="319">
        <v>90.811999999999998</v>
      </c>
      <c r="T339" s="39"/>
      <c r="U339" s="359"/>
      <c r="V339" s="317"/>
    </row>
    <row r="340" spans="8:22" ht="15" customHeight="1">
      <c r="H340" s="896">
        <v>41789</v>
      </c>
      <c r="I340" s="897"/>
      <c r="J340" s="208">
        <v>90.428600000000003</v>
      </c>
      <c r="K340" s="323">
        <v>90.626000000000005</v>
      </c>
      <c r="T340" s="39"/>
      <c r="U340" s="359"/>
      <c r="V340" s="317"/>
    </row>
    <row r="341" spans="8:22" ht="15" customHeight="1">
      <c r="H341" s="894">
        <v>41788</v>
      </c>
      <c r="I341" s="895"/>
      <c r="J341" s="205">
        <v>90.768600000000006</v>
      </c>
      <c r="K341" s="319">
        <v>90.2</v>
      </c>
      <c r="T341" s="39"/>
      <c r="U341" s="359"/>
      <c r="V341" s="317"/>
    </row>
    <row r="342" spans="8:22" ht="15" customHeight="1">
      <c r="H342" s="896">
        <v>41787</v>
      </c>
      <c r="I342" s="897"/>
      <c r="J342" s="208">
        <v>89.144300000000001</v>
      </c>
      <c r="K342" s="323">
        <v>89.013999999999996</v>
      </c>
      <c r="T342" s="39"/>
      <c r="U342" s="359"/>
      <c r="V342" s="317"/>
    </row>
    <row r="343" spans="8:22" ht="15" customHeight="1">
      <c r="H343" s="894">
        <v>41786</v>
      </c>
      <c r="I343" s="895"/>
      <c r="J343" s="205">
        <v>89.375699999999995</v>
      </c>
      <c r="K343" s="319">
        <v>88.245999999999995</v>
      </c>
      <c r="T343" s="39"/>
      <c r="U343" s="359"/>
      <c r="V343" s="317"/>
    </row>
    <row r="344" spans="8:22" ht="15" customHeight="1">
      <c r="H344" s="896">
        <v>41785</v>
      </c>
      <c r="I344" s="897"/>
      <c r="J344" s="208">
        <v>87.732900000000001</v>
      </c>
      <c r="K344" s="323">
        <v>88.245999999999995</v>
      </c>
      <c r="T344" s="39"/>
      <c r="U344" s="359"/>
      <c r="V344" s="317"/>
    </row>
    <row r="345" spans="8:22" ht="15" customHeight="1">
      <c r="H345" s="894">
        <v>41782</v>
      </c>
      <c r="I345" s="895"/>
      <c r="J345" s="205">
        <v>87.732900000000001</v>
      </c>
      <c r="K345" s="319">
        <v>88.245999999999995</v>
      </c>
      <c r="T345" s="39"/>
      <c r="U345" s="359"/>
      <c r="V345" s="317"/>
    </row>
    <row r="346" spans="8:22" ht="15" customHeight="1">
      <c r="H346" s="896">
        <v>41781</v>
      </c>
      <c r="I346" s="897"/>
      <c r="J346" s="208">
        <v>86.752899999999997</v>
      </c>
      <c r="K346" s="323">
        <v>88.245999999999995</v>
      </c>
      <c r="T346" s="39"/>
      <c r="U346" s="359"/>
      <c r="V346" s="317"/>
    </row>
    <row r="347" spans="8:22" ht="15" customHeight="1">
      <c r="H347" s="894">
        <v>41780</v>
      </c>
      <c r="I347" s="895"/>
      <c r="J347" s="205">
        <v>86.615700000000004</v>
      </c>
      <c r="K347" s="319">
        <v>88.245999999999995</v>
      </c>
      <c r="T347" s="39"/>
      <c r="U347" s="359"/>
      <c r="V347" s="317"/>
    </row>
    <row r="348" spans="8:22" ht="15" customHeight="1">
      <c r="H348" s="896">
        <v>41779</v>
      </c>
      <c r="I348" s="897"/>
      <c r="J348" s="208">
        <v>86.387100000000004</v>
      </c>
      <c r="K348" s="323">
        <v>88.245999999999995</v>
      </c>
      <c r="T348" s="39"/>
      <c r="U348" s="359"/>
      <c r="V348" s="317"/>
    </row>
    <row r="349" spans="8:22" ht="15" customHeight="1">
      <c r="H349" s="894">
        <v>41778</v>
      </c>
      <c r="I349" s="895"/>
      <c r="J349" s="205">
        <v>86.37</v>
      </c>
      <c r="K349" s="319">
        <v>88.245999999999995</v>
      </c>
      <c r="T349" s="39"/>
      <c r="U349" s="359"/>
      <c r="V349" s="317"/>
    </row>
    <row r="350" spans="8:22" ht="15" customHeight="1">
      <c r="H350" s="896">
        <v>41775</v>
      </c>
      <c r="I350" s="897"/>
      <c r="J350" s="208">
        <v>85.358599999999996</v>
      </c>
      <c r="K350" s="323">
        <v>88.245999999999995</v>
      </c>
      <c r="T350" s="39"/>
      <c r="U350" s="359"/>
      <c r="V350" s="317"/>
    </row>
    <row r="351" spans="8:22" ht="15" customHeight="1">
      <c r="H351" s="894">
        <v>41774</v>
      </c>
      <c r="I351" s="895"/>
      <c r="J351" s="205">
        <v>84.117099999999994</v>
      </c>
      <c r="K351" s="319">
        <v>88.245999999999995</v>
      </c>
      <c r="T351" s="39"/>
      <c r="U351" s="359"/>
      <c r="V351" s="317"/>
    </row>
    <row r="352" spans="8:22" ht="15" customHeight="1">
      <c r="H352" s="896">
        <v>41773</v>
      </c>
      <c r="I352" s="897"/>
      <c r="J352" s="208">
        <v>84.8386</v>
      </c>
      <c r="K352" s="323">
        <v>88.245999999999995</v>
      </c>
      <c r="T352" s="39"/>
      <c r="U352" s="359"/>
      <c r="V352" s="317"/>
    </row>
    <row r="353" spans="8:22" ht="15" customHeight="1">
      <c r="H353" s="894">
        <v>41772</v>
      </c>
      <c r="I353" s="895"/>
      <c r="J353" s="205">
        <v>84.822900000000004</v>
      </c>
      <c r="K353" s="319">
        <v>88.102999999999994</v>
      </c>
      <c r="T353" s="39"/>
      <c r="U353" s="359"/>
      <c r="V353" s="317"/>
    </row>
    <row r="354" spans="8:22" ht="15" customHeight="1">
      <c r="H354" s="896">
        <v>41771</v>
      </c>
      <c r="I354" s="897"/>
      <c r="J354" s="208">
        <v>84.69</v>
      </c>
      <c r="K354" s="323">
        <v>88.102999999999994</v>
      </c>
      <c r="T354" s="39"/>
      <c r="U354" s="359"/>
      <c r="V354" s="317"/>
    </row>
    <row r="355" spans="8:22" ht="15" customHeight="1">
      <c r="H355" s="894">
        <v>41768</v>
      </c>
      <c r="I355" s="895"/>
      <c r="J355" s="205">
        <v>83.648899999999998</v>
      </c>
      <c r="K355" s="319">
        <v>88.119</v>
      </c>
      <c r="T355" s="39"/>
      <c r="U355" s="359"/>
      <c r="V355" s="317"/>
    </row>
    <row r="356" spans="8:22" ht="15" customHeight="1">
      <c r="H356" s="896">
        <v>41767</v>
      </c>
      <c r="I356" s="897"/>
      <c r="J356" s="208">
        <v>83.998599999999996</v>
      </c>
      <c r="K356" s="323">
        <v>87.881</v>
      </c>
      <c r="T356" s="39"/>
      <c r="U356" s="359"/>
      <c r="V356" s="317"/>
    </row>
    <row r="357" spans="8:22" ht="15" customHeight="1">
      <c r="H357" s="894">
        <v>41766</v>
      </c>
      <c r="I357" s="895"/>
      <c r="J357" s="205">
        <v>84.618600000000001</v>
      </c>
      <c r="K357" s="319">
        <v>87.881</v>
      </c>
      <c r="T357" s="39"/>
      <c r="U357" s="359"/>
      <c r="V357" s="317"/>
    </row>
    <row r="358" spans="8:22" ht="15" customHeight="1">
      <c r="H358" s="896">
        <v>41765</v>
      </c>
      <c r="I358" s="897"/>
      <c r="J358" s="208">
        <v>84.915700000000001</v>
      </c>
      <c r="K358" s="323">
        <v>87.721999999999994</v>
      </c>
      <c r="T358" s="39"/>
      <c r="U358" s="359"/>
      <c r="V358" s="317"/>
    </row>
    <row r="359" spans="8:22" ht="15" customHeight="1">
      <c r="H359" s="894">
        <v>41764</v>
      </c>
      <c r="I359" s="895"/>
      <c r="J359" s="205">
        <v>85.851399999999998</v>
      </c>
      <c r="K359" s="319">
        <v>87.721999999999994</v>
      </c>
      <c r="T359" s="39"/>
      <c r="U359" s="359"/>
      <c r="V359" s="317"/>
    </row>
    <row r="360" spans="8:22" ht="15" customHeight="1">
      <c r="H360" s="896">
        <v>41761</v>
      </c>
      <c r="I360" s="897"/>
      <c r="J360" s="208">
        <v>84.654300000000006</v>
      </c>
      <c r="K360" s="323">
        <v>87.659000000000006</v>
      </c>
      <c r="T360" s="39"/>
      <c r="U360" s="359"/>
      <c r="V360" s="317"/>
    </row>
    <row r="361" spans="8:22" ht="15" customHeight="1">
      <c r="H361" s="894">
        <v>41760</v>
      </c>
      <c r="I361" s="895"/>
      <c r="J361" s="205">
        <v>84.497100000000003</v>
      </c>
      <c r="K361" s="319">
        <v>87.42</v>
      </c>
      <c r="T361" s="39"/>
      <c r="U361" s="359"/>
      <c r="V361" s="317"/>
    </row>
    <row r="362" spans="8:22" ht="15" customHeight="1">
      <c r="H362" s="896">
        <v>41759</v>
      </c>
      <c r="I362" s="897"/>
      <c r="J362" s="208">
        <v>84.298599999999993</v>
      </c>
      <c r="K362" s="323">
        <v>87.42</v>
      </c>
      <c r="T362" s="39"/>
      <c r="U362" s="359"/>
      <c r="V362" s="317"/>
    </row>
    <row r="363" spans="8:22" ht="15" customHeight="1">
      <c r="H363" s="894">
        <v>41758</v>
      </c>
      <c r="I363" s="895"/>
      <c r="J363" s="205">
        <v>84.618600000000001</v>
      </c>
      <c r="K363" s="319">
        <v>86.805000000000007</v>
      </c>
      <c r="T363" s="39"/>
      <c r="U363" s="359"/>
      <c r="V363" s="317"/>
    </row>
    <row r="364" spans="8:22" ht="15" customHeight="1">
      <c r="H364" s="896">
        <v>41757</v>
      </c>
      <c r="I364" s="897"/>
      <c r="J364" s="208">
        <v>84.87</v>
      </c>
      <c r="K364" s="323">
        <v>86.567999999999998</v>
      </c>
      <c r="T364" s="39"/>
      <c r="U364" s="359"/>
      <c r="V364" s="317"/>
    </row>
    <row r="365" spans="8:22" ht="15" customHeight="1">
      <c r="H365" s="894">
        <v>41754</v>
      </c>
      <c r="I365" s="895"/>
      <c r="J365" s="205">
        <v>81.705699999999993</v>
      </c>
      <c r="K365" s="319">
        <v>86.567999999999998</v>
      </c>
      <c r="T365" s="39"/>
      <c r="U365" s="359"/>
      <c r="V365" s="317"/>
    </row>
    <row r="366" spans="8:22" ht="15" customHeight="1">
      <c r="H366" s="896">
        <v>41753</v>
      </c>
      <c r="I366" s="897"/>
      <c r="J366" s="208">
        <v>81.11</v>
      </c>
      <c r="K366" s="323">
        <v>86.567999999999998</v>
      </c>
      <c r="T366" s="39"/>
      <c r="U366" s="359"/>
      <c r="V366" s="317"/>
    </row>
    <row r="367" spans="8:22" ht="15" customHeight="1">
      <c r="H367" s="894">
        <v>41752</v>
      </c>
      <c r="I367" s="895"/>
      <c r="J367" s="205">
        <v>74.964299999999994</v>
      </c>
      <c r="K367" s="319">
        <v>85.552999999999997</v>
      </c>
      <c r="T367" s="39"/>
      <c r="U367" s="359"/>
      <c r="V367" s="317"/>
    </row>
    <row r="368" spans="8:22" ht="15" customHeight="1">
      <c r="H368" s="896">
        <v>41751</v>
      </c>
      <c r="I368" s="897"/>
      <c r="J368" s="208">
        <v>75.956999999999994</v>
      </c>
      <c r="K368" s="323">
        <v>85.296000000000006</v>
      </c>
      <c r="T368" s="39"/>
      <c r="U368" s="359"/>
      <c r="V368" s="317"/>
    </row>
    <row r="369" spans="8:22" ht="15" customHeight="1">
      <c r="H369" s="894">
        <v>41750</v>
      </c>
      <c r="I369" s="895"/>
      <c r="J369" s="205">
        <v>75.881399999999999</v>
      </c>
      <c r="K369" s="319">
        <v>85.296000000000006</v>
      </c>
      <c r="T369" s="39"/>
      <c r="U369" s="359"/>
      <c r="V369" s="317"/>
    </row>
    <row r="370" spans="8:22" ht="15" customHeight="1">
      <c r="H370" s="896">
        <v>41747</v>
      </c>
      <c r="I370" s="897"/>
      <c r="J370" s="208">
        <v>74.991399999999999</v>
      </c>
      <c r="K370" s="323">
        <v>85.296000000000006</v>
      </c>
      <c r="T370" s="39"/>
      <c r="U370" s="359"/>
      <c r="V370" s="317"/>
    </row>
    <row r="371" spans="8:22" ht="15" customHeight="1">
      <c r="H371" s="894">
        <v>41746</v>
      </c>
      <c r="I371" s="895"/>
      <c r="J371" s="205">
        <v>74.991399999999999</v>
      </c>
      <c r="K371" s="319">
        <v>85.296000000000006</v>
      </c>
      <c r="T371" s="39"/>
      <c r="U371" s="359"/>
      <c r="V371" s="317"/>
    </row>
    <row r="372" spans="8:22" ht="15" customHeight="1">
      <c r="H372" s="896">
        <v>41745</v>
      </c>
      <c r="I372" s="897"/>
      <c r="J372" s="208">
        <v>74.144300000000001</v>
      </c>
      <c r="K372" s="323">
        <v>85.296000000000006</v>
      </c>
      <c r="T372" s="39"/>
      <c r="U372" s="359"/>
      <c r="V372" s="317"/>
    </row>
    <row r="373" spans="8:22" ht="15" customHeight="1">
      <c r="H373" s="894">
        <v>41744</v>
      </c>
      <c r="I373" s="895"/>
      <c r="J373" s="205">
        <v>73.994299999999996</v>
      </c>
      <c r="K373" s="319">
        <v>85.296000000000006</v>
      </c>
      <c r="T373" s="39"/>
      <c r="U373" s="359"/>
      <c r="V373" s="317"/>
    </row>
    <row r="374" spans="8:22" ht="15" customHeight="1">
      <c r="H374" s="896">
        <v>41743</v>
      </c>
      <c r="I374" s="897"/>
      <c r="J374" s="208">
        <v>74.525700000000001</v>
      </c>
      <c r="K374" s="323">
        <v>85.296000000000006</v>
      </c>
      <c r="T374" s="39"/>
      <c r="U374" s="359"/>
      <c r="V374" s="317"/>
    </row>
    <row r="375" spans="8:22" ht="15" customHeight="1">
      <c r="H375" s="894">
        <v>41740</v>
      </c>
      <c r="I375" s="895"/>
      <c r="J375" s="205">
        <v>74.23</v>
      </c>
      <c r="K375" s="319">
        <v>85.296000000000006</v>
      </c>
      <c r="T375" s="39"/>
      <c r="U375" s="359"/>
      <c r="V375" s="317"/>
    </row>
    <row r="376" spans="8:22" ht="15" customHeight="1">
      <c r="H376" s="896">
        <v>41739</v>
      </c>
      <c r="I376" s="897"/>
      <c r="J376" s="208">
        <v>74.782899999999998</v>
      </c>
      <c r="K376" s="323">
        <v>85.21</v>
      </c>
      <c r="T376" s="39"/>
      <c r="U376" s="359"/>
      <c r="V376" s="317"/>
    </row>
    <row r="377" spans="8:22" ht="15" customHeight="1">
      <c r="H377" s="894">
        <v>41738</v>
      </c>
      <c r="I377" s="895"/>
      <c r="J377" s="205">
        <v>75.760000000000005</v>
      </c>
      <c r="K377" s="319">
        <v>85.054000000000002</v>
      </c>
      <c r="T377" s="39"/>
      <c r="U377" s="359"/>
      <c r="V377" s="317"/>
    </row>
    <row r="378" spans="8:22" ht="15" customHeight="1">
      <c r="H378" s="896">
        <v>41737</v>
      </c>
      <c r="I378" s="897"/>
      <c r="J378" s="208">
        <v>74.777100000000004</v>
      </c>
      <c r="K378" s="323">
        <v>85.054000000000002</v>
      </c>
      <c r="T378" s="39"/>
      <c r="U378" s="359"/>
      <c r="V378" s="317"/>
    </row>
    <row r="379" spans="8:22" ht="15" customHeight="1">
      <c r="H379" s="894">
        <v>41736</v>
      </c>
      <c r="I379" s="895"/>
      <c r="J379" s="205">
        <v>74.781400000000005</v>
      </c>
      <c r="K379" s="319">
        <v>85.054000000000002</v>
      </c>
      <c r="T379" s="39"/>
      <c r="U379" s="359"/>
      <c r="V379" s="317"/>
    </row>
    <row r="380" spans="8:22" ht="15" customHeight="1">
      <c r="H380" s="896">
        <v>41733</v>
      </c>
      <c r="I380" s="897"/>
      <c r="J380" s="208">
        <v>75.974299999999999</v>
      </c>
      <c r="K380" s="323">
        <v>85.054000000000002</v>
      </c>
      <c r="T380" s="39"/>
      <c r="U380" s="359"/>
      <c r="V380" s="317"/>
    </row>
    <row r="381" spans="8:22" ht="15" customHeight="1">
      <c r="H381" s="894">
        <v>41732</v>
      </c>
      <c r="I381" s="895"/>
      <c r="J381" s="205">
        <v>76.97</v>
      </c>
      <c r="K381" s="319">
        <v>85.039000000000001</v>
      </c>
      <c r="T381" s="39"/>
      <c r="U381" s="359"/>
      <c r="V381" s="317"/>
    </row>
    <row r="382" spans="8:22" ht="15" customHeight="1">
      <c r="H382" s="896">
        <v>41731</v>
      </c>
      <c r="I382" s="897"/>
      <c r="J382" s="208">
        <v>77.507099999999994</v>
      </c>
      <c r="K382" s="323">
        <v>85.039000000000001</v>
      </c>
      <c r="T382" s="39"/>
      <c r="U382" s="359"/>
      <c r="V382" s="317"/>
    </row>
    <row r="383" spans="8:22" ht="15" customHeight="1">
      <c r="H383" s="894">
        <v>41730</v>
      </c>
      <c r="I383" s="895"/>
      <c r="J383" s="205">
        <v>77.378600000000006</v>
      </c>
      <c r="K383" s="319">
        <v>85.039000000000001</v>
      </c>
      <c r="T383" s="39"/>
      <c r="U383" s="359"/>
      <c r="V383" s="317"/>
    </row>
    <row r="384" spans="8:22" ht="15" customHeight="1">
      <c r="H384" s="896">
        <v>41729</v>
      </c>
      <c r="I384" s="897"/>
      <c r="J384" s="208">
        <v>76.677099999999996</v>
      </c>
      <c r="K384" s="323">
        <v>85.039000000000001</v>
      </c>
      <c r="T384" s="39"/>
      <c r="U384" s="359"/>
      <c r="V384" s="317"/>
    </row>
    <row r="385" spans="8:22" ht="15" customHeight="1">
      <c r="H385" s="894">
        <v>41726</v>
      </c>
      <c r="I385" s="895"/>
      <c r="J385" s="205">
        <v>76.694299999999998</v>
      </c>
      <c r="K385" s="319">
        <v>85.039000000000001</v>
      </c>
      <c r="T385" s="39"/>
      <c r="U385" s="359"/>
      <c r="V385" s="317"/>
    </row>
    <row r="386" spans="8:22" ht="15" customHeight="1">
      <c r="H386" s="896">
        <v>41725</v>
      </c>
      <c r="I386" s="897"/>
      <c r="J386" s="208">
        <v>76.78</v>
      </c>
      <c r="K386" s="323">
        <v>85.039000000000001</v>
      </c>
      <c r="T386" s="39"/>
      <c r="U386" s="359"/>
      <c r="V386" s="317"/>
    </row>
    <row r="387" spans="8:22" ht="15" customHeight="1">
      <c r="H387" s="894">
        <v>41724</v>
      </c>
      <c r="I387" s="895"/>
      <c r="J387" s="205">
        <v>77.111400000000003</v>
      </c>
      <c r="K387" s="319">
        <v>85.039000000000001</v>
      </c>
      <c r="T387" s="39"/>
      <c r="U387" s="359"/>
      <c r="V387" s="317"/>
    </row>
    <row r="388" spans="8:22" ht="15" customHeight="1">
      <c r="H388" s="896">
        <v>41723</v>
      </c>
      <c r="I388" s="897"/>
      <c r="J388" s="208">
        <v>77.855699999999999</v>
      </c>
      <c r="K388" s="323">
        <v>85.039000000000001</v>
      </c>
      <c r="T388" s="39"/>
      <c r="U388" s="359"/>
      <c r="V388" s="317"/>
    </row>
    <row r="389" spans="8:22" ht="15" customHeight="1">
      <c r="H389" s="894">
        <v>41722</v>
      </c>
      <c r="I389" s="895"/>
      <c r="J389" s="205">
        <v>77.027100000000004</v>
      </c>
      <c r="K389" s="319">
        <v>85.039000000000001</v>
      </c>
      <c r="T389" s="39"/>
      <c r="U389" s="359"/>
      <c r="V389" s="317"/>
    </row>
    <row r="390" spans="8:22" ht="15" customHeight="1">
      <c r="H390" s="896">
        <v>41719</v>
      </c>
      <c r="I390" s="897"/>
      <c r="J390" s="208">
        <v>76.124300000000005</v>
      </c>
      <c r="K390" s="323">
        <v>85.039000000000001</v>
      </c>
      <c r="T390" s="39"/>
      <c r="U390" s="359"/>
      <c r="V390" s="317"/>
    </row>
    <row r="391" spans="8:22" ht="15" customHeight="1">
      <c r="H391" s="894">
        <v>41718</v>
      </c>
      <c r="I391" s="895"/>
      <c r="J391" s="205">
        <v>75.528599999999997</v>
      </c>
      <c r="K391" s="319">
        <v>84.936000000000007</v>
      </c>
      <c r="T391" s="39"/>
      <c r="U391" s="359"/>
      <c r="V391" s="317"/>
    </row>
    <row r="392" spans="8:22" ht="15" customHeight="1">
      <c r="H392" s="896">
        <v>41717</v>
      </c>
      <c r="I392" s="897"/>
      <c r="J392" s="208">
        <v>75.894300000000001</v>
      </c>
      <c r="K392" s="323">
        <v>84.966999999999999</v>
      </c>
      <c r="T392" s="39"/>
      <c r="U392" s="359"/>
      <c r="V392" s="317"/>
    </row>
    <row r="393" spans="8:22" ht="15" customHeight="1">
      <c r="H393" s="894">
        <v>41716</v>
      </c>
      <c r="I393" s="895"/>
      <c r="J393" s="205">
        <v>75.914299999999997</v>
      </c>
      <c r="K393" s="319">
        <v>84.966999999999999</v>
      </c>
      <c r="T393" s="39"/>
      <c r="U393" s="359"/>
      <c r="V393" s="317"/>
    </row>
    <row r="394" spans="8:22" ht="15" customHeight="1">
      <c r="H394" s="896">
        <v>41715</v>
      </c>
      <c r="I394" s="897"/>
      <c r="J394" s="208">
        <v>75.248599999999996</v>
      </c>
      <c r="K394" s="323">
        <v>84.966999999999999</v>
      </c>
      <c r="T394" s="39"/>
      <c r="U394" s="359"/>
      <c r="V394" s="317"/>
    </row>
    <row r="395" spans="8:22" ht="15" customHeight="1">
      <c r="H395" s="894">
        <v>41712</v>
      </c>
      <c r="I395" s="895"/>
      <c r="J395" s="205">
        <v>74.955699999999993</v>
      </c>
      <c r="K395" s="319">
        <v>84.966999999999999</v>
      </c>
      <c r="T395" s="39"/>
      <c r="U395" s="359"/>
      <c r="V395" s="317"/>
    </row>
    <row r="396" spans="8:22" ht="15" customHeight="1">
      <c r="H396" s="896">
        <v>41711</v>
      </c>
      <c r="I396" s="897"/>
      <c r="J396" s="208">
        <v>75.807100000000005</v>
      </c>
      <c r="K396" s="323">
        <v>84.966999999999999</v>
      </c>
      <c r="T396" s="39"/>
      <c r="U396" s="359"/>
      <c r="V396" s="317"/>
    </row>
    <row r="397" spans="8:22" ht="15" customHeight="1">
      <c r="H397" s="894">
        <v>41710</v>
      </c>
      <c r="I397" s="895"/>
      <c r="J397" s="205">
        <v>76.658600000000007</v>
      </c>
      <c r="K397" s="319">
        <v>84.966999999999999</v>
      </c>
      <c r="T397" s="39"/>
      <c r="U397" s="359"/>
      <c r="V397" s="317"/>
    </row>
    <row r="398" spans="8:22" ht="15" customHeight="1">
      <c r="H398" s="896">
        <v>41709</v>
      </c>
      <c r="I398" s="897"/>
      <c r="J398" s="208">
        <v>76.584299999999999</v>
      </c>
      <c r="K398" s="323">
        <v>84.966999999999999</v>
      </c>
      <c r="T398" s="39"/>
      <c r="U398" s="359"/>
      <c r="V398" s="317"/>
    </row>
    <row r="399" spans="8:22" ht="15" customHeight="1">
      <c r="H399" s="894">
        <v>41708</v>
      </c>
      <c r="I399" s="895"/>
      <c r="J399" s="205">
        <v>75.845699999999994</v>
      </c>
      <c r="K399" s="319">
        <v>84.846999999999994</v>
      </c>
      <c r="T399" s="39"/>
      <c r="U399" s="359"/>
      <c r="V399" s="317"/>
    </row>
    <row r="400" spans="8:22" ht="15" customHeight="1">
      <c r="H400" s="896">
        <v>41705</v>
      </c>
      <c r="I400" s="897"/>
      <c r="J400" s="208">
        <v>75.777100000000004</v>
      </c>
      <c r="K400" s="323">
        <v>84.846999999999994</v>
      </c>
      <c r="T400" s="39"/>
      <c r="U400" s="359"/>
      <c r="V400" s="317"/>
    </row>
    <row r="401" spans="8:22" ht="15" customHeight="1">
      <c r="H401" s="894">
        <v>41704</v>
      </c>
      <c r="I401" s="895"/>
      <c r="J401" s="205">
        <v>75.821399999999997</v>
      </c>
      <c r="K401" s="319">
        <v>84.846999999999994</v>
      </c>
      <c r="T401" s="39"/>
      <c r="U401" s="359"/>
      <c r="V401" s="317"/>
    </row>
    <row r="402" spans="8:22" ht="15" customHeight="1">
      <c r="H402" s="896">
        <v>41703</v>
      </c>
      <c r="I402" s="897"/>
      <c r="J402" s="208">
        <v>76.051400000000001</v>
      </c>
      <c r="K402" s="323">
        <v>84.846999999999994</v>
      </c>
      <c r="T402" s="39"/>
      <c r="U402" s="359"/>
      <c r="V402" s="317"/>
    </row>
    <row r="403" spans="8:22" ht="15" customHeight="1">
      <c r="H403" s="894">
        <v>41702</v>
      </c>
      <c r="I403" s="895"/>
      <c r="J403" s="205">
        <v>75.891400000000004</v>
      </c>
      <c r="K403" s="319">
        <v>84.846999999999994</v>
      </c>
      <c r="U403" s="39"/>
    </row>
    <row r="404" spans="8:22" ht="15" customHeight="1">
      <c r="H404" s="896">
        <v>41701</v>
      </c>
      <c r="I404" s="897"/>
      <c r="J404" s="208">
        <v>75.394300000000001</v>
      </c>
      <c r="K404" s="323">
        <v>84.846999999999994</v>
      </c>
      <c r="U404" s="39"/>
    </row>
    <row r="405" spans="8:22" ht="15" customHeight="1">
      <c r="H405" s="894">
        <v>41698</v>
      </c>
      <c r="I405" s="895"/>
      <c r="J405" s="205">
        <v>75.177099999999996</v>
      </c>
      <c r="K405" s="319">
        <v>84.757999999999996</v>
      </c>
    </row>
    <row r="406" spans="8:22" ht="15" customHeight="1">
      <c r="H406" s="896">
        <v>41697</v>
      </c>
      <c r="I406" s="897"/>
      <c r="J406" s="208">
        <v>75.381399999999999</v>
      </c>
      <c r="K406" s="323">
        <v>84.757999999999996</v>
      </c>
    </row>
    <row r="407" spans="8:22" ht="15" customHeight="1">
      <c r="H407" s="894">
        <v>41696</v>
      </c>
      <c r="I407" s="895"/>
      <c r="J407" s="205">
        <v>73.9071</v>
      </c>
      <c r="K407" s="319">
        <v>84.757999999999996</v>
      </c>
    </row>
    <row r="408" spans="8:22" ht="15" customHeight="1">
      <c r="H408" s="896">
        <v>41695</v>
      </c>
      <c r="I408" s="897"/>
      <c r="J408" s="208">
        <v>74.58</v>
      </c>
      <c r="K408" s="323">
        <v>84.757999999999996</v>
      </c>
    </row>
    <row r="409" spans="8:22" ht="15" customHeight="1">
      <c r="H409" s="894">
        <v>41694</v>
      </c>
      <c r="I409" s="895"/>
      <c r="J409" s="205">
        <v>75.3643</v>
      </c>
      <c r="K409" s="319">
        <v>84.757999999999996</v>
      </c>
    </row>
    <row r="410" spans="8:22" ht="15" customHeight="1">
      <c r="H410" s="896">
        <v>41691</v>
      </c>
      <c r="I410" s="897"/>
      <c r="J410" s="208">
        <v>75.035700000000006</v>
      </c>
      <c r="K410" s="323">
        <v>84.757999999999996</v>
      </c>
    </row>
    <row r="411" spans="8:22" ht="15" customHeight="1">
      <c r="H411" s="894">
        <v>41690</v>
      </c>
      <c r="I411" s="895"/>
      <c r="J411" s="205">
        <v>75.878600000000006</v>
      </c>
      <c r="K411" s="319">
        <v>84.757999999999996</v>
      </c>
    </row>
    <row r="412" spans="8:22" ht="15" customHeight="1">
      <c r="H412" s="896">
        <v>41689</v>
      </c>
      <c r="I412" s="897"/>
      <c r="J412" s="208">
        <v>76.767099999999999</v>
      </c>
      <c r="K412" s="323">
        <v>84.757999999999996</v>
      </c>
    </row>
    <row r="413" spans="8:22" ht="15" customHeight="1">
      <c r="H413" s="894">
        <v>41688</v>
      </c>
      <c r="I413" s="895"/>
      <c r="J413" s="205">
        <v>77.998599999999996</v>
      </c>
      <c r="K413" s="319">
        <v>84.757999999999996</v>
      </c>
    </row>
    <row r="414" spans="8:22" ht="15" customHeight="1">
      <c r="H414" s="896">
        <v>41687</v>
      </c>
      <c r="I414" s="897"/>
      <c r="J414" s="208">
        <v>77.712900000000005</v>
      </c>
      <c r="K414" s="323">
        <v>84.757999999999996</v>
      </c>
    </row>
    <row r="415" spans="8:22" ht="15" customHeight="1">
      <c r="H415" s="894">
        <v>41684</v>
      </c>
      <c r="I415" s="895"/>
      <c r="J415" s="205">
        <v>77.712900000000005</v>
      </c>
      <c r="K415" s="319">
        <v>84.757999999999996</v>
      </c>
    </row>
    <row r="416" spans="8:22" ht="15" customHeight="1">
      <c r="H416" s="896">
        <v>41683</v>
      </c>
      <c r="I416" s="897"/>
      <c r="J416" s="208">
        <v>77.775700000000001</v>
      </c>
      <c r="K416" s="323">
        <v>84.712999999999994</v>
      </c>
    </row>
    <row r="417" spans="8:11" ht="15" customHeight="1">
      <c r="H417" s="894">
        <v>41682</v>
      </c>
      <c r="I417" s="895"/>
      <c r="J417" s="205">
        <v>76.56</v>
      </c>
      <c r="K417" s="319">
        <v>84.712999999999994</v>
      </c>
    </row>
    <row r="418" spans="8:11" ht="15" customHeight="1">
      <c r="H418" s="896"/>
      <c r="I418" s="897"/>
      <c r="J418" s="208"/>
      <c r="K418" s="323"/>
    </row>
    <row r="419" spans="8:11" ht="15" customHeight="1">
      <c r="H419" s="894"/>
      <c r="I419" s="895"/>
      <c r="J419" s="205"/>
      <c r="K419" s="319"/>
    </row>
    <row r="420" spans="8:11" ht="15" customHeight="1">
      <c r="H420" s="896"/>
      <c r="I420" s="897"/>
      <c r="J420" s="208"/>
      <c r="K420" s="323"/>
    </row>
    <row r="421" spans="8:11" ht="15" customHeight="1">
      <c r="H421" s="906"/>
      <c r="I421" s="907"/>
      <c r="J421" s="176"/>
      <c r="K421" s="186"/>
    </row>
    <row r="422" spans="8:11" ht="15" customHeight="1">
      <c r="H422" s="904"/>
      <c r="I422" s="905"/>
      <c r="J422" s="175"/>
      <c r="K422" s="187"/>
    </row>
    <row r="423" spans="8:11" ht="15" customHeight="1">
      <c r="H423" s="906"/>
      <c r="I423" s="907"/>
      <c r="J423" s="176"/>
      <c r="K423" s="186"/>
    </row>
    <row r="424" spans="8:11" ht="15" customHeight="1">
      <c r="H424" s="904"/>
      <c r="I424" s="905"/>
      <c r="J424" s="175"/>
      <c r="K424" s="187"/>
    </row>
    <row r="425" spans="8:11" ht="15" customHeight="1">
      <c r="H425" s="906"/>
      <c r="I425" s="907"/>
      <c r="J425" s="176"/>
      <c r="K425" s="186"/>
    </row>
    <row r="426" spans="8:11" ht="15" customHeight="1">
      <c r="H426" s="904"/>
      <c r="I426" s="905"/>
      <c r="J426" s="175"/>
      <c r="K426" s="187"/>
    </row>
    <row r="427" spans="8:11" ht="15" customHeight="1">
      <c r="H427" s="906"/>
      <c r="I427" s="907"/>
      <c r="J427" s="176"/>
      <c r="K427" s="186"/>
    </row>
    <row r="428" spans="8:11" ht="15" customHeight="1">
      <c r="H428" s="904"/>
      <c r="I428" s="905"/>
      <c r="J428" s="175"/>
      <c r="K428" s="187"/>
    </row>
    <row r="429" spans="8:11" ht="15" customHeight="1">
      <c r="H429" s="906"/>
      <c r="I429" s="907"/>
      <c r="J429" s="176"/>
      <c r="K429" s="186"/>
    </row>
    <row r="430" spans="8:11" ht="15" customHeight="1">
      <c r="H430" s="904"/>
      <c r="I430" s="905"/>
      <c r="J430" s="175"/>
      <c r="K430" s="187"/>
    </row>
    <row r="431" spans="8:11" ht="15" customHeight="1">
      <c r="H431" s="906"/>
      <c r="I431" s="907"/>
      <c r="J431" s="176"/>
      <c r="K431" s="186"/>
    </row>
    <row r="432" spans="8:11" ht="15" customHeight="1">
      <c r="H432" s="904"/>
      <c r="I432" s="905"/>
      <c r="J432" s="175"/>
      <c r="K432" s="187"/>
    </row>
    <row r="433" spans="8:11" ht="15" customHeight="1">
      <c r="H433" s="906"/>
      <c r="I433" s="907"/>
      <c r="J433" s="176"/>
      <c r="K433" s="186"/>
    </row>
    <row r="434" spans="8:11" ht="15" customHeight="1">
      <c r="H434" s="904"/>
      <c r="I434" s="905"/>
      <c r="J434" s="175"/>
      <c r="K434" s="187"/>
    </row>
    <row r="435" spans="8:11" ht="15" customHeight="1">
      <c r="H435" s="906"/>
      <c r="I435" s="907"/>
      <c r="J435" s="176"/>
      <c r="K435" s="186"/>
    </row>
    <row r="436" spans="8:11" ht="15" customHeight="1">
      <c r="H436" s="904"/>
      <c r="I436" s="905"/>
      <c r="J436" s="175"/>
      <c r="K436" s="187"/>
    </row>
    <row r="437" spans="8:11" ht="15" customHeight="1">
      <c r="H437" s="906"/>
      <c r="I437" s="907"/>
      <c r="J437" s="176"/>
      <c r="K437" s="186"/>
    </row>
    <row r="438" spans="8:11" ht="15" customHeight="1">
      <c r="H438" s="904"/>
      <c r="I438" s="905"/>
      <c r="J438" s="175"/>
      <c r="K438" s="187"/>
    </row>
    <row r="439" spans="8:11" ht="15" customHeight="1">
      <c r="H439" s="906"/>
      <c r="I439" s="907"/>
      <c r="J439" s="176"/>
      <c r="K439" s="186"/>
    </row>
    <row r="440" spans="8:11" ht="15" customHeight="1">
      <c r="H440" s="904"/>
      <c r="I440" s="905"/>
      <c r="J440" s="175"/>
      <c r="K440" s="187"/>
    </row>
    <row r="441" spans="8:11" ht="15" customHeight="1">
      <c r="H441" s="906"/>
      <c r="I441" s="907"/>
      <c r="J441" s="176"/>
      <c r="K441" s="186"/>
    </row>
    <row r="442" spans="8:11" ht="15" customHeight="1">
      <c r="H442" s="904"/>
      <c r="I442" s="905"/>
      <c r="J442" s="175"/>
      <c r="K442" s="187"/>
    </row>
    <row r="443" spans="8:11" ht="15" customHeight="1">
      <c r="H443" s="906"/>
      <c r="I443" s="907"/>
      <c r="J443" s="176"/>
      <c r="K443" s="186"/>
    </row>
    <row r="444" spans="8:11" ht="15" customHeight="1">
      <c r="H444" s="904"/>
      <c r="I444" s="905"/>
      <c r="J444" s="175"/>
      <c r="K444" s="187"/>
    </row>
    <row r="445" spans="8:11" ht="15" customHeight="1">
      <c r="H445" s="906"/>
      <c r="I445" s="907"/>
      <c r="J445" s="176"/>
      <c r="K445" s="186"/>
    </row>
    <row r="446" spans="8:11" ht="15" customHeight="1">
      <c r="H446" s="904"/>
      <c r="I446" s="905"/>
      <c r="J446" s="175"/>
      <c r="K446" s="187"/>
    </row>
    <row r="447" spans="8:11" ht="15" customHeight="1">
      <c r="H447" s="906"/>
      <c r="I447" s="907"/>
      <c r="J447" s="176"/>
      <c r="K447" s="186"/>
    </row>
    <row r="448" spans="8:11" ht="15" customHeight="1">
      <c r="H448" s="904"/>
      <c r="I448" s="905"/>
      <c r="J448" s="175"/>
      <c r="K448" s="187"/>
    </row>
    <row r="449" spans="8:11" ht="15" customHeight="1">
      <c r="H449" s="906"/>
      <c r="I449" s="907"/>
      <c r="J449" s="176"/>
      <c r="K449" s="186"/>
    </row>
    <row r="450" spans="8:11" ht="15" customHeight="1">
      <c r="H450" s="904"/>
      <c r="I450" s="905"/>
      <c r="J450" s="175"/>
      <c r="K450" s="187"/>
    </row>
    <row r="451" spans="8:11" ht="15" customHeight="1">
      <c r="H451" s="906"/>
      <c r="I451" s="907"/>
      <c r="J451" s="176"/>
      <c r="K451" s="186"/>
    </row>
    <row r="452" spans="8:11" ht="15" customHeight="1">
      <c r="H452" s="904"/>
      <c r="I452" s="905"/>
      <c r="J452" s="175"/>
      <c r="K452" s="187"/>
    </row>
    <row r="453" spans="8:11" ht="15" customHeight="1">
      <c r="H453" s="906"/>
      <c r="I453" s="907"/>
      <c r="J453" s="176"/>
      <c r="K453" s="186"/>
    </row>
    <row r="454" spans="8:11" ht="15" customHeight="1">
      <c r="H454" s="904"/>
      <c r="I454" s="905"/>
      <c r="J454" s="175"/>
      <c r="K454" s="187"/>
    </row>
    <row r="455" spans="8:11" ht="15" customHeight="1">
      <c r="H455" s="906"/>
      <c r="I455" s="907"/>
      <c r="J455" s="176"/>
      <c r="K455" s="186"/>
    </row>
    <row r="456" spans="8:11" ht="15" customHeight="1">
      <c r="H456" s="904"/>
      <c r="I456" s="905"/>
      <c r="J456" s="175"/>
      <c r="K456" s="187"/>
    </row>
    <row r="457" spans="8:11" ht="15" customHeight="1">
      <c r="H457" s="906"/>
      <c r="I457" s="907"/>
      <c r="J457" s="176"/>
      <c r="K457" s="186"/>
    </row>
    <row r="458" spans="8:11" ht="15" customHeight="1">
      <c r="H458" s="904"/>
      <c r="I458" s="905"/>
      <c r="J458" s="175"/>
      <c r="K458" s="187"/>
    </row>
    <row r="459" spans="8:11" ht="15" customHeight="1">
      <c r="H459" s="906"/>
      <c r="I459" s="907"/>
      <c r="J459" s="176"/>
      <c r="K459" s="186"/>
    </row>
    <row r="460" spans="8:11" ht="15" customHeight="1">
      <c r="H460" s="904"/>
      <c r="I460" s="905"/>
      <c r="J460" s="175"/>
      <c r="K460" s="187"/>
    </row>
    <row r="461" spans="8:11" ht="15" customHeight="1">
      <c r="H461" s="906"/>
      <c r="I461" s="907"/>
      <c r="J461" s="176"/>
      <c r="K461" s="186"/>
    </row>
    <row r="462" spans="8:11" ht="15" customHeight="1">
      <c r="H462" s="904"/>
      <c r="I462" s="905"/>
      <c r="J462" s="175"/>
      <c r="K462" s="187"/>
    </row>
    <row r="463" spans="8:11" ht="15" customHeight="1">
      <c r="H463" s="906"/>
      <c r="I463" s="907"/>
      <c r="J463" s="176"/>
      <c r="K463" s="186"/>
    </row>
    <row r="464" spans="8:11" ht="15" customHeight="1">
      <c r="H464" s="904"/>
      <c r="I464" s="905"/>
      <c r="J464" s="175"/>
      <c r="K464" s="187"/>
    </row>
    <row r="465" spans="8:11" ht="15" customHeight="1">
      <c r="H465" s="906"/>
      <c r="I465" s="907"/>
      <c r="J465" s="176"/>
      <c r="K465" s="186"/>
    </row>
    <row r="466" spans="8:11" ht="15" customHeight="1">
      <c r="H466" s="904"/>
      <c r="I466" s="905"/>
      <c r="J466" s="175"/>
      <c r="K466" s="187"/>
    </row>
    <row r="467" spans="8:11" ht="15" customHeight="1">
      <c r="H467" s="906"/>
      <c r="I467" s="907"/>
      <c r="J467" s="176"/>
      <c r="K467" s="186"/>
    </row>
    <row r="468" spans="8:11" ht="15" customHeight="1">
      <c r="H468" s="904"/>
      <c r="I468" s="905"/>
      <c r="J468" s="175"/>
      <c r="K468" s="187"/>
    </row>
    <row r="469" spans="8:11" ht="15" customHeight="1">
      <c r="H469" s="906"/>
      <c r="I469" s="907"/>
      <c r="J469" s="176"/>
      <c r="K469" s="186"/>
    </row>
    <row r="470" spans="8:11" ht="15" customHeight="1">
      <c r="H470" s="904"/>
      <c r="I470" s="905"/>
      <c r="J470" s="175"/>
      <c r="K470" s="187"/>
    </row>
    <row r="471" spans="8:11" ht="15" customHeight="1">
      <c r="H471" s="906"/>
      <c r="I471" s="907"/>
      <c r="J471" s="176"/>
      <c r="K471" s="186"/>
    </row>
    <row r="472" spans="8:11" ht="15" customHeight="1">
      <c r="H472" s="904"/>
      <c r="I472" s="905"/>
      <c r="J472" s="175"/>
      <c r="K472" s="187"/>
    </row>
    <row r="473" spans="8:11" ht="15" customHeight="1">
      <c r="H473" s="906"/>
      <c r="I473" s="907"/>
      <c r="J473" s="176"/>
      <c r="K473" s="186"/>
    </row>
    <row r="474" spans="8:11" ht="15" customHeight="1">
      <c r="H474" s="904"/>
      <c r="I474" s="905"/>
      <c r="J474" s="175"/>
      <c r="K474" s="187"/>
    </row>
    <row r="475" spans="8:11" ht="15" customHeight="1">
      <c r="H475" s="906"/>
      <c r="I475" s="907"/>
      <c r="J475" s="176"/>
      <c r="K475" s="186"/>
    </row>
    <row r="476" spans="8:11" ht="15" customHeight="1">
      <c r="H476" s="904"/>
      <c r="I476" s="905"/>
      <c r="J476" s="175"/>
      <c r="K476" s="187"/>
    </row>
    <row r="477" spans="8:11" ht="15" customHeight="1">
      <c r="H477" s="906"/>
      <c r="I477" s="907"/>
      <c r="J477" s="176"/>
      <c r="K477" s="186"/>
    </row>
    <row r="478" spans="8:11" ht="15" customHeight="1">
      <c r="H478" s="904"/>
      <c r="I478" s="905"/>
      <c r="J478" s="175"/>
      <c r="K478" s="187"/>
    </row>
    <row r="479" spans="8:11" ht="15" customHeight="1">
      <c r="H479" s="906"/>
      <c r="I479" s="907"/>
      <c r="J479" s="176"/>
      <c r="K479" s="186"/>
    </row>
    <row r="480" spans="8:11" ht="15" customHeight="1">
      <c r="H480" s="904"/>
      <c r="I480" s="905"/>
      <c r="J480" s="175"/>
      <c r="K480" s="187"/>
    </row>
    <row r="481" spans="8:11" ht="15" customHeight="1">
      <c r="H481" s="906"/>
      <c r="I481" s="907"/>
      <c r="J481" s="176"/>
      <c r="K481" s="186"/>
    </row>
    <row r="482" spans="8:11" ht="15" customHeight="1">
      <c r="H482" s="904"/>
      <c r="I482" s="905"/>
      <c r="J482" s="175"/>
      <c r="K482" s="187"/>
    </row>
    <row r="483" spans="8:11" ht="15" customHeight="1">
      <c r="H483" s="906"/>
      <c r="I483" s="907"/>
      <c r="J483" s="176"/>
      <c r="K483" s="186"/>
    </row>
    <row r="484" spans="8:11" ht="15" customHeight="1">
      <c r="H484" s="904"/>
      <c r="I484" s="905"/>
      <c r="J484" s="175"/>
      <c r="K484" s="187"/>
    </row>
    <row r="485" spans="8:11" ht="15" customHeight="1">
      <c r="H485" s="906"/>
      <c r="I485" s="907"/>
      <c r="J485" s="176"/>
      <c r="K485" s="186"/>
    </row>
    <row r="486" spans="8:11" ht="15" customHeight="1">
      <c r="H486" s="904"/>
      <c r="I486" s="905"/>
      <c r="J486" s="175"/>
      <c r="K486" s="187"/>
    </row>
    <row r="487" spans="8:11" ht="15" customHeight="1">
      <c r="H487" s="906"/>
      <c r="I487" s="907"/>
      <c r="J487" s="176"/>
      <c r="K487" s="186"/>
    </row>
    <row r="488" spans="8:11" ht="15" customHeight="1">
      <c r="H488" s="904"/>
      <c r="I488" s="905"/>
      <c r="J488" s="175"/>
      <c r="K488" s="187"/>
    </row>
    <row r="489" spans="8:11" ht="15" customHeight="1">
      <c r="H489" s="906"/>
      <c r="I489" s="907"/>
      <c r="J489" s="176"/>
      <c r="K489" s="186"/>
    </row>
    <row r="490" spans="8:11" ht="15" customHeight="1">
      <c r="H490" s="904"/>
      <c r="I490" s="905"/>
      <c r="J490" s="175"/>
      <c r="K490" s="187"/>
    </row>
    <row r="491" spans="8:11" ht="15" customHeight="1">
      <c r="H491" s="906"/>
      <c r="I491" s="907"/>
      <c r="J491" s="176"/>
      <c r="K491" s="186"/>
    </row>
    <row r="492" spans="8:11" ht="15" customHeight="1">
      <c r="H492" s="904"/>
      <c r="I492" s="905"/>
      <c r="J492" s="175"/>
      <c r="K492" s="187"/>
    </row>
    <row r="493" spans="8:11" ht="15" customHeight="1">
      <c r="H493" s="906"/>
      <c r="I493" s="907"/>
      <c r="J493" s="176"/>
      <c r="K493" s="186"/>
    </row>
    <row r="494" spans="8:11" ht="15" customHeight="1">
      <c r="H494" s="904"/>
      <c r="I494" s="905"/>
      <c r="J494" s="175"/>
      <c r="K494" s="187"/>
    </row>
    <row r="495" spans="8:11" ht="15" customHeight="1">
      <c r="H495" s="906"/>
      <c r="I495" s="907"/>
      <c r="J495" s="176"/>
      <c r="K495" s="186"/>
    </row>
    <row r="496" spans="8:11" ht="15" customHeight="1">
      <c r="H496" s="904"/>
      <c r="I496" s="905"/>
      <c r="J496" s="175"/>
      <c r="K496" s="187"/>
    </row>
    <row r="497" spans="8:11" ht="15" customHeight="1">
      <c r="H497" s="906"/>
      <c r="I497" s="907"/>
      <c r="J497" s="176"/>
      <c r="K497" s="186"/>
    </row>
    <row r="498" spans="8:11" ht="15" customHeight="1">
      <c r="H498" s="904"/>
      <c r="I498" s="905"/>
      <c r="J498" s="175"/>
      <c r="K498" s="187"/>
    </row>
    <row r="499" spans="8:11" ht="15" customHeight="1">
      <c r="H499" s="906"/>
      <c r="I499" s="907"/>
      <c r="J499" s="176"/>
      <c r="K499" s="186"/>
    </row>
    <row r="500" spans="8:11" ht="15" customHeight="1">
      <c r="H500" s="904"/>
      <c r="I500" s="905"/>
      <c r="J500" s="175"/>
      <c r="K500" s="187"/>
    </row>
    <row r="501" spans="8:11" ht="15" customHeight="1">
      <c r="H501" s="906"/>
      <c r="I501" s="907"/>
      <c r="J501" s="176"/>
      <c r="K501" s="186"/>
    </row>
    <row r="502" spans="8:11" ht="15" customHeight="1">
      <c r="H502" s="904"/>
      <c r="I502" s="905"/>
      <c r="J502" s="175"/>
      <c r="K502" s="187"/>
    </row>
    <row r="503" spans="8:11" ht="15" customHeight="1">
      <c r="H503" s="906"/>
      <c r="I503" s="907"/>
      <c r="J503" s="176"/>
      <c r="K503" s="186"/>
    </row>
    <row r="504" spans="8:11" ht="15" customHeight="1">
      <c r="H504" s="904"/>
      <c r="I504" s="905"/>
      <c r="J504" s="175"/>
      <c r="K504" s="187"/>
    </row>
    <row r="505" spans="8:11" ht="15" customHeight="1">
      <c r="H505" s="906"/>
      <c r="I505" s="907"/>
      <c r="J505" s="176"/>
      <c r="K505" s="186"/>
    </row>
    <row r="506" spans="8:11" ht="15" customHeight="1">
      <c r="H506" s="904"/>
      <c r="I506" s="905"/>
      <c r="J506" s="175"/>
      <c r="K506" s="187"/>
    </row>
    <row r="507" spans="8:11" ht="15" customHeight="1">
      <c r="H507" s="906"/>
      <c r="I507" s="907"/>
      <c r="J507" s="176"/>
      <c r="K507" s="186"/>
    </row>
    <row r="508" spans="8:11" ht="15" customHeight="1">
      <c r="H508" s="904"/>
      <c r="I508" s="905"/>
      <c r="J508" s="175"/>
      <c r="K508" s="187"/>
    </row>
    <row r="509" spans="8:11" ht="15" customHeight="1">
      <c r="H509" s="906"/>
      <c r="I509" s="907"/>
      <c r="J509" s="176"/>
      <c r="K509" s="186"/>
    </row>
    <row r="510" spans="8:11" ht="15" customHeight="1">
      <c r="H510" s="904"/>
      <c r="I510" s="905"/>
      <c r="J510" s="175"/>
      <c r="K510" s="187"/>
    </row>
    <row r="511" spans="8:11" ht="15" customHeight="1">
      <c r="H511" s="906"/>
      <c r="I511" s="907"/>
      <c r="J511" s="176"/>
      <c r="K511" s="186"/>
    </row>
    <row r="512" spans="8:11" ht="15" customHeight="1">
      <c r="H512" s="904"/>
      <c r="I512" s="905"/>
      <c r="J512" s="175"/>
      <c r="K512" s="187"/>
    </row>
    <row r="513" spans="8:11" ht="15" customHeight="1">
      <c r="H513" s="906"/>
      <c r="I513" s="907"/>
      <c r="J513" s="176"/>
      <c r="K513" s="186"/>
    </row>
    <row r="514" spans="8:11" ht="15" customHeight="1">
      <c r="H514" s="904"/>
      <c r="I514" s="905"/>
      <c r="J514" s="175"/>
      <c r="K514" s="187"/>
    </row>
    <row r="515" spans="8:11" ht="15" customHeight="1">
      <c r="H515" s="906"/>
      <c r="I515" s="907"/>
      <c r="J515" s="176"/>
      <c r="K515" s="186"/>
    </row>
    <row r="516" spans="8:11" ht="15" customHeight="1">
      <c r="H516" s="904"/>
      <c r="I516" s="905"/>
      <c r="J516" s="175"/>
      <c r="K516" s="187"/>
    </row>
    <row r="517" spans="8:11" ht="15" customHeight="1">
      <c r="H517" s="906"/>
      <c r="I517" s="907"/>
      <c r="J517" s="176"/>
      <c r="K517" s="186"/>
    </row>
    <row r="518" spans="8:11" ht="15" customHeight="1">
      <c r="H518" s="904"/>
      <c r="I518" s="905"/>
      <c r="J518" s="175"/>
      <c r="K518" s="187"/>
    </row>
    <row r="519" spans="8:11" ht="15" customHeight="1">
      <c r="H519" s="906"/>
      <c r="I519" s="907"/>
      <c r="J519" s="176"/>
      <c r="K519" s="186"/>
    </row>
    <row r="520" spans="8:11" ht="15" customHeight="1">
      <c r="H520" s="904"/>
      <c r="I520" s="905"/>
      <c r="J520" s="175"/>
      <c r="K520" s="187"/>
    </row>
    <row r="521" spans="8:11" ht="15" customHeight="1">
      <c r="H521" s="906"/>
      <c r="I521" s="907"/>
      <c r="J521" s="176"/>
      <c r="K521" s="186"/>
    </row>
    <row r="522" spans="8:11" ht="15" customHeight="1">
      <c r="H522" s="904"/>
      <c r="I522" s="905"/>
      <c r="J522" s="175"/>
      <c r="K522" s="187"/>
    </row>
    <row r="523" spans="8:11" ht="15" customHeight="1">
      <c r="H523" s="906"/>
      <c r="I523" s="907"/>
      <c r="J523" s="176"/>
      <c r="K523" s="186"/>
    </row>
    <row r="524" spans="8:11" ht="15" customHeight="1">
      <c r="H524" s="904"/>
      <c r="I524" s="905"/>
      <c r="J524" s="175"/>
      <c r="K524" s="187"/>
    </row>
    <row r="525" spans="8:11" ht="15" customHeight="1">
      <c r="H525" s="906"/>
      <c r="I525" s="907"/>
      <c r="J525" s="176"/>
      <c r="K525" s="186"/>
    </row>
    <row r="526" spans="8:11" ht="15" customHeight="1">
      <c r="H526" s="904"/>
      <c r="I526" s="905"/>
      <c r="J526" s="175"/>
      <c r="K526" s="187"/>
    </row>
    <row r="527" spans="8:11" ht="15" customHeight="1">
      <c r="H527" s="906"/>
      <c r="I527" s="907"/>
      <c r="J527" s="176"/>
      <c r="K527" s="186"/>
    </row>
    <row r="528" spans="8:11" ht="15" customHeight="1">
      <c r="H528" s="904"/>
      <c r="I528" s="905"/>
      <c r="J528" s="175"/>
      <c r="K528" s="187"/>
    </row>
    <row r="529" spans="8:11" ht="15" customHeight="1">
      <c r="H529" s="906"/>
      <c r="I529" s="907"/>
      <c r="J529" s="176"/>
      <c r="K529" s="186"/>
    </row>
    <row r="530" spans="8:11" ht="15" customHeight="1">
      <c r="H530" s="904"/>
      <c r="I530" s="905"/>
      <c r="J530" s="175"/>
      <c r="K530" s="187"/>
    </row>
    <row r="531" spans="8:11" ht="15" customHeight="1">
      <c r="H531" s="906"/>
      <c r="I531" s="907"/>
      <c r="J531" s="176"/>
      <c r="K531" s="186"/>
    </row>
    <row r="532" spans="8:11" ht="15" customHeight="1">
      <c r="H532" s="904"/>
      <c r="I532" s="905"/>
      <c r="J532" s="175"/>
      <c r="K532" s="187"/>
    </row>
    <row r="533" spans="8:11" ht="15" customHeight="1">
      <c r="H533" s="906"/>
      <c r="I533" s="907"/>
      <c r="J533" s="176"/>
      <c r="K533" s="186"/>
    </row>
    <row r="534" spans="8:11" ht="15" customHeight="1">
      <c r="H534" s="904"/>
      <c r="I534" s="905"/>
      <c r="J534" s="175"/>
      <c r="K534" s="187"/>
    </row>
    <row r="535" spans="8:11" ht="15" customHeight="1">
      <c r="H535" s="906"/>
      <c r="I535" s="907"/>
      <c r="J535" s="176"/>
      <c r="K535" s="186"/>
    </row>
    <row r="536" spans="8:11" ht="15" customHeight="1">
      <c r="H536" s="904"/>
      <c r="I536" s="905"/>
      <c r="J536" s="175"/>
      <c r="K536" s="187"/>
    </row>
    <row r="537" spans="8:11" ht="15" customHeight="1">
      <c r="H537" s="906"/>
      <c r="I537" s="907"/>
      <c r="J537" s="176"/>
      <c r="K537" s="186"/>
    </row>
    <row r="538" spans="8:11" ht="15" customHeight="1">
      <c r="H538" s="904"/>
      <c r="I538" s="905"/>
      <c r="J538" s="175"/>
      <c r="K538" s="187"/>
    </row>
    <row r="539" spans="8:11" ht="15" customHeight="1">
      <c r="H539" s="906"/>
      <c r="I539" s="907"/>
      <c r="J539" s="176"/>
      <c r="K539" s="186"/>
    </row>
    <row r="540" spans="8:11" ht="15" customHeight="1">
      <c r="H540" s="904"/>
      <c r="I540" s="905"/>
      <c r="J540" s="175"/>
      <c r="K540" s="187"/>
    </row>
    <row r="541" spans="8:11" ht="15" customHeight="1">
      <c r="H541" s="906"/>
      <c r="I541" s="907"/>
      <c r="J541" s="176"/>
      <c r="K541" s="186"/>
    </row>
    <row r="542" spans="8:11" ht="15" customHeight="1">
      <c r="H542" s="904"/>
      <c r="I542" s="905"/>
      <c r="J542" s="175"/>
      <c r="K542" s="187"/>
    </row>
    <row r="543" spans="8:11" ht="15" customHeight="1">
      <c r="H543" s="906"/>
      <c r="I543" s="907"/>
      <c r="J543" s="176"/>
      <c r="K543" s="186"/>
    </row>
    <row r="544" spans="8:11" ht="15" customHeight="1">
      <c r="H544" s="904"/>
      <c r="I544" s="905"/>
      <c r="J544" s="175"/>
      <c r="K544" s="187"/>
    </row>
    <row r="545" spans="8:11" ht="15" customHeight="1">
      <c r="H545" s="906"/>
      <c r="I545" s="907"/>
      <c r="J545" s="176"/>
      <c r="K545" s="186"/>
    </row>
    <row r="546" spans="8:11" ht="15" customHeight="1">
      <c r="H546" s="904"/>
      <c r="I546" s="905"/>
      <c r="J546" s="175"/>
      <c r="K546" s="187"/>
    </row>
    <row r="547" spans="8:11" ht="15" customHeight="1">
      <c r="H547" s="906"/>
      <c r="I547" s="907"/>
      <c r="J547" s="176"/>
      <c r="K547" s="186"/>
    </row>
    <row r="548" spans="8:11" ht="15" customHeight="1">
      <c r="H548" s="904"/>
      <c r="I548" s="905"/>
      <c r="J548" s="175"/>
      <c r="K548" s="187"/>
    </row>
    <row r="549" spans="8:11" ht="15" customHeight="1">
      <c r="H549" s="906"/>
      <c r="I549" s="907"/>
      <c r="J549" s="176"/>
      <c r="K549" s="186"/>
    </row>
    <row r="550" spans="8:11" ht="15" customHeight="1">
      <c r="H550" s="904"/>
      <c r="I550" s="905"/>
      <c r="J550" s="175"/>
      <c r="K550" s="187"/>
    </row>
    <row r="551" spans="8:11" ht="15" customHeight="1">
      <c r="H551" s="906"/>
      <c r="I551" s="907"/>
      <c r="J551" s="176"/>
      <c r="K551" s="186"/>
    </row>
    <row r="552" spans="8:11" ht="15" customHeight="1">
      <c r="H552" s="904"/>
      <c r="I552" s="905"/>
      <c r="J552" s="175"/>
      <c r="K552" s="187"/>
    </row>
    <row r="553" spans="8:11" ht="15" customHeight="1">
      <c r="H553" s="906"/>
      <c r="I553" s="907"/>
      <c r="J553" s="176"/>
      <c r="K553" s="186"/>
    </row>
    <row r="554" spans="8:11" ht="15" customHeight="1">
      <c r="H554" s="904"/>
      <c r="I554" s="905"/>
      <c r="J554" s="175"/>
      <c r="K554" s="187"/>
    </row>
    <row r="555" spans="8:11" ht="15" customHeight="1">
      <c r="H555" s="906"/>
      <c r="I555" s="907"/>
      <c r="J555" s="176"/>
      <c r="K555" s="186"/>
    </row>
    <row r="556" spans="8:11" ht="15" customHeight="1">
      <c r="H556" s="904"/>
      <c r="I556" s="905"/>
      <c r="J556" s="175"/>
      <c r="K556" s="187"/>
    </row>
    <row r="557" spans="8:11" ht="15" customHeight="1">
      <c r="H557" s="906"/>
      <c r="I557" s="907"/>
      <c r="J557" s="176"/>
      <c r="K557" s="186"/>
    </row>
    <row r="558" spans="8:11" ht="15" customHeight="1">
      <c r="H558" s="904"/>
      <c r="I558" s="905"/>
      <c r="J558" s="175"/>
      <c r="K558" s="187"/>
    </row>
    <row r="559" spans="8:11" ht="15" customHeight="1">
      <c r="H559" s="906"/>
      <c r="I559" s="907"/>
      <c r="J559" s="176"/>
      <c r="K559" s="186"/>
    </row>
    <row r="560" spans="8:11" ht="15" customHeight="1">
      <c r="H560" s="904"/>
      <c r="I560" s="905"/>
      <c r="J560" s="175"/>
      <c r="K560" s="187"/>
    </row>
    <row r="561" spans="8:11" ht="15" customHeight="1">
      <c r="H561" s="906"/>
      <c r="I561" s="907"/>
      <c r="J561" s="176"/>
      <c r="K561" s="186"/>
    </row>
    <row r="562" spans="8:11" ht="15" customHeight="1">
      <c r="H562" s="904"/>
      <c r="I562" s="905"/>
      <c r="J562" s="175"/>
      <c r="K562" s="187"/>
    </row>
    <row r="563" spans="8:11" ht="15" customHeight="1">
      <c r="H563" s="906"/>
      <c r="I563" s="907"/>
      <c r="J563" s="176"/>
      <c r="K563" s="186"/>
    </row>
    <row r="564" spans="8:11" ht="15" customHeight="1">
      <c r="H564" s="904"/>
      <c r="I564" s="905"/>
      <c r="J564" s="175"/>
      <c r="K564" s="187"/>
    </row>
    <row r="565" spans="8:11" ht="15" customHeight="1">
      <c r="H565" s="906"/>
      <c r="I565" s="907"/>
      <c r="J565" s="176"/>
      <c r="K565" s="186"/>
    </row>
    <row r="566" spans="8:11" ht="15" customHeight="1">
      <c r="H566" s="904"/>
      <c r="I566" s="905"/>
      <c r="J566" s="175"/>
      <c r="K566" s="187"/>
    </row>
    <row r="567" spans="8:11" ht="15" customHeight="1">
      <c r="H567" s="906"/>
      <c r="I567" s="907"/>
      <c r="J567" s="176"/>
      <c r="K567" s="186"/>
    </row>
    <row r="568" spans="8:11" ht="15" customHeight="1">
      <c r="H568" s="904"/>
      <c r="I568" s="905"/>
      <c r="J568" s="175"/>
      <c r="K568" s="187"/>
    </row>
    <row r="569" spans="8:11" ht="15" customHeight="1">
      <c r="H569" s="906"/>
      <c r="I569" s="907"/>
      <c r="J569" s="176"/>
      <c r="K569" s="186"/>
    </row>
    <row r="570" spans="8:11" ht="15" customHeight="1">
      <c r="H570" s="904"/>
      <c r="I570" s="905"/>
      <c r="J570" s="175"/>
      <c r="K570" s="187"/>
    </row>
    <row r="571" spans="8:11" ht="15" customHeight="1">
      <c r="H571" s="906"/>
      <c r="I571" s="907"/>
      <c r="J571" s="176"/>
      <c r="K571" s="186"/>
    </row>
    <row r="572" spans="8:11" ht="15" customHeight="1">
      <c r="H572" s="904"/>
      <c r="I572" s="905"/>
      <c r="J572" s="175"/>
      <c r="K572" s="187"/>
    </row>
    <row r="573" spans="8:11" ht="15" customHeight="1">
      <c r="H573" s="906"/>
      <c r="I573" s="907"/>
      <c r="J573" s="176"/>
      <c r="K573" s="186"/>
    </row>
    <row r="574" spans="8:11" ht="15" customHeight="1">
      <c r="H574" s="904"/>
      <c r="I574" s="905"/>
      <c r="J574" s="175"/>
      <c r="K574" s="187"/>
    </row>
    <row r="575" spans="8:11" ht="15" customHeight="1">
      <c r="H575" s="906"/>
      <c r="I575" s="907"/>
      <c r="J575" s="176"/>
      <c r="K575" s="186"/>
    </row>
    <row r="576" spans="8:11" ht="15" customHeight="1">
      <c r="H576" s="904"/>
      <c r="I576" s="905"/>
      <c r="J576" s="175"/>
      <c r="K576" s="187"/>
    </row>
    <row r="577" spans="8:11" ht="15" customHeight="1">
      <c r="H577" s="906"/>
      <c r="I577" s="907"/>
      <c r="J577" s="176"/>
      <c r="K577" s="186"/>
    </row>
    <row r="578" spans="8:11" ht="15" customHeight="1">
      <c r="H578" s="900"/>
      <c r="I578" s="901"/>
      <c r="J578" s="175"/>
      <c r="K578" s="187"/>
    </row>
    <row r="579" spans="8:11" ht="15" customHeight="1">
      <c r="H579" s="898"/>
      <c r="I579" s="899"/>
      <c r="J579" s="176"/>
      <c r="K579" s="186"/>
    </row>
    <row r="580" spans="8:11" ht="15" customHeight="1">
      <c r="H580" s="900"/>
      <c r="I580" s="901"/>
      <c r="J580" s="175"/>
      <c r="K580" s="187"/>
    </row>
    <row r="581" spans="8:11" ht="15" customHeight="1">
      <c r="H581" s="898"/>
      <c r="I581" s="899"/>
      <c r="J581" s="176"/>
      <c r="K581" s="186"/>
    </row>
    <row r="582" spans="8:11" ht="15" customHeight="1">
      <c r="H582" s="900"/>
      <c r="I582" s="901"/>
      <c r="J582" s="175"/>
      <c r="K582" s="187"/>
    </row>
    <row r="583" spans="8:11" ht="15" customHeight="1">
      <c r="H583" s="898"/>
      <c r="I583" s="899"/>
      <c r="J583" s="176"/>
      <c r="K583" s="186"/>
    </row>
    <row r="584" spans="8:11" ht="15" customHeight="1">
      <c r="H584" s="900"/>
      <c r="I584" s="901"/>
      <c r="J584" s="175"/>
      <c r="K584" s="187"/>
    </row>
    <row r="585" spans="8:11" ht="15" customHeight="1">
      <c r="H585" s="898"/>
      <c r="I585" s="899"/>
      <c r="J585" s="176"/>
      <c r="K585" s="186"/>
    </row>
    <row r="586" spans="8:11" ht="15" customHeight="1">
      <c r="H586" s="900"/>
      <c r="I586" s="901"/>
      <c r="J586" s="175"/>
      <c r="K586" s="187"/>
    </row>
    <row r="587" spans="8:11" ht="15" customHeight="1">
      <c r="H587" s="898"/>
      <c r="I587" s="899"/>
      <c r="J587" s="176"/>
      <c r="K587" s="186"/>
    </row>
    <row r="588" spans="8:11" ht="15" customHeight="1">
      <c r="H588" s="900"/>
      <c r="I588" s="901"/>
      <c r="J588" s="175"/>
      <c r="K588" s="187"/>
    </row>
    <row r="589" spans="8:11" ht="15" customHeight="1">
      <c r="H589" s="898"/>
      <c r="I589" s="899"/>
      <c r="J589" s="176"/>
      <c r="K589" s="186"/>
    </row>
    <row r="590" spans="8:11" ht="15" customHeight="1">
      <c r="H590" s="900"/>
      <c r="I590" s="901"/>
      <c r="J590" s="175"/>
      <c r="K590" s="187"/>
    </row>
    <row r="591" spans="8:11" ht="15" customHeight="1">
      <c r="H591" s="898"/>
      <c r="I591" s="899"/>
      <c r="J591" s="176"/>
      <c r="K591" s="186"/>
    </row>
    <row r="592" spans="8:11" ht="15" customHeight="1">
      <c r="H592" s="900"/>
      <c r="I592" s="901"/>
      <c r="J592" s="175"/>
      <c r="K592" s="187"/>
    </row>
    <row r="593" spans="8:11" ht="15" customHeight="1">
      <c r="H593" s="898"/>
      <c r="I593" s="899"/>
      <c r="J593" s="176"/>
      <c r="K593" s="186"/>
    </row>
    <row r="594" spans="8:11" ht="15" customHeight="1">
      <c r="H594" s="900"/>
      <c r="I594" s="901"/>
      <c r="J594" s="175"/>
      <c r="K594" s="187"/>
    </row>
    <row r="595" spans="8:11" ht="15" customHeight="1">
      <c r="H595" s="898"/>
      <c r="I595" s="899"/>
      <c r="J595" s="176"/>
      <c r="K595" s="186"/>
    </row>
    <row r="596" spans="8:11" ht="15" customHeight="1">
      <c r="H596" s="900"/>
      <c r="I596" s="901"/>
      <c r="J596" s="175"/>
      <c r="K596" s="187"/>
    </row>
    <row r="597" spans="8:11" ht="15" customHeight="1">
      <c r="H597" s="898"/>
      <c r="I597" s="899"/>
      <c r="J597" s="176"/>
      <c r="K597" s="186"/>
    </row>
    <row r="598" spans="8:11" ht="15" customHeight="1">
      <c r="H598" s="900"/>
      <c r="I598" s="901"/>
      <c r="J598" s="175"/>
      <c r="K598" s="187"/>
    </row>
    <row r="599" spans="8:11" ht="15" customHeight="1">
      <c r="H599" s="898"/>
      <c r="I599" s="899"/>
      <c r="J599" s="176"/>
      <c r="K599" s="186"/>
    </row>
    <row r="600" spans="8:11" ht="15" customHeight="1">
      <c r="H600" s="900"/>
      <c r="I600" s="901"/>
      <c r="J600" s="175"/>
      <c r="K600" s="187"/>
    </row>
    <row r="601" spans="8:11" ht="15" customHeight="1">
      <c r="H601" s="898"/>
      <c r="I601" s="899"/>
      <c r="J601" s="176"/>
      <c r="K601" s="186"/>
    </row>
    <row r="602" spans="8:11" ht="15" customHeight="1">
      <c r="H602" s="900"/>
      <c r="I602" s="901"/>
      <c r="J602" s="175"/>
      <c r="K602" s="187"/>
    </row>
    <row r="603" spans="8:11" ht="15" customHeight="1">
      <c r="H603" s="898"/>
      <c r="I603" s="899"/>
      <c r="J603" s="176"/>
      <c r="K603" s="186"/>
    </row>
    <row r="604" spans="8:11" ht="15" customHeight="1">
      <c r="H604" s="900"/>
      <c r="I604" s="901"/>
      <c r="J604" s="175"/>
      <c r="K604" s="187"/>
    </row>
    <row r="605" spans="8:11" ht="15" customHeight="1">
      <c r="H605" s="898"/>
      <c r="I605" s="899"/>
      <c r="J605" s="176"/>
      <c r="K605" s="186"/>
    </row>
    <row r="606" spans="8:11" ht="15" customHeight="1">
      <c r="H606" s="900"/>
      <c r="I606" s="901"/>
      <c r="J606" s="175"/>
      <c r="K606" s="187"/>
    </row>
    <row r="607" spans="8:11" ht="15" customHeight="1">
      <c r="H607" s="898"/>
      <c r="I607" s="899"/>
      <c r="J607" s="176"/>
      <c r="K607" s="186"/>
    </row>
    <row r="608" spans="8:11" ht="15" customHeight="1">
      <c r="H608" s="900"/>
      <c r="I608" s="901"/>
      <c r="J608" s="175"/>
      <c r="K608" s="187"/>
    </row>
    <row r="609" spans="8:11" ht="15" customHeight="1">
      <c r="H609" s="898"/>
      <c r="I609" s="899"/>
      <c r="J609" s="176"/>
      <c r="K609" s="186"/>
    </row>
    <row r="610" spans="8:11" ht="15" customHeight="1">
      <c r="H610" s="900"/>
      <c r="I610" s="901"/>
      <c r="J610" s="175"/>
      <c r="K610" s="187"/>
    </row>
    <row r="611" spans="8:11" ht="15" customHeight="1">
      <c r="H611" s="898"/>
      <c r="I611" s="899"/>
      <c r="J611" s="176"/>
      <c r="K611" s="186"/>
    </row>
    <row r="612" spans="8:11" ht="15" customHeight="1">
      <c r="H612" s="900"/>
      <c r="I612" s="901"/>
      <c r="J612" s="175"/>
      <c r="K612" s="187"/>
    </row>
    <row r="613" spans="8:11" ht="15" customHeight="1">
      <c r="H613" s="898"/>
      <c r="I613" s="899"/>
      <c r="J613" s="176"/>
      <c r="K613" s="186"/>
    </row>
    <row r="614" spans="8:11" ht="15" customHeight="1">
      <c r="H614" s="900"/>
      <c r="I614" s="901"/>
      <c r="J614" s="175"/>
      <c r="K614" s="187"/>
    </row>
    <row r="615" spans="8:11" ht="15" customHeight="1">
      <c r="H615" s="898"/>
      <c r="I615" s="899"/>
      <c r="J615" s="176"/>
      <c r="K615" s="186"/>
    </row>
    <row r="616" spans="8:11" ht="15" customHeight="1">
      <c r="H616" s="900"/>
      <c r="I616" s="901"/>
      <c r="J616" s="175"/>
      <c r="K616" s="187"/>
    </row>
    <row r="617" spans="8:11" ht="15" customHeight="1">
      <c r="H617" s="898"/>
      <c r="I617" s="899"/>
      <c r="J617" s="176"/>
      <c r="K617" s="186"/>
    </row>
    <row r="618" spans="8:11" ht="15" customHeight="1">
      <c r="H618" s="900"/>
      <c r="I618" s="901"/>
      <c r="J618" s="175"/>
      <c r="K618" s="187"/>
    </row>
    <row r="619" spans="8:11" ht="15" customHeight="1">
      <c r="H619" s="898"/>
      <c r="I619" s="899"/>
      <c r="J619" s="176"/>
      <c r="K619" s="186"/>
    </row>
    <row r="620" spans="8:11" ht="15" customHeight="1">
      <c r="H620" s="900"/>
      <c r="I620" s="901"/>
      <c r="J620" s="175"/>
      <c r="K620" s="187"/>
    </row>
    <row r="621" spans="8:11" ht="15" customHeight="1">
      <c r="H621" s="898"/>
      <c r="I621" s="899"/>
      <c r="J621" s="176"/>
      <c r="K621" s="186"/>
    </row>
    <row r="622" spans="8:11" ht="15" customHeight="1">
      <c r="H622" s="900"/>
      <c r="I622" s="901"/>
      <c r="J622" s="175"/>
      <c r="K622" s="187"/>
    </row>
    <row r="623" spans="8:11" ht="15" customHeight="1">
      <c r="H623" s="898"/>
      <c r="I623" s="899"/>
      <c r="J623" s="176"/>
      <c r="K623" s="186"/>
    </row>
    <row r="624" spans="8:11" ht="15" customHeight="1">
      <c r="H624" s="900"/>
      <c r="I624" s="901"/>
      <c r="J624" s="175"/>
      <c r="K624" s="187"/>
    </row>
    <row r="625" spans="8:11" ht="15" customHeight="1">
      <c r="H625" s="898"/>
      <c r="I625" s="899"/>
      <c r="J625" s="176"/>
      <c r="K625" s="186"/>
    </row>
    <row r="626" spans="8:11" ht="15" customHeight="1">
      <c r="H626" s="900"/>
      <c r="I626" s="901"/>
      <c r="J626" s="175"/>
      <c r="K626" s="187"/>
    </row>
    <row r="627" spans="8:11" ht="15" customHeight="1">
      <c r="H627" s="898"/>
      <c r="I627" s="899"/>
      <c r="J627" s="176"/>
      <c r="K627" s="186"/>
    </row>
    <row r="628" spans="8:11" ht="15" customHeight="1">
      <c r="H628" s="900"/>
      <c r="I628" s="901"/>
      <c r="J628" s="175"/>
      <c r="K628" s="187"/>
    </row>
    <row r="629" spans="8:11" ht="15" customHeight="1">
      <c r="H629" s="898"/>
      <c r="I629" s="899"/>
      <c r="J629" s="176"/>
      <c r="K629" s="186"/>
    </row>
    <row r="630" spans="8:11" ht="15" customHeight="1">
      <c r="H630" s="900"/>
      <c r="I630" s="901"/>
      <c r="J630" s="175"/>
      <c r="K630" s="187"/>
    </row>
    <row r="631" spans="8:11" ht="15" customHeight="1">
      <c r="H631" s="898"/>
      <c r="I631" s="899"/>
      <c r="J631" s="176"/>
      <c r="K631" s="186"/>
    </row>
    <row r="632" spans="8:11" ht="15" customHeight="1">
      <c r="H632" s="900"/>
      <c r="I632" s="901"/>
      <c r="J632" s="175"/>
      <c r="K632" s="187"/>
    </row>
    <row r="633" spans="8:11" ht="15" customHeight="1">
      <c r="H633" s="898"/>
      <c r="I633" s="899"/>
      <c r="J633" s="176"/>
      <c r="K633" s="186"/>
    </row>
    <row r="634" spans="8:11" ht="15" customHeight="1">
      <c r="H634" s="900"/>
      <c r="I634" s="901"/>
      <c r="J634" s="175"/>
      <c r="K634" s="187"/>
    </row>
    <row r="635" spans="8:11" ht="15" customHeight="1">
      <c r="H635" s="898"/>
      <c r="I635" s="899"/>
      <c r="J635" s="176"/>
      <c r="K635" s="186"/>
    </row>
    <row r="636" spans="8:11" ht="15" customHeight="1">
      <c r="H636" s="900"/>
      <c r="I636" s="901"/>
      <c r="J636" s="175"/>
      <c r="K636" s="187"/>
    </row>
    <row r="637" spans="8:11" ht="15" customHeight="1">
      <c r="H637" s="898"/>
      <c r="I637" s="899"/>
      <c r="J637" s="176"/>
      <c r="K637" s="186"/>
    </row>
    <row r="638" spans="8:11" ht="15" customHeight="1">
      <c r="H638" s="900"/>
      <c r="I638" s="901"/>
      <c r="J638" s="175"/>
      <c r="K638" s="187"/>
    </row>
    <row r="639" spans="8:11" ht="15" customHeight="1">
      <c r="H639" s="898"/>
      <c r="I639" s="899"/>
      <c r="J639" s="176"/>
      <c r="K639" s="186"/>
    </row>
    <row r="640" spans="8:11" ht="15" customHeight="1">
      <c r="H640" s="900"/>
      <c r="I640" s="901"/>
      <c r="J640" s="175"/>
      <c r="K640" s="187"/>
    </row>
    <row r="641" spans="8:11" ht="15" customHeight="1">
      <c r="H641" s="898"/>
      <c r="I641" s="899"/>
      <c r="J641" s="176"/>
      <c r="K641" s="186"/>
    </row>
    <row r="642" spans="8:11" ht="15" customHeight="1">
      <c r="H642" s="900"/>
      <c r="I642" s="901"/>
      <c r="J642" s="175"/>
      <c r="K642" s="187"/>
    </row>
    <row r="643" spans="8:11" ht="15" customHeight="1">
      <c r="H643" s="898"/>
      <c r="I643" s="899"/>
      <c r="J643" s="176"/>
      <c r="K643" s="186"/>
    </row>
    <row r="644" spans="8:11" ht="15" customHeight="1">
      <c r="H644" s="900"/>
      <c r="I644" s="901"/>
      <c r="J644" s="175"/>
      <c r="K644" s="187"/>
    </row>
    <row r="645" spans="8:11" ht="15" customHeight="1">
      <c r="H645" s="898"/>
      <c r="I645" s="899"/>
      <c r="J645" s="176"/>
      <c r="K645" s="186"/>
    </row>
    <row r="646" spans="8:11" ht="15" customHeight="1">
      <c r="H646" s="900"/>
      <c r="I646" s="901"/>
      <c r="J646" s="175"/>
      <c r="K646" s="187"/>
    </row>
    <row r="647" spans="8:11" ht="15" customHeight="1">
      <c r="H647" s="898"/>
      <c r="I647" s="899"/>
      <c r="J647" s="176"/>
      <c r="K647" s="186"/>
    </row>
    <row r="648" spans="8:11" ht="15" customHeight="1">
      <c r="H648" s="900"/>
      <c r="I648" s="901"/>
      <c r="J648" s="175"/>
      <c r="K648" s="187"/>
    </row>
    <row r="649" spans="8:11" ht="15" customHeight="1">
      <c r="H649" s="898"/>
      <c r="I649" s="899"/>
      <c r="J649" s="176"/>
      <c r="K649" s="186"/>
    </row>
    <row r="650" spans="8:11" ht="15" customHeight="1">
      <c r="H650" s="900"/>
      <c r="I650" s="901"/>
      <c r="J650" s="175"/>
      <c r="K650" s="187"/>
    </row>
    <row r="651" spans="8:11" ht="15" customHeight="1">
      <c r="H651" s="898"/>
      <c r="I651" s="899"/>
      <c r="J651" s="176"/>
      <c r="K651" s="186"/>
    </row>
    <row r="652" spans="8:11" ht="15" customHeight="1">
      <c r="H652" s="900"/>
      <c r="I652" s="901"/>
      <c r="J652" s="175"/>
      <c r="K652" s="187"/>
    </row>
    <row r="653" spans="8:11" ht="15" customHeight="1">
      <c r="H653" s="898"/>
      <c r="I653" s="899"/>
      <c r="J653" s="176"/>
      <c r="K653" s="186"/>
    </row>
    <row r="654" spans="8:11" ht="15" customHeight="1">
      <c r="H654" s="900"/>
      <c r="I654" s="901"/>
      <c r="J654" s="175"/>
      <c r="K654" s="187"/>
    </row>
    <row r="655" spans="8:11" ht="15" customHeight="1">
      <c r="H655" s="898"/>
      <c r="I655" s="899"/>
      <c r="J655" s="176"/>
      <c r="K655" s="186"/>
    </row>
    <row r="656" spans="8:11" ht="15" customHeight="1">
      <c r="H656" s="900"/>
      <c r="I656" s="901"/>
      <c r="J656" s="175"/>
      <c r="K656" s="187"/>
    </row>
    <row r="657" spans="8:11" ht="15" customHeight="1">
      <c r="H657" s="898"/>
      <c r="I657" s="899"/>
      <c r="J657" s="176"/>
      <c r="K657" s="186"/>
    </row>
    <row r="658" spans="8:11" ht="15" customHeight="1">
      <c r="H658" s="900"/>
      <c r="I658" s="901"/>
      <c r="J658" s="175"/>
      <c r="K658" s="187"/>
    </row>
    <row r="659" spans="8:11" ht="15" customHeight="1">
      <c r="H659" s="898"/>
      <c r="I659" s="899"/>
      <c r="J659" s="176"/>
      <c r="K659" s="186"/>
    </row>
    <row r="660" spans="8:11" ht="15" customHeight="1">
      <c r="H660" s="900"/>
      <c r="I660" s="901"/>
      <c r="J660" s="175"/>
      <c r="K660" s="187"/>
    </row>
    <row r="661" spans="8:11" ht="15" customHeight="1">
      <c r="H661" s="898"/>
      <c r="I661" s="899"/>
      <c r="J661" s="176"/>
      <c r="K661" s="186"/>
    </row>
    <row r="662" spans="8:11" ht="15" customHeight="1">
      <c r="H662" s="900"/>
      <c r="I662" s="901"/>
      <c r="J662" s="175"/>
      <c r="K662" s="187"/>
    </row>
    <row r="663" spans="8:11" ht="15" customHeight="1">
      <c r="H663" s="898"/>
      <c r="I663" s="899"/>
      <c r="J663" s="176"/>
      <c r="K663" s="186"/>
    </row>
    <row r="664" spans="8:11" ht="15" customHeight="1">
      <c r="H664" s="900"/>
      <c r="I664" s="901"/>
      <c r="J664" s="175"/>
      <c r="K664" s="187"/>
    </row>
    <row r="665" spans="8:11" ht="15" customHeight="1">
      <c r="H665" s="898"/>
      <c r="I665" s="899"/>
      <c r="J665" s="176"/>
      <c r="K665" s="186"/>
    </row>
    <row r="666" spans="8:11" ht="15" customHeight="1">
      <c r="H666" s="900"/>
      <c r="I666" s="901"/>
      <c r="J666" s="175"/>
      <c r="K666" s="187"/>
    </row>
    <row r="667" spans="8:11" ht="15" customHeight="1">
      <c r="H667" s="898"/>
      <c r="I667" s="899"/>
      <c r="J667" s="176"/>
      <c r="K667" s="186"/>
    </row>
    <row r="668" spans="8:11" ht="15" customHeight="1">
      <c r="H668" s="900"/>
      <c r="I668" s="901"/>
      <c r="J668" s="175"/>
      <c r="K668" s="187"/>
    </row>
    <row r="669" spans="8:11" ht="15" customHeight="1">
      <c r="H669" s="898"/>
      <c r="I669" s="899"/>
      <c r="J669" s="176"/>
      <c r="K669" s="186"/>
    </row>
    <row r="670" spans="8:11" ht="15" customHeight="1">
      <c r="H670" s="900"/>
      <c r="I670" s="901"/>
      <c r="J670" s="175"/>
      <c r="K670" s="187"/>
    </row>
    <row r="671" spans="8:11" ht="15" customHeight="1">
      <c r="H671" s="898"/>
      <c r="I671" s="899"/>
      <c r="J671" s="176"/>
      <c r="K671" s="186"/>
    </row>
    <row r="672" spans="8:11" ht="15" customHeight="1">
      <c r="H672" s="900"/>
      <c r="I672" s="901"/>
      <c r="J672" s="175"/>
      <c r="K672" s="187"/>
    </row>
    <row r="673" spans="8:11" ht="15" customHeight="1">
      <c r="H673" s="898"/>
      <c r="I673" s="899"/>
      <c r="J673" s="176"/>
      <c r="K673" s="186"/>
    </row>
    <row r="674" spans="8:11" ht="15" customHeight="1">
      <c r="H674" s="900"/>
      <c r="I674" s="901"/>
      <c r="J674" s="175"/>
      <c r="K674" s="187"/>
    </row>
    <row r="675" spans="8:11" ht="15" customHeight="1">
      <c r="H675" s="898"/>
      <c r="I675" s="899"/>
      <c r="J675" s="176"/>
      <c r="K675" s="186"/>
    </row>
    <row r="676" spans="8:11" ht="15" customHeight="1">
      <c r="H676" s="900"/>
      <c r="I676" s="901"/>
      <c r="J676" s="175"/>
      <c r="K676" s="187"/>
    </row>
    <row r="677" spans="8:11" ht="15" customHeight="1">
      <c r="H677" s="898"/>
      <c r="I677" s="899"/>
      <c r="J677" s="176"/>
      <c r="K677" s="186"/>
    </row>
    <row r="678" spans="8:11" ht="15" customHeight="1">
      <c r="H678" s="900"/>
      <c r="I678" s="901"/>
      <c r="J678" s="175"/>
      <c r="K678" s="187"/>
    </row>
    <row r="679" spans="8:11" ht="15" customHeight="1">
      <c r="H679" s="898"/>
      <c r="I679" s="899"/>
      <c r="J679" s="176"/>
      <c r="K679" s="186"/>
    </row>
    <row r="680" spans="8:11" ht="15" customHeight="1">
      <c r="H680" s="900"/>
      <c r="I680" s="901"/>
      <c r="J680" s="175"/>
      <c r="K680" s="187"/>
    </row>
    <row r="681" spans="8:11" ht="15" customHeight="1">
      <c r="H681" s="898"/>
      <c r="I681" s="899"/>
      <c r="J681" s="176"/>
      <c r="K681" s="186"/>
    </row>
    <row r="682" spans="8:11" ht="15" customHeight="1">
      <c r="H682" s="900"/>
      <c r="I682" s="901"/>
      <c r="J682" s="175"/>
      <c r="K682" s="187"/>
    </row>
    <row r="683" spans="8:11" ht="15" customHeight="1">
      <c r="H683" s="898"/>
      <c r="I683" s="899"/>
      <c r="J683" s="176"/>
      <c r="K683" s="186"/>
    </row>
    <row r="684" spans="8:11" ht="15" customHeight="1">
      <c r="H684" s="900"/>
      <c r="I684" s="901"/>
      <c r="J684" s="175"/>
      <c r="K684" s="187"/>
    </row>
    <row r="685" spans="8:11" ht="15" customHeight="1">
      <c r="H685" s="898"/>
      <c r="I685" s="899"/>
      <c r="J685" s="176"/>
      <c r="K685" s="186"/>
    </row>
    <row r="686" spans="8:11" ht="15" customHeight="1">
      <c r="H686" s="900"/>
      <c r="I686" s="901"/>
      <c r="J686" s="175"/>
      <c r="K686" s="187"/>
    </row>
    <row r="687" spans="8:11" ht="15" customHeight="1">
      <c r="H687" s="898"/>
      <c r="I687" s="899"/>
      <c r="J687" s="176"/>
      <c r="K687" s="186"/>
    </row>
    <row r="688" spans="8:11" ht="15" customHeight="1">
      <c r="H688" s="900"/>
      <c r="I688" s="901"/>
      <c r="J688" s="175"/>
      <c r="K688" s="187"/>
    </row>
    <row r="689" spans="8:11" ht="15" customHeight="1">
      <c r="H689" s="898"/>
      <c r="I689" s="899"/>
      <c r="J689" s="176"/>
      <c r="K689" s="186"/>
    </row>
    <row r="690" spans="8:11" ht="15" customHeight="1">
      <c r="H690" s="900"/>
      <c r="I690" s="901"/>
      <c r="J690" s="175"/>
      <c r="K690" s="187"/>
    </row>
    <row r="691" spans="8:11" ht="15" customHeight="1">
      <c r="H691" s="898"/>
      <c r="I691" s="899"/>
      <c r="J691" s="176"/>
      <c r="K691" s="186"/>
    </row>
    <row r="692" spans="8:11" ht="15" customHeight="1">
      <c r="H692" s="900"/>
      <c r="I692" s="901"/>
      <c r="J692" s="175"/>
      <c r="K692" s="187"/>
    </row>
    <row r="693" spans="8:11" ht="15" customHeight="1">
      <c r="H693" s="898"/>
      <c r="I693" s="899"/>
      <c r="J693" s="176"/>
      <c r="K693" s="186"/>
    </row>
    <row r="694" spans="8:11" ht="15" customHeight="1">
      <c r="H694" s="900"/>
      <c r="I694" s="901"/>
      <c r="J694" s="175"/>
      <c r="K694" s="187"/>
    </row>
    <row r="695" spans="8:11" ht="15" customHeight="1">
      <c r="H695" s="898"/>
      <c r="I695" s="899"/>
      <c r="J695" s="176"/>
      <c r="K695" s="186"/>
    </row>
    <row r="696" spans="8:11" ht="15" customHeight="1">
      <c r="H696" s="900"/>
      <c r="I696" s="901"/>
      <c r="J696" s="175"/>
      <c r="K696" s="187"/>
    </row>
    <row r="697" spans="8:11" ht="15" customHeight="1">
      <c r="H697" s="898"/>
      <c r="I697" s="899"/>
      <c r="J697" s="176"/>
      <c r="K697" s="186"/>
    </row>
    <row r="698" spans="8:11" ht="15" customHeight="1">
      <c r="H698" s="900"/>
      <c r="I698" s="901"/>
      <c r="J698" s="175"/>
      <c r="K698" s="187"/>
    </row>
    <row r="699" spans="8:11" ht="15" customHeight="1">
      <c r="H699" s="898"/>
      <c r="I699" s="899"/>
      <c r="J699" s="176"/>
      <c r="K699" s="186"/>
    </row>
    <row r="700" spans="8:11" ht="15" customHeight="1">
      <c r="H700" s="900"/>
      <c r="I700" s="901"/>
      <c r="J700" s="175"/>
      <c r="K700" s="187"/>
    </row>
    <row r="701" spans="8:11" ht="15" customHeight="1">
      <c r="H701" s="898"/>
      <c r="I701" s="899"/>
      <c r="J701" s="176"/>
      <c r="K701" s="186"/>
    </row>
    <row r="702" spans="8:11" ht="15" customHeight="1">
      <c r="H702" s="900"/>
      <c r="I702" s="901"/>
      <c r="J702" s="175"/>
      <c r="K702" s="187"/>
    </row>
    <row r="703" spans="8:11" ht="15" customHeight="1">
      <c r="H703" s="898"/>
      <c r="I703" s="899"/>
      <c r="J703" s="176"/>
      <c r="K703" s="186"/>
    </row>
    <row r="704" spans="8:11" ht="15" customHeight="1">
      <c r="H704" s="900"/>
      <c r="I704" s="901"/>
      <c r="J704" s="175"/>
      <c r="K704" s="187"/>
    </row>
    <row r="705" spans="8:11" ht="15" customHeight="1">
      <c r="H705" s="898"/>
      <c r="I705" s="899"/>
      <c r="J705" s="176"/>
      <c r="K705" s="186"/>
    </row>
    <row r="706" spans="8:11" ht="15" customHeight="1">
      <c r="H706" s="900"/>
      <c r="I706" s="901"/>
      <c r="J706" s="175"/>
      <c r="K706" s="187"/>
    </row>
    <row r="707" spans="8:11" ht="15" customHeight="1">
      <c r="H707" s="898"/>
      <c r="I707" s="899"/>
      <c r="J707" s="176"/>
      <c r="K707" s="186"/>
    </row>
    <row r="708" spans="8:11" ht="15" customHeight="1">
      <c r="H708" s="900"/>
      <c r="I708" s="901"/>
      <c r="J708" s="175"/>
      <c r="K708" s="187"/>
    </row>
    <row r="709" spans="8:11" ht="15" customHeight="1">
      <c r="H709" s="898"/>
      <c r="I709" s="899"/>
      <c r="J709" s="176"/>
      <c r="K709" s="186"/>
    </row>
    <row r="710" spans="8:11" ht="15" customHeight="1">
      <c r="H710" s="900"/>
      <c r="I710" s="901"/>
      <c r="J710" s="175"/>
      <c r="K710" s="187"/>
    </row>
    <row r="711" spans="8:11" ht="15" customHeight="1">
      <c r="H711" s="898"/>
      <c r="I711" s="899"/>
      <c r="J711" s="176"/>
      <c r="K711" s="186"/>
    </row>
    <row r="712" spans="8:11" ht="15" customHeight="1">
      <c r="H712" s="900"/>
      <c r="I712" s="901"/>
      <c r="J712" s="175"/>
      <c r="K712" s="187"/>
    </row>
    <row r="713" spans="8:11" ht="15" customHeight="1">
      <c r="H713" s="898"/>
      <c r="I713" s="899"/>
      <c r="J713" s="176"/>
      <c r="K713" s="186"/>
    </row>
    <row r="714" spans="8:11" ht="15" customHeight="1">
      <c r="H714" s="900"/>
      <c r="I714" s="901"/>
      <c r="J714" s="175"/>
      <c r="K714" s="187"/>
    </row>
    <row r="715" spans="8:11" ht="15" customHeight="1">
      <c r="H715" s="898"/>
      <c r="I715" s="899"/>
      <c r="J715" s="176"/>
      <c r="K715" s="186"/>
    </row>
    <row r="716" spans="8:11" ht="15" customHeight="1">
      <c r="H716" s="900"/>
      <c r="I716" s="901"/>
      <c r="J716" s="175"/>
      <c r="K716" s="187"/>
    </row>
    <row r="717" spans="8:11" ht="15" customHeight="1">
      <c r="H717" s="898"/>
      <c r="I717" s="899"/>
      <c r="J717" s="176"/>
      <c r="K717" s="186"/>
    </row>
    <row r="718" spans="8:11" ht="15" customHeight="1">
      <c r="H718" s="900"/>
      <c r="I718" s="901"/>
      <c r="J718" s="175"/>
      <c r="K718" s="187"/>
    </row>
    <row r="719" spans="8:11" ht="15" customHeight="1">
      <c r="H719" s="898"/>
      <c r="I719" s="899"/>
      <c r="J719" s="176"/>
      <c r="K719" s="186"/>
    </row>
    <row r="720" spans="8:11" ht="15" customHeight="1">
      <c r="H720" s="900"/>
      <c r="I720" s="901"/>
      <c r="J720" s="175"/>
      <c r="K720" s="187"/>
    </row>
    <row r="721" spans="8:11" ht="15" customHeight="1">
      <c r="H721" s="898"/>
      <c r="I721" s="899"/>
      <c r="J721" s="176"/>
      <c r="K721" s="186"/>
    </row>
    <row r="722" spans="8:11" ht="15" customHeight="1">
      <c r="H722" s="908"/>
      <c r="I722" s="909"/>
      <c r="J722" s="177"/>
      <c r="K722" s="191"/>
    </row>
  </sheetData>
  <mergeCells count="964">
    <mergeCell ref="R105:S105"/>
    <mergeCell ref="R106:S106"/>
    <mergeCell ref="R99:S99"/>
    <mergeCell ref="R100:S100"/>
    <mergeCell ref="R101:S101"/>
    <mergeCell ref="R102:S102"/>
    <mergeCell ref="R103:S103"/>
    <mergeCell ref="R104:S104"/>
    <mergeCell ref="R93:S93"/>
    <mergeCell ref="R94:S94"/>
    <mergeCell ref="R95:S95"/>
    <mergeCell ref="R96:S96"/>
    <mergeCell ref="R97:S97"/>
    <mergeCell ref="R98:S98"/>
    <mergeCell ref="R90:S90"/>
    <mergeCell ref="R91:S91"/>
    <mergeCell ref="R92:S92"/>
    <mergeCell ref="R69:S69"/>
    <mergeCell ref="R70:S70"/>
    <mergeCell ref="R71:S71"/>
    <mergeCell ref="R72:S72"/>
    <mergeCell ref="R73:S73"/>
    <mergeCell ref="R74:S74"/>
    <mergeCell ref="R75:S75"/>
    <mergeCell ref="R89:S89"/>
    <mergeCell ref="R83:S83"/>
    <mergeCell ref="R84:S84"/>
    <mergeCell ref="R85:S85"/>
    <mergeCell ref="R86:S86"/>
    <mergeCell ref="R87:S87"/>
    <mergeCell ref="R82:S82"/>
    <mergeCell ref="R76:S76"/>
    <mergeCell ref="R77:S77"/>
    <mergeCell ref="R78:S78"/>
    <mergeCell ref="R79:S79"/>
    <mergeCell ref="R80:S80"/>
    <mergeCell ref="R81:S81"/>
    <mergeCell ref="R62:S62"/>
    <mergeCell ref="R63:S63"/>
    <mergeCell ref="R45:S45"/>
    <mergeCell ref="R46:S46"/>
    <mergeCell ref="R47:S47"/>
    <mergeCell ref="R48:S48"/>
    <mergeCell ref="R49:S49"/>
    <mergeCell ref="R50:S50"/>
    <mergeCell ref="R88:S88"/>
    <mergeCell ref="R66:S66"/>
    <mergeCell ref="R67:S67"/>
    <mergeCell ref="R68:S68"/>
    <mergeCell ref="R34:S34"/>
    <mergeCell ref="R35:S35"/>
    <mergeCell ref="R36:S36"/>
    <mergeCell ref="R37:S37"/>
    <mergeCell ref="R38:S38"/>
    <mergeCell ref="R58:S58"/>
    <mergeCell ref="R59:S59"/>
    <mergeCell ref="R60:S60"/>
    <mergeCell ref="R61:S61"/>
    <mergeCell ref="R53:S53"/>
    <mergeCell ref="R54:S54"/>
    <mergeCell ref="R55:S55"/>
    <mergeCell ref="R56:S56"/>
    <mergeCell ref="R57:S57"/>
    <mergeCell ref="P91:Q91"/>
    <mergeCell ref="P92:Q92"/>
    <mergeCell ref="P93:Q93"/>
    <mergeCell ref="P94:Q94"/>
    <mergeCell ref="P87:Q87"/>
    <mergeCell ref="P88:Q88"/>
    <mergeCell ref="P89:Q89"/>
    <mergeCell ref="P90:Q90"/>
    <mergeCell ref="P68:Q68"/>
    <mergeCell ref="P69:Q69"/>
    <mergeCell ref="P70:Q70"/>
    <mergeCell ref="P71:Q71"/>
    <mergeCell ref="P72:Q72"/>
    <mergeCell ref="P73:Q73"/>
    <mergeCell ref="P85:Q85"/>
    <mergeCell ref="P86:Q86"/>
    <mergeCell ref="P79:Q79"/>
    <mergeCell ref="P80:Q80"/>
    <mergeCell ref="P81:Q81"/>
    <mergeCell ref="P82:Q82"/>
    <mergeCell ref="P83:Q83"/>
    <mergeCell ref="P84:Q84"/>
    <mergeCell ref="P76:Q76"/>
    <mergeCell ref="P77:Q77"/>
    <mergeCell ref="P101:Q101"/>
    <mergeCell ref="P102:Q102"/>
    <mergeCell ref="P103:Q103"/>
    <mergeCell ref="P104:Q104"/>
    <mergeCell ref="P105:Q105"/>
    <mergeCell ref="P106:Q106"/>
    <mergeCell ref="P95:Q95"/>
    <mergeCell ref="P96:Q96"/>
    <mergeCell ref="P97:Q97"/>
    <mergeCell ref="P98:Q98"/>
    <mergeCell ref="P99:Q99"/>
    <mergeCell ref="P100:Q100"/>
    <mergeCell ref="R27:S27"/>
    <mergeCell ref="R28:S28"/>
    <mergeCell ref="R29:S29"/>
    <mergeCell ref="R30:S30"/>
    <mergeCell ref="R31:S31"/>
    <mergeCell ref="R32:S32"/>
    <mergeCell ref="P74:Q74"/>
    <mergeCell ref="P75:Q75"/>
    <mergeCell ref="R39:S39"/>
    <mergeCell ref="R40:S40"/>
    <mergeCell ref="R41:S41"/>
    <mergeCell ref="R42:S42"/>
    <mergeCell ref="R43:S43"/>
    <mergeCell ref="R44:S44"/>
    <mergeCell ref="R51:S51"/>
    <mergeCell ref="R52:S52"/>
    <mergeCell ref="R64:S64"/>
    <mergeCell ref="R65:S65"/>
    <mergeCell ref="P62:Q62"/>
    <mergeCell ref="P63:Q63"/>
    <mergeCell ref="P64:Q64"/>
    <mergeCell ref="P65:Q65"/>
    <mergeCell ref="P66:Q66"/>
    <mergeCell ref="P67:Q67"/>
    <mergeCell ref="P78:Q78"/>
    <mergeCell ref="P54:Q54"/>
    <mergeCell ref="P41:Q41"/>
    <mergeCell ref="P42:Q42"/>
    <mergeCell ref="P31:Q31"/>
    <mergeCell ref="P32:Q32"/>
    <mergeCell ref="P33:Q33"/>
    <mergeCell ref="P34:Q34"/>
    <mergeCell ref="P35:Q35"/>
    <mergeCell ref="P61:Q61"/>
    <mergeCell ref="P55:Q55"/>
    <mergeCell ref="P56:Q56"/>
    <mergeCell ref="P57:Q57"/>
    <mergeCell ref="P58:Q58"/>
    <mergeCell ref="P59:Q59"/>
    <mergeCell ref="P60:Q60"/>
    <mergeCell ref="M106:O106"/>
    <mergeCell ref="M83:O83"/>
    <mergeCell ref="M84:O84"/>
    <mergeCell ref="M85:O85"/>
    <mergeCell ref="M86:O86"/>
    <mergeCell ref="M87:O87"/>
    <mergeCell ref="M88:O88"/>
    <mergeCell ref="M89:O89"/>
    <mergeCell ref="M90:O90"/>
    <mergeCell ref="M91:O91"/>
    <mergeCell ref="M104:O104"/>
    <mergeCell ref="M105:O105"/>
    <mergeCell ref="M92:O92"/>
    <mergeCell ref="M93:O93"/>
    <mergeCell ref="M94:O94"/>
    <mergeCell ref="M95:O95"/>
    <mergeCell ref="M102:O102"/>
    <mergeCell ref="M103:O103"/>
    <mergeCell ref="M97:O97"/>
    <mergeCell ref="M98:O98"/>
    <mergeCell ref="M99:O99"/>
    <mergeCell ref="M100:O100"/>
    <mergeCell ref="M101:O101"/>
    <mergeCell ref="M80:O80"/>
    <mergeCell ref="M81:O81"/>
    <mergeCell ref="M82:O82"/>
    <mergeCell ref="M59:O59"/>
    <mergeCell ref="M60:O60"/>
    <mergeCell ref="M61:O61"/>
    <mergeCell ref="M62:O62"/>
    <mergeCell ref="M63:O63"/>
    <mergeCell ref="M96:O96"/>
    <mergeCell ref="M76:O76"/>
    <mergeCell ref="M77:O77"/>
    <mergeCell ref="M78:O78"/>
    <mergeCell ref="M79:O79"/>
    <mergeCell ref="M56:O56"/>
    <mergeCell ref="M57:O57"/>
    <mergeCell ref="M58:O58"/>
    <mergeCell ref="M70:O70"/>
    <mergeCell ref="M71:O71"/>
    <mergeCell ref="M72:O72"/>
    <mergeCell ref="M73:O73"/>
    <mergeCell ref="M74:O74"/>
    <mergeCell ref="M75:O75"/>
    <mergeCell ref="M64:O64"/>
    <mergeCell ref="M65:O65"/>
    <mergeCell ref="M66:O66"/>
    <mergeCell ref="M67:O67"/>
    <mergeCell ref="M68:O68"/>
    <mergeCell ref="M69:O69"/>
    <mergeCell ref="M54:O54"/>
    <mergeCell ref="M55:O55"/>
    <mergeCell ref="P29:Q29"/>
    <mergeCell ref="P30:Q30"/>
    <mergeCell ref="M41:O41"/>
    <mergeCell ref="M42:O42"/>
    <mergeCell ref="M43:O43"/>
    <mergeCell ref="M44:O44"/>
    <mergeCell ref="P37:Q37"/>
    <mergeCell ref="M47:O47"/>
    <mergeCell ref="M48:O48"/>
    <mergeCell ref="M49:O49"/>
    <mergeCell ref="M50:O50"/>
    <mergeCell ref="M51:O51"/>
    <mergeCell ref="M52:O52"/>
    <mergeCell ref="M45:O45"/>
    <mergeCell ref="M46:O46"/>
    <mergeCell ref="M35:O35"/>
    <mergeCell ref="M36:O36"/>
    <mergeCell ref="M37:O37"/>
    <mergeCell ref="M38:O38"/>
    <mergeCell ref="M39:O39"/>
    <mergeCell ref="M40:O40"/>
    <mergeCell ref="P48:Q48"/>
    <mergeCell ref="P26:Q26"/>
    <mergeCell ref="R26:S26"/>
    <mergeCell ref="M27:O27"/>
    <mergeCell ref="M28:O28"/>
    <mergeCell ref="M29:O29"/>
    <mergeCell ref="M30:O30"/>
    <mergeCell ref="P27:Q27"/>
    <mergeCell ref="P28:Q28"/>
    <mergeCell ref="M53:O53"/>
    <mergeCell ref="P49:Q49"/>
    <mergeCell ref="P50:Q50"/>
    <mergeCell ref="P51:Q51"/>
    <mergeCell ref="P36:Q36"/>
    <mergeCell ref="P43:Q43"/>
    <mergeCell ref="P44:Q44"/>
    <mergeCell ref="P45:Q45"/>
    <mergeCell ref="P46:Q46"/>
    <mergeCell ref="P47:Q47"/>
    <mergeCell ref="P38:Q38"/>
    <mergeCell ref="P39:Q39"/>
    <mergeCell ref="P40:Q40"/>
    <mergeCell ref="P52:Q52"/>
    <mergeCell ref="P53:Q53"/>
    <mergeCell ref="R33:S33"/>
    <mergeCell ref="H691:I691"/>
    <mergeCell ref="H692:I692"/>
    <mergeCell ref="H693:I693"/>
    <mergeCell ref="H670:I670"/>
    <mergeCell ref="H671:I671"/>
    <mergeCell ref="H672:I672"/>
    <mergeCell ref="H682:I682"/>
    <mergeCell ref="H673:I673"/>
    <mergeCell ref="H683:I683"/>
    <mergeCell ref="H684:I684"/>
    <mergeCell ref="H685:I685"/>
    <mergeCell ref="H686:I686"/>
    <mergeCell ref="H687:I687"/>
    <mergeCell ref="H688:I688"/>
    <mergeCell ref="H680:I680"/>
    <mergeCell ref="H681:I681"/>
    <mergeCell ref="H675:I675"/>
    <mergeCell ref="H676:I676"/>
    <mergeCell ref="H677:I677"/>
    <mergeCell ref="H678:I678"/>
    <mergeCell ref="H679:I679"/>
    <mergeCell ref="H718:I718"/>
    <mergeCell ref="H719:I719"/>
    <mergeCell ref="H720:I720"/>
    <mergeCell ref="H721:I721"/>
    <mergeCell ref="H722:I722"/>
    <mergeCell ref="M26:O26"/>
    <mergeCell ref="M31:O31"/>
    <mergeCell ref="M32:O32"/>
    <mergeCell ref="M33:O33"/>
    <mergeCell ref="M34:O34"/>
    <mergeCell ref="H712:I712"/>
    <mergeCell ref="H713:I713"/>
    <mergeCell ref="H714:I714"/>
    <mergeCell ref="H715:I715"/>
    <mergeCell ref="H716:I716"/>
    <mergeCell ref="H717:I717"/>
    <mergeCell ref="H706:I706"/>
    <mergeCell ref="H707:I707"/>
    <mergeCell ref="H708:I708"/>
    <mergeCell ref="H709:I709"/>
    <mergeCell ref="H710:I710"/>
    <mergeCell ref="H711:I711"/>
    <mergeCell ref="H689:I689"/>
    <mergeCell ref="H690:I690"/>
    <mergeCell ref="H702:I702"/>
    <mergeCell ref="H703:I703"/>
    <mergeCell ref="H704:I704"/>
    <mergeCell ref="H705:I705"/>
    <mergeCell ref="H694:I694"/>
    <mergeCell ref="H695:I695"/>
    <mergeCell ref="H696:I696"/>
    <mergeCell ref="H697:I697"/>
    <mergeCell ref="H698:I698"/>
    <mergeCell ref="H699:I699"/>
    <mergeCell ref="H700:I700"/>
    <mergeCell ref="H701:I701"/>
    <mergeCell ref="H667:I667"/>
    <mergeCell ref="H668:I668"/>
    <mergeCell ref="H669:I669"/>
    <mergeCell ref="H646:I646"/>
    <mergeCell ref="H647:I647"/>
    <mergeCell ref="H648:I648"/>
    <mergeCell ref="H649:I649"/>
    <mergeCell ref="H650:I650"/>
    <mergeCell ref="H674:I674"/>
    <mergeCell ref="H663:I663"/>
    <mergeCell ref="H664:I664"/>
    <mergeCell ref="H665:I665"/>
    <mergeCell ref="H666:I666"/>
    <mergeCell ref="H643:I643"/>
    <mergeCell ref="H644:I644"/>
    <mergeCell ref="H645:I645"/>
    <mergeCell ref="H657:I657"/>
    <mergeCell ref="H658:I658"/>
    <mergeCell ref="H659:I659"/>
    <mergeCell ref="H660:I660"/>
    <mergeCell ref="H661:I661"/>
    <mergeCell ref="H662:I662"/>
    <mergeCell ref="H651:I651"/>
    <mergeCell ref="H652:I652"/>
    <mergeCell ref="H653:I653"/>
    <mergeCell ref="H654:I654"/>
    <mergeCell ref="H655:I655"/>
    <mergeCell ref="H656:I656"/>
    <mergeCell ref="H640:I640"/>
    <mergeCell ref="H641:I641"/>
    <mergeCell ref="H642:I642"/>
    <mergeCell ref="H619:I619"/>
    <mergeCell ref="H620:I620"/>
    <mergeCell ref="H621:I621"/>
    <mergeCell ref="H634:I634"/>
    <mergeCell ref="H635:I635"/>
    <mergeCell ref="H636:I636"/>
    <mergeCell ref="H637:I637"/>
    <mergeCell ref="H638:I638"/>
    <mergeCell ref="H639:I639"/>
    <mergeCell ref="H628:I628"/>
    <mergeCell ref="H629:I629"/>
    <mergeCell ref="H630:I630"/>
    <mergeCell ref="H631:I631"/>
    <mergeCell ref="H632:I632"/>
    <mergeCell ref="H633:I633"/>
    <mergeCell ref="H622:I622"/>
    <mergeCell ref="H623:I623"/>
    <mergeCell ref="H624:I624"/>
    <mergeCell ref="H625:I625"/>
    <mergeCell ref="H626:I626"/>
    <mergeCell ref="H627:I627"/>
    <mergeCell ref="H616:I616"/>
    <mergeCell ref="H617:I617"/>
    <mergeCell ref="H618:I618"/>
    <mergeCell ref="H595:I595"/>
    <mergeCell ref="H596:I596"/>
    <mergeCell ref="H597:I597"/>
    <mergeCell ref="H610:I610"/>
    <mergeCell ref="H611:I611"/>
    <mergeCell ref="H612:I612"/>
    <mergeCell ref="H613:I613"/>
    <mergeCell ref="H614:I614"/>
    <mergeCell ref="H615:I615"/>
    <mergeCell ref="H604:I604"/>
    <mergeCell ref="H605:I605"/>
    <mergeCell ref="H606:I606"/>
    <mergeCell ref="H607:I607"/>
    <mergeCell ref="H608:I608"/>
    <mergeCell ref="H609:I609"/>
    <mergeCell ref="H598:I598"/>
    <mergeCell ref="H599:I599"/>
    <mergeCell ref="H600:I600"/>
    <mergeCell ref="H601:I601"/>
    <mergeCell ref="H602:I602"/>
    <mergeCell ref="H603:I603"/>
    <mergeCell ref="H592:I592"/>
    <mergeCell ref="H593:I593"/>
    <mergeCell ref="H594:I594"/>
    <mergeCell ref="H571:I571"/>
    <mergeCell ref="H572:I572"/>
    <mergeCell ref="H573:I573"/>
    <mergeCell ref="H586:I586"/>
    <mergeCell ref="H587:I587"/>
    <mergeCell ref="H588:I588"/>
    <mergeCell ref="H589:I589"/>
    <mergeCell ref="H590:I590"/>
    <mergeCell ref="H591:I591"/>
    <mergeCell ref="H580:I580"/>
    <mergeCell ref="H581:I581"/>
    <mergeCell ref="H582:I582"/>
    <mergeCell ref="H583:I583"/>
    <mergeCell ref="H584:I584"/>
    <mergeCell ref="H585:I585"/>
    <mergeCell ref="H574:I574"/>
    <mergeCell ref="H575:I575"/>
    <mergeCell ref="H576:I576"/>
    <mergeCell ref="H577:I577"/>
    <mergeCell ref="H578:I578"/>
    <mergeCell ref="H579:I579"/>
    <mergeCell ref="H568:I568"/>
    <mergeCell ref="H569:I569"/>
    <mergeCell ref="H570:I570"/>
    <mergeCell ref="H547:I547"/>
    <mergeCell ref="H548:I548"/>
    <mergeCell ref="H549:I549"/>
    <mergeCell ref="H562:I562"/>
    <mergeCell ref="H563:I563"/>
    <mergeCell ref="H564:I564"/>
    <mergeCell ref="H565:I565"/>
    <mergeCell ref="H566:I566"/>
    <mergeCell ref="H567:I567"/>
    <mergeCell ref="H556:I556"/>
    <mergeCell ref="H557:I557"/>
    <mergeCell ref="H558:I558"/>
    <mergeCell ref="H559:I559"/>
    <mergeCell ref="H560:I560"/>
    <mergeCell ref="H561:I561"/>
    <mergeCell ref="H550:I550"/>
    <mergeCell ref="H551:I551"/>
    <mergeCell ref="H552:I552"/>
    <mergeCell ref="H553:I553"/>
    <mergeCell ref="H554:I554"/>
    <mergeCell ref="H555:I555"/>
    <mergeCell ref="H544:I544"/>
    <mergeCell ref="H545:I545"/>
    <mergeCell ref="H546:I546"/>
    <mergeCell ref="H523:I523"/>
    <mergeCell ref="H524:I524"/>
    <mergeCell ref="H525:I525"/>
    <mergeCell ref="H538:I538"/>
    <mergeCell ref="H539:I539"/>
    <mergeCell ref="H540:I540"/>
    <mergeCell ref="H541:I541"/>
    <mergeCell ref="H542:I542"/>
    <mergeCell ref="H543:I543"/>
    <mergeCell ref="H532:I532"/>
    <mergeCell ref="H533:I533"/>
    <mergeCell ref="H534:I534"/>
    <mergeCell ref="H535:I535"/>
    <mergeCell ref="H536:I536"/>
    <mergeCell ref="H537:I537"/>
    <mergeCell ref="H526:I526"/>
    <mergeCell ref="H527:I527"/>
    <mergeCell ref="H528:I528"/>
    <mergeCell ref="H529:I529"/>
    <mergeCell ref="H530:I530"/>
    <mergeCell ref="H531:I531"/>
    <mergeCell ref="H520:I520"/>
    <mergeCell ref="H521:I521"/>
    <mergeCell ref="H522:I522"/>
    <mergeCell ref="H499:I499"/>
    <mergeCell ref="H500:I500"/>
    <mergeCell ref="H501:I501"/>
    <mergeCell ref="H514:I514"/>
    <mergeCell ref="H515:I515"/>
    <mergeCell ref="H516:I516"/>
    <mergeCell ref="H517:I517"/>
    <mergeCell ref="H518:I518"/>
    <mergeCell ref="H519:I519"/>
    <mergeCell ref="H508:I508"/>
    <mergeCell ref="H509:I509"/>
    <mergeCell ref="H510:I510"/>
    <mergeCell ref="H511:I511"/>
    <mergeCell ref="H512:I512"/>
    <mergeCell ref="H513:I513"/>
    <mergeCell ref="H502:I502"/>
    <mergeCell ref="H503:I503"/>
    <mergeCell ref="H504:I504"/>
    <mergeCell ref="H505:I505"/>
    <mergeCell ref="H506:I506"/>
    <mergeCell ref="H507:I507"/>
    <mergeCell ref="H496:I496"/>
    <mergeCell ref="H497:I497"/>
    <mergeCell ref="H498:I498"/>
    <mergeCell ref="H475:I475"/>
    <mergeCell ref="H476:I476"/>
    <mergeCell ref="H477:I477"/>
    <mergeCell ref="H490:I490"/>
    <mergeCell ref="H491:I491"/>
    <mergeCell ref="H492:I492"/>
    <mergeCell ref="H493:I493"/>
    <mergeCell ref="H494:I494"/>
    <mergeCell ref="H495:I495"/>
    <mergeCell ref="H484:I484"/>
    <mergeCell ref="H485:I485"/>
    <mergeCell ref="H486:I486"/>
    <mergeCell ref="H487:I487"/>
    <mergeCell ref="H488:I488"/>
    <mergeCell ref="H489:I489"/>
    <mergeCell ref="H478:I478"/>
    <mergeCell ref="H479:I479"/>
    <mergeCell ref="H480:I480"/>
    <mergeCell ref="H481:I481"/>
    <mergeCell ref="H482:I482"/>
    <mergeCell ref="H483:I483"/>
    <mergeCell ref="H472:I472"/>
    <mergeCell ref="H473:I473"/>
    <mergeCell ref="H474:I474"/>
    <mergeCell ref="H451:I451"/>
    <mergeCell ref="H452:I452"/>
    <mergeCell ref="H453:I453"/>
    <mergeCell ref="H466:I466"/>
    <mergeCell ref="H467:I467"/>
    <mergeCell ref="H468:I468"/>
    <mergeCell ref="H469:I469"/>
    <mergeCell ref="H470:I470"/>
    <mergeCell ref="H471:I471"/>
    <mergeCell ref="H460:I460"/>
    <mergeCell ref="H461:I461"/>
    <mergeCell ref="H462:I462"/>
    <mergeCell ref="H463:I463"/>
    <mergeCell ref="H464:I464"/>
    <mergeCell ref="H465:I465"/>
    <mergeCell ref="H454:I454"/>
    <mergeCell ref="H455:I455"/>
    <mergeCell ref="H456:I456"/>
    <mergeCell ref="H457:I457"/>
    <mergeCell ref="H458:I458"/>
    <mergeCell ref="H459:I459"/>
    <mergeCell ref="H448:I448"/>
    <mergeCell ref="H449:I449"/>
    <mergeCell ref="H450:I450"/>
    <mergeCell ref="H427:I427"/>
    <mergeCell ref="H428:I428"/>
    <mergeCell ref="H429:I429"/>
    <mergeCell ref="H442:I442"/>
    <mergeCell ref="H443:I443"/>
    <mergeCell ref="H444:I444"/>
    <mergeCell ref="H445:I445"/>
    <mergeCell ref="H446:I446"/>
    <mergeCell ref="H447:I447"/>
    <mergeCell ref="H436:I436"/>
    <mergeCell ref="H437:I437"/>
    <mergeCell ref="H438:I438"/>
    <mergeCell ref="H439:I439"/>
    <mergeCell ref="H440:I440"/>
    <mergeCell ref="H441:I441"/>
    <mergeCell ref="H430:I430"/>
    <mergeCell ref="H431:I431"/>
    <mergeCell ref="H432:I432"/>
    <mergeCell ref="H433:I433"/>
    <mergeCell ref="H434:I434"/>
    <mergeCell ref="H435:I435"/>
    <mergeCell ref="H424:I424"/>
    <mergeCell ref="H425:I425"/>
    <mergeCell ref="H426:I426"/>
    <mergeCell ref="H403:I403"/>
    <mergeCell ref="H404:I404"/>
    <mergeCell ref="H405:I405"/>
    <mergeCell ref="H418:I418"/>
    <mergeCell ref="H419:I419"/>
    <mergeCell ref="H420:I420"/>
    <mergeCell ref="H421:I421"/>
    <mergeCell ref="H422:I422"/>
    <mergeCell ref="H423:I423"/>
    <mergeCell ref="H412:I412"/>
    <mergeCell ref="H413:I413"/>
    <mergeCell ref="H414:I414"/>
    <mergeCell ref="H415:I415"/>
    <mergeCell ref="H416:I416"/>
    <mergeCell ref="H417:I417"/>
    <mergeCell ref="H406:I406"/>
    <mergeCell ref="H407:I407"/>
    <mergeCell ref="H408:I408"/>
    <mergeCell ref="H409:I409"/>
    <mergeCell ref="H410:I410"/>
    <mergeCell ref="H411:I411"/>
    <mergeCell ref="H400:I400"/>
    <mergeCell ref="H401:I401"/>
    <mergeCell ref="H402:I402"/>
    <mergeCell ref="H379:I379"/>
    <mergeCell ref="H380:I380"/>
    <mergeCell ref="H381:I381"/>
    <mergeCell ref="H394:I394"/>
    <mergeCell ref="H395:I395"/>
    <mergeCell ref="H396:I396"/>
    <mergeCell ref="H397:I397"/>
    <mergeCell ref="H398:I398"/>
    <mergeCell ref="H399:I399"/>
    <mergeCell ref="H388:I388"/>
    <mergeCell ref="H389:I389"/>
    <mergeCell ref="H390:I390"/>
    <mergeCell ref="H391:I391"/>
    <mergeCell ref="H392:I392"/>
    <mergeCell ref="H393:I393"/>
    <mergeCell ref="H382:I382"/>
    <mergeCell ref="H383:I383"/>
    <mergeCell ref="H384:I384"/>
    <mergeCell ref="H385:I385"/>
    <mergeCell ref="H386:I386"/>
    <mergeCell ref="H387:I387"/>
    <mergeCell ref="H376:I376"/>
    <mergeCell ref="H377:I377"/>
    <mergeCell ref="H378:I378"/>
    <mergeCell ref="H355:I355"/>
    <mergeCell ref="H356:I356"/>
    <mergeCell ref="H357:I357"/>
    <mergeCell ref="H370:I370"/>
    <mergeCell ref="H371:I371"/>
    <mergeCell ref="H372:I372"/>
    <mergeCell ref="H373:I373"/>
    <mergeCell ref="H374:I374"/>
    <mergeCell ref="H375:I375"/>
    <mergeCell ref="H364:I364"/>
    <mergeCell ref="H365:I365"/>
    <mergeCell ref="H366:I366"/>
    <mergeCell ref="H367:I367"/>
    <mergeCell ref="H368:I368"/>
    <mergeCell ref="H369:I369"/>
    <mergeCell ref="H358:I358"/>
    <mergeCell ref="H359:I359"/>
    <mergeCell ref="H360:I360"/>
    <mergeCell ref="H361:I361"/>
    <mergeCell ref="H362:I362"/>
    <mergeCell ref="H363:I363"/>
    <mergeCell ref="H352:I352"/>
    <mergeCell ref="H353:I353"/>
    <mergeCell ref="H354:I354"/>
    <mergeCell ref="H331:I331"/>
    <mergeCell ref="H332:I332"/>
    <mergeCell ref="H333:I333"/>
    <mergeCell ref="H346:I346"/>
    <mergeCell ref="H347:I347"/>
    <mergeCell ref="H348:I348"/>
    <mergeCell ref="H349:I349"/>
    <mergeCell ref="H350:I350"/>
    <mergeCell ref="H351:I351"/>
    <mergeCell ref="H340:I340"/>
    <mergeCell ref="H341:I341"/>
    <mergeCell ref="H342:I342"/>
    <mergeCell ref="H343:I343"/>
    <mergeCell ref="H344:I344"/>
    <mergeCell ref="H345:I345"/>
    <mergeCell ref="H334:I334"/>
    <mergeCell ref="H335:I335"/>
    <mergeCell ref="H336:I336"/>
    <mergeCell ref="H337:I337"/>
    <mergeCell ref="H338:I338"/>
    <mergeCell ref="H339:I339"/>
    <mergeCell ref="H328:I328"/>
    <mergeCell ref="H329:I329"/>
    <mergeCell ref="H330:I330"/>
    <mergeCell ref="H307:I307"/>
    <mergeCell ref="H308:I308"/>
    <mergeCell ref="H309:I309"/>
    <mergeCell ref="H322:I322"/>
    <mergeCell ref="H323:I323"/>
    <mergeCell ref="H324:I324"/>
    <mergeCell ref="H325:I325"/>
    <mergeCell ref="H326:I326"/>
    <mergeCell ref="H327:I327"/>
    <mergeCell ref="H316:I316"/>
    <mergeCell ref="H317:I317"/>
    <mergeCell ref="H318:I318"/>
    <mergeCell ref="H319:I319"/>
    <mergeCell ref="H320:I320"/>
    <mergeCell ref="H321:I321"/>
    <mergeCell ref="H310:I310"/>
    <mergeCell ref="H311:I311"/>
    <mergeCell ref="H312:I312"/>
    <mergeCell ref="H313:I313"/>
    <mergeCell ref="H314:I314"/>
    <mergeCell ref="H315:I315"/>
    <mergeCell ref="H304:I304"/>
    <mergeCell ref="H305:I305"/>
    <mergeCell ref="H306:I306"/>
    <mergeCell ref="H283:I283"/>
    <mergeCell ref="H284:I284"/>
    <mergeCell ref="H285:I285"/>
    <mergeCell ref="H298:I298"/>
    <mergeCell ref="H299:I299"/>
    <mergeCell ref="H300:I300"/>
    <mergeCell ref="H301:I301"/>
    <mergeCell ref="H302:I302"/>
    <mergeCell ref="H303:I303"/>
    <mergeCell ref="H292:I292"/>
    <mergeCell ref="H293:I293"/>
    <mergeCell ref="H294:I294"/>
    <mergeCell ref="H295:I295"/>
    <mergeCell ref="H296:I296"/>
    <mergeCell ref="H297:I297"/>
    <mergeCell ref="H286:I286"/>
    <mergeCell ref="H287:I287"/>
    <mergeCell ref="H288:I288"/>
    <mergeCell ref="H289:I289"/>
    <mergeCell ref="H290:I290"/>
    <mergeCell ref="H291:I291"/>
    <mergeCell ref="H280:I280"/>
    <mergeCell ref="H281:I281"/>
    <mergeCell ref="H282:I282"/>
    <mergeCell ref="H259:I259"/>
    <mergeCell ref="H260:I260"/>
    <mergeCell ref="H261:I261"/>
    <mergeCell ref="H274:I274"/>
    <mergeCell ref="H275:I275"/>
    <mergeCell ref="H276:I276"/>
    <mergeCell ref="H277:I277"/>
    <mergeCell ref="H278:I278"/>
    <mergeCell ref="H279:I279"/>
    <mergeCell ref="H268:I268"/>
    <mergeCell ref="H269:I269"/>
    <mergeCell ref="H270:I270"/>
    <mergeCell ref="H271:I271"/>
    <mergeCell ref="H272:I272"/>
    <mergeCell ref="H273:I273"/>
    <mergeCell ref="H262:I262"/>
    <mergeCell ref="H263:I263"/>
    <mergeCell ref="H264:I264"/>
    <mergeCell ref="H265:I265"/>
    <mergeCell ref="H266:I266"/>
    <mergeCell ref="H267:I267"/>
    <mergeCell ref="H256:I256"/>
    <mergeCell ref="H257:I257"/>
    <mergeCell ref="H258:I258"/>
    <mergeCell ref="H235:I235"/>
    <mergeCell ref="H236:I236"/>
    <mergeCell ref="H237:I237"/>
    <mergeCell ref="H250:I250"/>
    <mergeCell ref="H251:I251"/>
    <mergeCell ref="H252:I252"/>
    <mergeCell ref="H253:I253"/>
    <mergeCell ref="H254:I254"/>
    <mergeCell ref="H255:I255"/>
    <mergeCell ref="H244:I244"/>
    <mergeCell ref="H245:I245"/>
    <mergeCell ref="H246:I246"/>
    <mergeCell ref="H247:I247"/>
    <mergeCell ref="H248:I248"/>
    <mergeCell ref="H249:I249"/>
    <mergeCell ref="H238:I238"/>
    <mergeCell ref="H239:I239"/>
    <mergeCell ref="H240:I240"/>
    <mergeCell ref="H241:I241"/>
    <mergeCell ref="H242:I242"/>
    <mergeCell ref="H243:I243"/>
    <mergeCell ref="H232:I232"/>
    <mergeCell ref="H233:I233"/>
    <mergeCell ref="H234:I234"/>
    <mergeCell ref="H211:I211"/>
    <mergeCell ref="H212:I212"/>
    <mergeCell ref="H213:I213"/>
    <mergeCell ref="H226:I226"/>
    <mergeCell ref="H227:I227"/>
    <mergeCell ref="H228:I228"/>
    <mergeCell ref="H229:I229"/>
    <mergeCell ref="H230:I230"/>
    <mergeCell ref="H231:I231"/>
    <mergeCell ref="H220:I220"/>
    <mergeCell ref="H221:I221"/>
    <mergeCell ref="H222:I222"/>
    <mergeCell ref="H223:I223"/>
    <mergeCell ref="H224:I224"/>
    <mergeCell ref="H225:I225"/>
    <mergeCell ref="H214:I214"/>
    <mergeCell ref="H215:I215"/>
    <mergeCell ref="H216:I216"/>
    <mergeCell ref="H217:I217"/>
    <mergeCell ref="H218:I218"/>
    <mergeCell ref="H219:I219"/>
    <mergeCell ref="H208:I208"/>
    <mergeCell ref="H209:I209"/>
    <mergeCell ref="H210:I210"/>
    <mergeCell ref="H187:I187"/>
    <mergeCell ref="H188:I188"/>
    <mergeCell ref="H189:I189"/>
    <mergeCell ref="H202:I202"/>
    <mergeCell ref="H203:I203"/>
    <mergeCell ref="H204:I204"/>
    <mergeCell ref="H205:I205"/>
    <mergeCell ref="H206:I206"/>
    <mergeCell ref="H207:I207"/>
    <mergeCell ref="H196:I196"/>
    <mergeCell ref="H197:I197"/>
    <mergeCell ref="H198:I198"/>
    <mergeCell ref="H199:I199"/>
    <mergeCell ref="H200:I200"/>
    <mergeCell ref="H201:I201"/>
    <mergeCell ref="H190:I190"/>
    <mergeCell ref="H191:I191"/>
    <mergeCell ref="H192:I192"/>
    <mergeCell ref="H193:I193"/>
    <mergeCell ref="H194:I194"/>
    <mergeCell ref="H195:I195"/>
    <mergeCell ref="H184:I184"/>
    <mergeCell ref="H185:I185"/>
    <mergeCell ref="H186:I186"/>
    <mergeCell ref="H163:I163"/>
    <mergeCell ref="H164:I164"/>
    <mergeCell ref="H165:I165"/>
    <mergeCell ref="H178:I178"/>
    <mergeCell ref="H179:I179"/>
    <mergeCell ref="H180:I180"/>
    <mergeCell ref="H181:I181"/>
    <mergeCell ref="H182:I182"/>
    <mergeCell ref="H183:I183"/>
    <mergeCell ref="H172:I172"/>
    <mergeCell ref="H173:I173"/>
    <mergeCell ref="H174:I174"/>
    <mergeCell ref="H175:I175"/>
    <mergeCell ref="H176:I176"/>
    <mergeCell ref="H177:I177"/>
    <mergeCell ref="H166:I166"/>
    <mergeCell ref="H167:I167"/>
    <mergeCell ref="H168:I168"/>
    <mergeCell ref="H169:I169"/>
    <mergeCell ref="H170:I170"/>
    <mergeCell ref="H171:I171"/>
    <mergeCell ref="H160:I160"/>
    <mergeCell ref="H161:I161"/>
    <mergeCell ref="H162:I162"/>
    <mergeCell ref="H139:I139"/>
    <mergeCell ref="H140:I140"/>
    <mergeCell ref="H141:I141"/>
    <mergeCell ref="H154:I154"/>
    <mergeCell ref="H155:I155"/>
    <mergeCell ref="H156:I156"/>
    <mergeCell ref="H157:I157"/>
    <mergeCell ref="H158:I158"/>
    <mergeCell ref="H159:I159"/>
    <mergeCell ref="H148:I148"/>
    <mergeCell ref="H149:I149"/>
    <mergeCell ref="H150:I150"/>
    <mergeCell ref="H151:I151"/>
    <mergeCell ref="H152:I152"/>
    <mergeCell ref="H153:I153"/>
    <mergeCell ref="H142:I142"/>
    <mergeCell ref="H143:I143"/>
    <mergeCell ref="H144:I144"/>
    <mergeCell ref="H145:I145"/>
    <mergeCell ref="H146:I146"/>
    <mergeCell ref="H147:I147"/>
    <mergeCell ref="H136:I136"/>
    <mergeCell ref="H137:I137"/>
    <mergeCell ref="H138:I138"/>
    <mergeCell ref="H115:I115"/>
    <mergeCell ref="H116:I116"/>
    <mergeCell ref="H117:I117"/>
    <mergeCell ref="H130:I130"/>
    <mergeCell ref="H131:I131"/>
    <mergeCell ref="H132:I132"/>
    <mergeCell ref="H133:I133"/>
    <mergeCell ref="H134:I134"/>
    <mergeCell ref="H135:I135"/>
    <mergeCell ref="H124:I124"/>
    <mergeCell ref="H125:I125"/>
    <mergeCell ref="H126:I126"/>
    <mergeCell ref="H127:I127"/>
    <mergeCell ref="H128:I128"/>
    <mergeCell ref="H129:I129"/>
    <mergeCell ref="H118:I118"/>
    <mergeCell ref="H119:I119"/>
    <mergeCell ref="H120:I120"/>
    <mergeCell ref="H121:I121"/>
    <mergeCell ref="H122:I122"/>
    <mergeCell ref="H123:I123"/>
    <mergeCell ref="H112:I112"/>
    <mergeCell ref="H113:I113"/>
    <mergeCell ref="H114:I114"/>
    <mergeCell ref="H91:I91"/>
    <mergeCell ref="H92:I92"/>
    <mergeCell ref="H93:I93"/>
    <mergeCell ref="H106:I106"/>
    <mergeCell ref="H107:I107"/>
    <mergeCell ref="H108:I108"/>
    <mergeCell ref="H109:I109"/>
    <mergeCell ref="H110:I110"/>
    <mergeCell ref="H111:I111"/>
    <mergeCell ref="H100:I100"/>
    <mergeCell ref="H101:I101"/>
    <mergeCell ref="H102:I102"/>
    <mergeCell ref="H103:I103"/>
    <mergeCell ref="H104:I104"/>
    <mergeCell ref="H105:I105"/>
    <mergeCell ref="H94:I94"/>
    <mergeCell ref="H95:I95"/>
    <mergeCell ref="H96:I96"/>
    <mergeCell ref="H97:I97"/>
    <mergeCell ref="H98:I98"/>
    <mergeCell ref="H99:I99"/>
    <mergeCell ref="H88:I88"/>
    <mergeCell ref="H89:I89"/>
    <mergeCell ref="H90:I90"/>
    <mergeCell ref="H67:I67"/>
    <mergeCell ref="H68:I68"/>
    <mergeCell ref="H69:I69"/>
    <mergeCell ref="H82:I82"/>
    <mergeCell ref="H83:I83"/>
    <mergeCell ref="H84:I84"/>
    <mergeCell ref="H85:I85"/>
    <mergeCell ref="H86:I86"/>
    <mergeCell ref="H87:I87"/>
    <mergeCell ref="H76:I76"/>
    <mergeCell ref="H77:I77"/>
    <mergeCell ref="H78:I78"/>
    <mergeCell ref="H79:I79"/>
    <mergeCell ref="H80:I80"/>
    <mergeCell ref="H81:I81"/>
    <mergeCell ref="H70:I70"/>
    <mergeCell ref="H71:I71"/>
    <mergeCell ref="H72:I72"/>
    <mergeCell ref="H73:I73"/>
    <mergeCell ref="H74:I74"/>
    <mergeCell ref="H75:I75"/>
    <mergeCell ref="H54:I54"/>
    <mergeCell ref="H55:I55"/>
    <mergeCell ref="H56:I56"/>
    <mergeCell ref="H57:I57"/>
    <mergeCell ref="H46:I46"/>
    <mergeCell ref="H47:I47"/>
    <mergeCell ref="H48:I48"/>
    <mergeCell ref="H49:I49"/>
    <mergeCell ref="H50:I50"/>
    <mergeCell ref="H51:I51"/>
    <mergeCell ref="B47:C47"/>
    <mergeCell ref="H26:I26"/>
    <mergeCell ref="H27:I27"/>
    <mergeCell ref="H28:I28"/>
    <mergeCell ref="H29:I29"/>
    <mergeCell ref="H30:I30"/>
    <mergeCell ref="H64:I64"/>
    <mergeCell ref="H65:I65"/>
    <mergeCell ref="H66:I66"/>
    <mergeCell ref="B45:C45"/>
    <mergeCell ref="H33:I33"/>
    <mergeCell ref="H34:I34"/>
    <mergeCell ref="H36:I36"/>
    <mergeCell ref="H37:I37"/>
    <mergeCell ref="H38:I38"/>
    <mergeCell ref="H39:I39"/>
    <mergeCell ref="H58:I58"/>
    <mergeCell ref="H59:I59"/>
    <mergeCell ref="H60:I60"/>
    <mergeCell ref="H61:I61"/>
    <mergeCell ref="H62:I62"/>
    <mergeCell ref="H63:I63"/>
    <mergeCell ref="H52:I52"/>
    <mergeCell ref="H53:I53"/>
    <mergeCell ref="H45:I45"/>
    <mergeCell ref="B33:C33"/>
    <mergeCell ref="B34:C34"/>
    <mergeCell ref="B35:C35"/>
    <mergeCell ref="B36:C36"/>
    <mergeCell ref="H40:I40"/>
    <mergeCell ref="H41:I41"/>
    <mergeCell ref="H42:I42"/>
    <mergeCell ref="B46:C46"/>
    <mergeCell ref="B44:C44"/>
    <mergeCell ref="H44:I44"/>
    <mergeCell ref="B7:E7"/>
    <mergeCell ref="B8:D8"/>
    <mergeCell ref="B26:C26"/>
    <mergeCell ref="B27:C27"/>
    <mergeCell ref="B28:C28"/>
    <mergeCell ref="B38:C38"/>
    <mergeCell ref="B37:C37"/>
    <mergeCell ref="B43:C43"/>
    <mergeCell ref="H31:I31"/>
    <mergeCell ref="H32:I32"/>
    <mergeCell ref="H43:I43"/>
    <mergeCell ref="H35:I35"/>
    <mergeCell ref="B29:C29"/>
    <mergeCell ref="B30:C30"/>
    <mergeCell ref="B31:C31"/>
    <mergeCell ref="B32:C32"/>
    <mergeCell ref="B39:C39"/>
    <mergeCell ref="B40:C40"/>
    <mergeCell ref="B41:C41"/>
    <mergeCell ref="B42:C42"/>
  </mergeCells>
  <phoneticPr fontId="16" type="noConversion"/>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temEst"/>
  <dimension ref="B1:Q82"/>
  <sheetViews>
    <sheetView showGridLines="0" showRowColHeaders="0" zoomScaleNormal="100" workbookViewId="0">
      <pane ySplit="5" topLeftCell="A6" activePane="bottomLeft" state="frozen"/>
      <selection pane="bottomLeft" activeCell="E8" sqref="E8:G8"/>
    </sheetView>
  </sheetViews>
  <sheetFormatPr defaultRowHeight="15" customHeight="1"/>
  <cols>
    <col min="1" max="1" width="1.7109375" style="5" customWidth="1"/>
    <col min="2" max="3" width="9.140625" style="5" customWidth="1"/>
    <col min="4" max="4" width="10.7109375" style="5" customWidth="1"/>
    <col min="5" max="5" width="9.140625" style="5" customWidth="1"/>
    <col min="6" max="6" width="12" style="5" customWidth="1"/>
    <col min="7" max="7" width="9.140625" style="5" customWidth="1"/>
    <col min="8" max="8" width="1.7109375" style="5" customWidth="1"/>
    <col min="9" max="9" width="10.7109375" style="5" customWidth="1"/>
    <col min="10" max="10" width="9.140625" style="5" customWidth="1"/>
    <col min="11" max="11" width="12" style="5" customWidth="1"/>
    <col min="12" max="12" width="9.140625" style="5" customWidth="1"/>
    <col min="13" max="13" width="1.7109375" style="5" customWidth="1"/>
    <col min="14" max="14" width="10.7109375" style="5" customWidth="1"/>
    <col min="15" max="15" width="9.140625" style="5" customWidth="1"/>
    <col min="16" max="16" width="12" style="5" customWidth="1"/>
    <col min="17" max="17" width="9.140625" style="5" customWidth="1"/>
    <col min="18" max="16384" width="9.140625" style="5"/>
  </cols>
  <sheetData>
    <row r="1" spans="2:17" ht="5.0999999999999996" customHeight="1"/>
    <row r="5" spans="2:17" ht="5.0999999999999996" customHeight="1"/>
    <row r="6" spans="2:17" ht="5.0999999999999996" customHeight="1"/>
    <row r="7" spans="2:17" ht="15" customHeight="1">
      <c r="B7" s="212" t="str">
        <f>compNAME</f>
        <v>APPLE INC</v>
      </c>
      <c r="K7" s="370"/>
      <c r="L7" s="370"/>
      <c r="M7" s="370"/>
    </row>
    <row r="8" spans="2:17" ht="15" customHeight="1">
      <c r="B8" s="945" t="str">
        <f>IF(Lang="English","Estimate Item:",IF(Lang="中文","預估項目:","予想項目:"))</f>
        <v>Estimate Item:</v>
      </c>
      <c r="C8" s="946"/>
      <c r="D8" s="947"/>
      <c r="E8" s="956" t="s">
        <v>545</v>
      </c>
      <c r="F8" s="956"/>
      <c r="G8" s="957"/>
      <c r="I8" s="950" t="str">
        <f>IF(Lang="English","  Periodicity:","周期")</f>
        <v xml:space="preserve">  Periodicity:</v>
      </c>
      <c r="J8" s="951"/>
      <c r="K8" s="948" t="s">
        <v>427</v>
      </c>
      <c r="L8" s="949"/>
      <c r="N8" s="512" t="str">
        <f>" * "&amp;IF(Lang="English","Estimates are in "&amp;CURRENCY,IF(Lang="中文",CURRENCY&amp;"的估計","表示通貨"&amp;CURRENCY))</f>
        <v xml:space="preserve"> * Estimates are in USD</v>
      </c>
    </row>
    <row r="9" spans="2:17" ht="5.0999999999999996" customHeight="1">
      <c r="B9" s="53"/>
      <c r="D9" s="53"/>
      <c r="K9" s="370"/>
      <c r="L9" s="370"/>
      <c r="M9" s="370"/>
    </row>
    <row r="10" spans="2:17" ht="15" customHeight="1">
      <c r="B10" s="952" t="str">
        <f>IF(Lang="English","Broker Name",IF(Lang="中文","經紀人","ブローカー"))</f>
        <v>Broker Name</v>
      </c>
      <c r="C10" s="953"/>
      <c r="D10" s="944" t="str">
        <f>DataH!$N$107&amp;"1 (" &amp; TEXT(DataH!$C$84, "M/YY") &amp; ")"</f>
        <v>FY1 (9/15)</v>
      </c>
      <c r="E10" s="958"/>
      <c r="F10" s="944" t="str">
        <f>IF(Lang="English","Change from",IF(Lang="中文","自前期","前 "&amp;DataH!$N$107&amp;"1からの"))</f>
        <v>Change from</v>
      </c>
      <c r="G10" s="941"/>
      <c r="I10" s="938" t="str">
        <f>DataH!$N$107&amp;"2 (" &amp; TEXT(DataH!$G$84, "M/YY") &amp; ")"</f>
        <v>FY2 (9/16)</v>
      </c>
      <c r="J10" s="939"/>
      <c r="K10" s="940" t="str">
        <f>IF(Lang="English","Change from",IF(Lang="中文","自前期","前 "&amp;DataH!$N$107&amp;"2からの"))</f>
        <v>Change from</v>
      </c>
      <c r="L10" s="941"/>
      <c r="N10" s="938" t="str">
        <f>DataH!$N$107&amp;"3 (" &amp; TEXT(DataH!$K$84, "M/YY") &amp; ")"</f>
        <v>FY3 (9/17)</v>
      </c>
      <c r="O10" s="939"/>
      <c r="P10" s="940" t="str">
        <f>IF(Lang="English","Change from",IF(Lang="中文","自前期","前 "&amp;DataH!$N$107&amp;"3からの"))</f>
        <v>Change from</v>
      </c>
      <c r="Q10" s="941"/>
    </row>
    <row r="11" spans="2:17" ht="15" customHeight="1">
      <c r="B11" s="954"/>
      <c r="C11" s="955"/>
      <c r="D11" s="371" t="str">
        <f>IF(Lang="English","Date",IF(Lang="中文","日期","日付"))</f>
        <v>Date</v>
      </c>
      <c r="E11" s="371" t="str">
        <f>IF(Lang="English","Estimate",IF(Lang="中文","預估","予想"))</f>
        <v>Estimate</v>
      </c>
      <c r="F11" s="371" t="str">
        <f>IF(Lang="English","Previous "&amp;DataH!$N$107&amp;"1",IF(Lang="中文","變動 FY1","変化"))</f>
        <v>Previous FY1</v>
      </c>
      <c r="G11" s="372" t="s">
        <v>530</v>
      </c>
      <c r="H11" s="268"/>
      <c r="I11" s="373" t="str">
        <f>IF(Lang="English","Date",IF(Lang="中文","日期","日付"))</f>
        <v>Date</v>
      </c>
      <c r="J11" s="371" t="str">
        <f>IF(Lang="English","Estimate",IF(Lang="中文","預估","予想"))</f>
        <v>Estimate</v>
      </c>
      <c r="K11" s="371" t="str">
        <f>IF(Lang="English","Previous "&amp;DataH!$N$107&amp;"2",IF(Lang="中文","變動 FY2","変化"))</f>
        <v>Previous FY2</v>
      </c>
      <c r="L11" s="372" t="s">
        <v>530</v>
      </c>
      <c r="M11" s="268"/>
      <c r="N11" s="373" t="str">
        <f>IF(Lang="English","Date",IF(Lang="中文","日期","日付"))</f>
        <v>Date</v>
      </c>
      <c r="O11" s="371" t="str">
        <f>IF(Lang="English","Estimate",IF(Lang="中文","預估","予想"))</f>
        <v>Estimate</v>
      </c>
      <c r="P11" s="371" t="str">
        <f>IF(Lang="English","Previous "&amp;DataH!$N$107&amp;"3",IF(Lang="中文","變動 FY3","変化"))</f>
        <v>Previous FY3</v>
      </c>
      <c r="Q11" s="372" t="s">
        <v>530</v>
      </c>
    </row>
    <row r="12" spans="2:17" ht="15" customHeight="1">
      <c r="B12" s="942" t="str">
        <f>IF(DataH!$A85="", "", DataH!$A85)</f>
        <v>Jefferies</v>
      </c>
      <c r="C12" s="943"/>
      <c r="D12" s="374">
        <f>IF(ISERROR(VLOOKUP($B12, DataH!$A$85:$D$155, 2, FALSE)), "", VLOOKUP($B12, DataH!$A$85:$D$155, 2, FALSE))</f>
        <v>42226</v>
      </c>
      <c r="E12" s="314">
        <f>IF(ISERROR(VLOOKUP($B12, DataH!$A$85:$D$155, 3, FALSE)), "", VLOOKUP($B12, DataH!$A$85:$D$155, 3, FALSE))</f>
        <v>9.15</v>
      </c>
      <c r="F12" s="314">
        <f>IF(ISERROR(VLOOKUP($B12, DataH!$A$85:$D$155, 4, FALSE)), "", VLOOKUP($B12, DataH!$A$85:$D$155, 4, FALSE))</f>
        <v>0</v>
      </c>
      <c r="G12" s="375">
        <f>IF(ISERROR((E12/(E12-F12))-1), "", (E12/(E12-F12))-1)</f>
        <v>0</v>
      </c>
      <c r="H12" s="376"/>
      <c r="I12" s="313">
        <f>IF(ISERROR(VLOOKUP($B12, DataH!$E$85:$H$155, 2, FALSE)), "", VLOOKUP($B12, DataH!$E$85:$H$155, 2, FALSE))</f>
        <v>42226</v>
      </c>
      <c r="J12" s="314">
        <f>IF(ISERROR(VLOOKUP($B12, DataH!$E$85:$H$155, 3, FALSE)), "", VLOOKUP($B12, DataH!$E$85:$H$155, 3, FALSE))</f>
        <v>9.5500000000000007</v>
      </c>
      <c r="K12" s="314">
        <f>IF(ISERROR(VLOOKUP($B12, DataH!$E$85:$H$155, 4, FALSE)), "", VLOOKUP($B12, DataH!$E$85:$H$155, 4, FALSE))</f>
        <v>0</v>
      </c>
      <c r="L12" s="375">
        <f>IF(ISERROR((J12/(J12-K12))-1), "", (J12/(J12-K12))-1)</f>
        <v>0</v>
      </c>
      <c r="M12" s="268"/>
      <c r="N12" s="313" t="str">
        <f>IF(ISERROR(VLOOKUP($B12, DataH!$I$85:$L$155, 2, FALSE)), "", VLOOKUP($B12, DataH!$I$85:$L$155, 2, FALSE))</f>
        <v/>
      </c>
      <c r="O12" s="377" t="str">
        <f>IF(ISERROR(VLOOKUP($B12, DataH!$I$85:$L$155, 3, FALSE)), "", VLOOKUP($B12, DataH!$I$85:$L$155, 3, FALSE))</f>
        <v/>
      </c>
      <c r="P12" s="377" t="str">
        <f>IF(ISERROR(VLOOKUP($B12, DataH!$I$85:$L$155, 4, FALSE)), "", VLOOKUP($B12, DataH!$I$85:$L$155, 4, FALSE))</f>
        <v/>
      </c>
      <c r="Q12" s="375" t="str">
        <f>IF(ISERROR((O12/(O12-P12))-1), "", (O12/(O12-P12))-1)</f>
        <v/>
      </c>
    </row>
    <row r="13" spans="2:17" ht="15" customHeight="1">
      <c r="B13" s="862" t="str">
        <f>IF(DataH!$A86="", "", DataH!$A86)</f>
        <v>PERM DENIED</v>
      </c>
      <c r="C13" s="768"/>
      <c r="D13" s="378">
        <f>IF(ISERROR(VLOOKUP($B13, DataH!$A$85:$D$155, 2, FALSE)), "", VLOOKUP($B13, DataH!$A$85:$D$155, 2, FALSE))</f>
        <v>42223</v>
      </c>
      <c r="E13" s="205">
        <f>IF(ISERROR(VLOOKUP($B13, DataH!$A$85:$D$155, 3, FALSE)), "", VLOOKUP($B13, DataH!$A$85:$D$155, 3, FALSE))</f>
        <v>9.0399999999999991</v>
      </c>
      <c r="F13" s="205">
        <f>IF(ISERROR(VLOOKUP($B13, DataH!$A$85:$D$155, 4, FALSE)), "", VLOOKUP($B13, DataH!$A$85:$D$155, 4, FALSE))</f>
        <v>0</v>
      </c>
      <c r="G13" s="103">
        <f t="shared" ref="G13:G62" si="0">IF(ISERROR((E13/(E13-F13))-1), "", (E13/(E13-F13))-1)</f>
        <v>0</v>
      </c>
      <c r="H13" s="376"/>
      <c r="I13" s="318">
        <f>IF(ISERROR(VLOOKUP($B13, DataH!$E$85:$H$155, 2, FALSE)), "", VLOOKUP($B13, DataH!$E$85:$H$155, 2, FALSE))</f>
        <v>42223</v>
      </c>
      <c r="J13" s="205">
        <f>IF(ISERROR(VLOOKUP($B13, DataH!$E$85:$H$155, 3, FALSE)), "", VLOOKUP($B13, DataH!$E$85:$H$155, 3, FALSE))</f>
        <v>10.050000000000001</v>
      </c>
      <c r="K13" s="205">
        <f>IF(ISERROR(VLOOKUP($B13, DataH!$E$85:$H$155, 4, FALSE)), "", VLOOKUP($B13, DataH!$E$85:$H$155, 4, FALSE))</f>
        <v>0.02</v>
      </c>
      <c r="L13" s="103">
        <f t="shared" ref="L13:L62" si="1">IF(ISERROR((J13/(J13-K13))-1), "", (J13/(J13-K13))-1)</f>
        <v>1.9940179461614971E-3</v>
      </c>
      <c r="M13" s="268"/>
      <c r="N13" s="318">
        <f>IF(ISERROR(VLOOKUP($B13, DataH!$I$85:$L$155, 2, FALSE)), "", VLOOKUP($B13, DataH!$I$85:$L$155, 2, FALSE))</f>
        <v>42223</v>
      </c>
      <c r="O13" s="129">
        <f>IF(ISERROR(VLOOKUP($B13, DataH!$I$85:$L$155, 3, FALSE)), "", VLOOKUP($B13, DataH!$I$85:$L$155, 3, FALSE))</f>
        <v>10.28</v>
      </c>
      <c r="P13" s="129">
        <f>IF(ISERROR(VLOOKUP($B13, DataH!$I$85:$L$155, 4, FALSE)), "", VLOOKUP($B13, DataH!$I$85:$L$155, 4, FALSE))</f>
        <v>-0.95</v>
      </c>
      <c r="Q13" s="103">
        <f t="shared" ref="Q13:Q59" si="2">IF(ISERROR((O13/(O13-P13))-1), "", (O13/(O13-P13))-1)</f>
        <v>-8.4594835262689183E-2</v>
      </c>
    </row>
    <row r="14" spans="2:17" ht="15" customHeight="1">
      <c r="B14" s="910" t="str">
        <f>IF(DataH!$A87="", "", DataH!$A87)</f>
        <v>PERM DENIED</v>
      </c>
      <c r="C14" s="765"/>
      <c r="D14" s="379">
        <f>IF(ISERROR(VLOOKUP($B14, DataH!$A$85:$D$155, 2, FALSE)), "", VLOOKUP($B14, DataH!$A$85:$D$155, 2, FALSE))</f>
        <v>42223</v>
      </c>
      <c r="E14" s="208">
        <f>IF(ISERROR(VLOOKUP($B14, DataH!$A$85:$D$155, 3, FALSE)), "", VLOOKUP($B14, DataH!$A$85:$D$155, 3, FALSE))</f>
        <v>9.0399999999999991</v>
      </c>
      <c r="F14" s="208">
        <f>IF(ISERROR(VLOOKUP($B14, DataH!$A$85:$D$155, 4, FALSE)), "", VLOOKUP($B14, DataH!$A$85:$D$155, 4, FALSE))</f>
        <v>0</v>
      </c>
      <c r="G14" s="102">
        <f t="shared" si="0"/>
        <v>0</v>
      </c>
      <c r="H14" s="376"/>
      <c r="I14" s="322">
        <f>IF(ISERROR(VLOOKUP($B14, DataH!$E$85:$H$155, 2, FALSE)), "", VLOOKUP($B14, DataH!$E$85:$H$155, 2, FALSE))</f>
        <v>42223</v>
      </c>
      <c r="J14" s="208">
        <f>IF(ISERROR(VLOOKUP($B14, DataH!$E$85:$H$155, 3, FALSE)), "", VLOOKUP($B14, DataH!$E$85:$H$155, 3, FALSE))</f>
        <v>10.050000000000001</v>
      </c>
      <c r="K14" s="208">
        <f>IF(ISERROR(VLOOKUP($B14, DataH!$E$85:$H$155, 4, FALSE)), "", VLOOKUP($B14, DataH!$E$85:$H$155, 4, FALSE))</f>
        <v>0.02</v>
      </c>
      <c r="L14" s="102">
        <f t="shared" si="1"/>
        <v>1.9940179461614971E-3</v>
      </c>
      <c r="M14" s="268"/>
      <c r="N14" s="322">
        <f>IF(ISERROR(VLOOKUP($B14, DataH!$I$85:$L$155, 2, FALSE)), "", VLOOKUP($B14, DataH!$I$85:$L$155, 2, FALSE))</f>
        <v>42223</v>
      </c>
      <c r="O14" s="126">
        <f>IF(ISERROR(VLOOKUP($B14, DataH!$I$85:$L$155, 3, FALSE)), "", VLOOKUP($B14, DataH!$I$85:$L$155, 3, FALSE))</f>
        <v>10.28</v>
      </c>
      <c r="P14" s="126">
        <f>IF(ISERROR(VLOOKUP($B14, DataH!$I$85:$L$155, 4, FALSE)), "", VLOOKUP($B14, DataH!$I$85:$L$155, 4, FALSE))</f>
        <v>-0.95</v>
      </c>
      <c r="Q14" s="102">
        <f t="shared" si="2"/>
        <v>-8.4594835262689183E-2</v>
      </c>
    </row>
    <row r="15" spans="2:17" ht="15" customHeight="1">
      <c r="B15" s="862" t="str">
        <f>IF(DataH!$A88="", "", DataH!$A88)</f>
        <v>PERM DENIED</v>
      </c>
      <c r="C15" s="768"/>
      <c r="D15" s="378">
        <f>IF(ISERROR(VLOOKUP($B15, DataH!$A$85:$D$155, 2, FALSE)), "", VLOOKUP($B15, DataH!$A$85:$D$155, 2, FALSE))</f>
        <v>42223</v>
      </c>
      <c r="E15" s="205">
        <f>IF(ISERROR(VLOOKUP($B15, DataH!$A$85:$D$155, 3, FALSE)), "", VLOOKUP($B15, DataH!$A$85:$D$155, 3, FALSE))</f>
        <v>9.0399999999999991</v>
      </c>
      <c r="F15" s="205">
        <f>IF(ISERROR(VLOOKUP($B15, DataH!$A$85:$D$155, 4, FALSE)), "", VLOOKUP($B15, DataH!$A$85:$D$155, 4, FALSE))</f>
        <v>0</v>
      </c>
      <c r="G15" s="103">
        <f t="shared" si="0"/>
        <v>0</v>
      </c>
      <c r="H15" s="380"/>
      <c r="I15" s="318">
        <f>IF(ISERROR(VLOOKUP($B15, DataH!$E$85:$H$155, 2, FALSE)), "", VLOOKUP($B15, DataH!$E$85:$H$155, 2, FALSE))</f>
        <v>42223</v>
      </c>
      <c r="J15" s="205">
        <f>IF(ISERROR(VLOOKUP($B15, DataH!$E$85:$H$155, 3, FALSE)), "", VLOOKUP($B15, DataH!$E$85:$H$155, 3, FALSE))</f>
        <v>10.050000000000001</v>
      </c>
      <c r="K15" s="205">
        <f>IF(ISERROR(VLOOKUP($B15, DataH!$E$85:$H$155, 4, FALSE)), "", VLOOKUP($B15, DataH!$E$85:$H$155, 4, FALSE))</f>
        <v>0.02</v>
      </c>
      <c r="L15" s="103">
        <f t="shared" si="1"/>
        <v>1.9940179461614971E-3</v>
      </c>
      <c r="M15" s="216"/>
      <c r="N15" s="318">
        <f>IF(ISERROR(VLOOKUP($B15, DataH!$I$85:$L$155, 2, FALSE)), "", VLOOKUP($B15, DataH!$I$85:$L$155, 2, FALSE))</f>
        <v>42223</v>
      </c>
      <c r="O15" s="129">
        <f>IF(ISERROR(VLOOKUP($B15, DataH!$I$85:$L$155, 3, FALSE)), "", VLOOKUP($B15, DataH!$I$85:$L$155, 3, FALSE))</f>
        <v>10.28</v>
      </c>
      <c r="P15" s="129">
        <f>IF(ISERROR(VLOOKUP($B15, DataH!$I$85:$L$155, 4, FALSE)), "", VLOOKUP($B15, DataH!$I$85:$L$155, 4, FALSE))</f>
        <v>-0.95</v>
      </c>
      <c r="Q15" s="103">
        <f t="shared" si="2"/>
        <v>-8.4594835262689183E-2</v>
      </c>
    </row>
    <row r="16" spans="2:17" ht="15" customHeight="1">
      <c r="B16" s="910" t="str">
        <f>IF(DataH!$A89="", "", DataH!$A89)</f>
        <v>PERM DENIED</v>
      </c>
      <c r="C16" s="765"/>
      <c r="D16" s="379">
        <f>IF(ISERROR(VLOOKUP($B16, DataH!$A$85:$D$155, 2, FALSE)), "", VLOOKUP($B16, DataH!$A$85:$D$155, 2, FALSE))</f>
        <v>42223</v>
      </c>
      <c r="E16" s="208">
        <f>IF(ISERROR(VLOOKUP($B16, DataH!$A$85:$D$155, 3, FALSE)), "", VLOOKUP($B16, DataH!$A$85:$D$155, 3, FALSE))</f>
        <v>9.0399999999999991</v>
      </c>
      <c r="F16" s="208">
        <f>IF(ISERROR(VLOOKUP($B16, DataH!$A$85:$D$155, 4, FALSE)), "", VLOOKUP($B16, DataH!$A$85:$D$155, 4, FALSE))</f>
        <v>0</v>
      </c>
      <c r="G16" s="102">
        <f t="shared" si="0"/>
        <v>0</v>
      </c>
      <c r="H16" s="380"/>
      <c r="I16" s="322">
        <f>IF(ISERROR(VLOOKUP($B16, DataH!$E$85:$H$155, 2, FALSE)), "", VLOOKUP($B16, DataH!$E$85:$H$155, 2, FALSE))</f>
        <v>42223</v>
      </c>
      <c r="J16" s="208">
        <f>IF(ISERROR(VLOOKUP($B16, DataH!$E$85:$H$155, 3, FALSE)), "", VLOOKUP($B16, DataH!$E$85:$H$155, 3, FALSE))</f>
        <v>10.050000000000001</v>
      </c>
      <c r="K16" s="208">
        <f>IF(ISERROR(VLOOKUP($B16, DataH!$E$85:$H$155, 4, FALSE)), "", VLOOKUP($B16, DataH!$E$85:$H$155, 4, FALSE))</f>
        <v>0.02</v>
      </c>
      <c r="L16" s="102">
        <f t="shared" si="1"/>
        <v>1.9940179461614971E-3</v>
      </c>
      <c r="M16" s="216"/>
      <c r="N16" s="322">
        <f>IF(ISERROR(VLOOKUP($B16, DataH!$I$85:$L$155, 2, FALSE)), "", VLOOKUP($B16, DataH!$I$85:$L$155, 2, FALSE))</f>
        <v>42223</v>
      </c>
      <c r="O16" s="126">
        <f>IF(ISERROR(VLOOKUP($B16, DataH!$I$85:$L$155, 3, FALSE)), "", VLOOKUP($B16, DataH!$I$85:$L$155, 3, FALSE))</f>
        <v>10.28</v>
      </c>
      <c r="P16" s="126">
        <f>IF(ISERROR(VLOOKUP($B16, DataH!$I$85:$L$155, 4, FALSE)), "", VLOOKUP($B16, DataH!$I$85:$L$155, 4, FALSE))</f>
        <v>-0.95</v>
      </c>
      <c r="Q16" s="102">
        <f t="shared" si="2"/>
        <v>-8.4594835262689183E-2</v>
      </c>
    </row>
    <row r="17" spans="2:17" ht="15" customHeight="1">
      <c r="B17" s="862" t="str">
        <f>IF(DataH!$A90="", "", DataH!$A90)</f>
        <v>BMO Capital Markets</v>
      </c>
      <c r="C17" s="768"/>
      <c r="D17" s="378">
        <f>IF(ISERROR(VLOOKUP($B17, DataH!$A$85:$D$155, 2, FALSE)), "", VLOOKUP($B17, DataH!$A$85:$D$155, 2, FALSE))</f>
        <v>42222</v>
      </c>
      <c r="E17" s="205">
        <f>IF(ISERROR(VLOOKUP($B17, DataH!$A$85:$D$155, 3, FALSE)), "", VLOOKUP($B17, DataH!$A$85:$D$155, 3, FALSE))</f>
        <v>9.24</v>
      </c>
      <c r="F17" s="205">
        <f>IF(ISERROR(VLOOKUP($B17, DataH!$A$85:$D$155, 4, FALSE)), "", VLOOKUP($B17, DataH!$A$85:$D$155, 4, FALSE))</f>
        <v>0</v>
      </c>
      <c r="G17" s="103">
        <f t="shared" si="0"/>
        <v>0</v>
      </c>
      <c r="H17" s="380"/>
      <c r="I17" s="318">
        <f>IF(ISERROR(VLOOKUP($B17, DataH!$E$85:$H$155, 2, FALSE)), "", VLOOKUP($B17, DataH!$E$85:$H$155, 2, FALSE))</f>
        <v>42222</v>
      </c>
      <c r="J17" s="205">
        <f>IF(ISERROR(VLOOKUP($B17, DataH!$E$85:$H$155, 3, FALSE)), "", VLOOKUP($B17, DataH!$E$85:$H$155, 3, FALSE))</f>
        <v>9.3000000000000007</v>
      </c>
      <c r="K17" s="205">
        <f>IF(ISERROR(VLOOKUP($B17, DataH!$E$85:$H$155, 4, FALSE)), "", VLOOKUP($B17, DataH!$E$85:$H$155, 4, FALSE))</f>
        <v>0</v>
      </c>
      <c r="L17" s="103">
        <f t="shared" si="1"/>
        <v>0</v>
      </c>
      <c r="M17" s="216"/>
      <c r="N17" s="318" t="str">
        <f>IF(ISERROR(VLOOKUP($B17, DataH!$I$85:$L$155, 2, FALSE)), "", VLOOKUP($B17, DataH!$I$85:$L$155, 2, FALSE))</f>
        <v/>
      </c>
      <c r="O17" s="129" t="str">
        <f>IF(ISERROR(VLOOKUP($B17, DataH!$I$85:$L$155, 3, FALSE)), "", VLOOKUP($B17, DataH!$I$85:$L$155, 3, FALSE))</f>
        <v/>
      </c>
      <c r="P17" s="129" t="str">
        <f>IF(ISERROR(VLOOKUP($B17, DataH!$I$85:$L$155, 4, FALSE)), "", VLOOKUP($B17, DataH!$I$85:$L$155, 4, FALSE))</f>
        <v/>
      </c>
      <c r="Q17" s="103" t="str">
        <f t="shared" si="2"/>
        <v/>
      </c>
    </row>
    <row r="18" spans="2:17" ht="15" customHeight="1">
      <c r="B18" s="910" t="str">
        <f>IF(DataH!$A91="", "", DataH!$A91)</f>
        <v>Hamburger Sparkasse</v>
      </c>
      <c r="C18" s="765"/>
      <c r="D18" s="379">
        <f>IF(ISERROR(VLOOKUP($B18, DataH!$A$85:$D$155, 2, FALSE)), "", VLOOKUP($B18, DataH!$A$85:$D$155, 2, FALSE))</f>
        <v>42222</v>
      </c>
      <c r="E18" s="208">
        <f>IF(ISERROR(VLOOKUP($B18, DataH!$A$85:$D$155, 3, FALSE)), "", VLOOKUP($B18, DataH!$A$85:$D$155, 3, FALSE))</f>
        <v>9.01</v>
      </c>
      <c r="F18" s="208">
        <f>IF(ISERROR(VLOOKUP($B18, DataH!$A$85:$D$155, 4, FALSE)), "", VLOOKUP($B18, DataH!$A$85:$D$155, 4, FALSE))</f>
        <v>-0.18</v>
      </c>
      <c r="G18" s="102">
        <f t="shared" si="0"/>
        <v>-1.9586507072905324E-2</v>
      </c>
      <c r="H18" s="380"/>
      <c r="I18" s="322">
        <f>IF(ISERROR(VLOOKUP($B18, DataH!$E$85:$H$155, 2, FALSE)), "", VLOOKUP($B18, DataH!$E$85:$H$155, 2, FALSE))</f>
        <v>42222</v>
      </c>
      <c r="J18" s="208">
        <f>IF(ISERROR(VLOOKUP($B18, DataH!$E$85:$H$155, 3, FALSE)), "", VLOOKUP($B18, DataH!$E$85:$H$155, 3, FALSE))</f>
        <v>10.24</v>
      </c>
      <c r="K18" s="208">
        <f>IF(ISERROR(VLOOKUP($B18, DataH!$E$85:$H$155, 4, FALSE)), "", VLOOKUP($B18, DataH!$E$85:$H$155, 4, FALSE))</f>
        <v>0</v>
      </c>
      <c r="L18" s="102">
        <f t="shared" si="1"/>
        <v>0</v>
      </c>
      <c r="M18" s="216"/>
      <c r="N18" s="322" t="str">
        <f>IF(ISERROR(VLOOKUP($B18, DataH!$I$85:$L$155, 2, FALSE)), "", VLOOKUP($B18, DataH!$I$85:$L$155, 2, FALSE))</f>
        <v/>
      </c>
      <c r="O18" s="126" t="str">
        <f>IF(ISERROR(VLOOKUP($B18, DataH!$I$85:$L$155, 3, FALSE)), "", VLOOKUP($B18, DataH!$I$85:$L$155, 3, FALSE))</f>
        <v/>
      </c>
      <c r="P18" s="126" t="str">
        <f>IF(ISERROR(VLOOKUP($B18, DataH!$I$85:$L$155, 4, FALSE)), "", VLOOKUP($B18, DataH!$I$85:$L$155, 4, FALSE))</f>
        <v/>
      </c>
      <c r="Q18" s="102" t="str">
        <f t="shared" si="2"/>
        <v/>
      </c>
    </row>
    <row r="19" spans="2:17" ht="15" customHeight="1">
      <c r="B19" s="862" t="str">
        <f>IF(DataH!$A92="", "", DataH!$A92)</f>
        <v>PERM DENIED</v>
      </c>
      <c r="C19" s="768"/>
      <c r="D19" s="378">
        <f>IF(ISERROR(VLOOKUP($B19, DataH!$A$85:$D$155, 2, FALSE)), "", VLOOKUP($B19, DataH!$A$85:$D$155, 2, FALSE))</f>
        <v>42223</v>
      </c>
      <c r="E19" s="205">
        <f>IF(ISERROR(VLOOKUP($B19, DataH!$A$85:$D$155, 3, FALSE)), "", VLOOKUP($B19, DataH!$A$85:$D$155, 3, FALSE))</f>
        <v>9.0399999999999991</v>
      </c>
      <c r="F19" s="205">
        <f>IF(ISERROR(VLOOKUP($B19, DataH!$A$85:$D$155, 4, FALSE)), "", VLOOKUP($B19, DataH!$A$85:$D$155, 4, FALSE))</f>
        <v>0</v>
      </c>
      <c r="G19" s="103">
        <f t="shared" si="0"/>
        <v>0</v>
      </c>
      <c r="H19" s="380"/>
      <c r="I19" s="318">
        <f>IF(ISERROR(VLOOKUP($B19, DataH!$E$85:$H$155, 2, FALSE)), "", VLOOKUP($B19, DataH!$E$85:$H$155, 2, FALSE))</f>
        <v>42223</v>
      </c>
      <c r="J19" s="205">
        <f>IF(ISERROR(VLOOKUP($B19, DataH!$E$85:$H$155, 3, FALSE)), "", VLOOKUP($B19, DataH!$E$85:$H$155, 3, FALSE))</f>
        <v>10.050000000000001</v>
      </c>
      <c r="K19" s="205">
        <f>IF(ISERROR(VLOOKUP($B19, DataH!$E$85:$H$155, 4, FALSE)), "", VLOOKUP($B19, DataH!$E$85:$H$155, 4, FALSE))</f>
        <v>0.02</v>
      </c>
      <c r="L19" s="103">
        <f t="shared" si="1"/>
        <v>1.9940179461614971E-3</v>
      </c>
      <c r="M19" s="216"/>
      <c r="N19" s="318">
        <f>IF(ISERROR(VLOOKUP($B19, DataH!$I$85:$L$155, 2, FALSE)), "", VLOOKUP($B19, DataH!$I$85:$L$155, 2, FALSE))</f>
        <v>42223</v>
      </c>
      <c r="O19" s="129">
        <f>IF(ISERROR(VLOOKUP($B19, DataH!$I$85:$L$155, 3, FALSE)), "", VLOOKUP($B19, DataH!$I$85:$L$155, 3, FALSE))</f>
        <v>10.28</v>
      </c>
      <c r="P19" s="129">
        <f>IF(ISERROR(VLOOKUP($B19, DataH!$I$85:$L$155, 4, FALSE)), "", VLOOKUP($B19, DataH!$I$85:$L$155, 4, FALSE))</f>
        <v>-0.95</v>
      </c>
      <c r="Q19" s="103">
        <f t="shared" si="2"/>
        <v>-8.4594835262689183E-2</v>
      </c>
    </row>
    <row r="20" spans="2:17" ht="15" customHeight="1">
      <c r="B20" s="910" t="str">
        <f>IF(DataH!$A93="", "", DataH!$A93)</f>
        <v>Robert W. Baird &amp; Co</v>
      </c>
      <c r="C20" s="765"/>
      <c r="D20" s="379">
        <f>IF(ISERROR(VLOOKUP($B20, DataH!$A$85:$D$155, 2, FALSE)), "", VLOOKUP($B20, DataH!$A$85:$D$155, 2, FALSE))</f>
        <v>42222</v>
      </c>
      <c r="E20" s="208">
        <f>IF(ISERROR(VLOOKUP($B20, DataH!$A$85:$D$155, 3, FALSE)), "", VLOOKUP($B20, DataH!$A$85:$D$155, 3, FALSE))</f>
        <v>9.07</v>
      </c>
      <c r="F20" s="208">
        <f>IF(ISERROR(VLOOKUP($B20, DataH!$A$85:$D$155, 4, FALSE)), "", VLOOKUP($B20, DataH!$A$85:$D$155, 4, FALSE))</f>
        <v>0</v>
      </c>
      <c r="G20" s="102">
        <f t="shared" si="0"/>
        <v>0</v>
      </c>
      <c r="H20" s="380"/>
      <c r="I20" s="322">
        <f>IF(ISERROR(VLOOKUP($B20, DataH!$E$85:$H$155, 2, FALSE)), "", VLOOKUP($B20, DataH!$E$85:$H$155, 2, FALSE))</f>
        <v>42222</v>
      </c>
      <c r="J20" s="208">
        <f>IF(ISERROR(VLOOKUP($B20, DataH!$E$85:$H$155, 3, FALSE)), "", VLOOKUP($B20, DataH!$E$85:$H$155, 3, FALSE))</f>
        <v>9.2200000000000006</v>
      </c>
      <c r="K20" s="208">
        <f>IF(ISERROR(VLOOKUP($B20, DataH!$E$85:$H$155, 4, FALSE)), "", VLOOKUP($B20, DataH!$E$85:$H$155, 4, FALSE))</f>
        <v>0</v>
      </c>
      <c r="L20" s="102">
        <f t="shared" si="1"/>
        <v>0</v>
      </c>
      <c r="M20" s="216"/>
      <c r="N20" s="322" t="str">
        <f>IF(ISERROR(VLOOKUP($B20, DataH!$I$85:$L$155, 2, FALSE)), "", VLOOKUP($B20, DataH!$I$85:$L$155, 2, FALSE))</f>
        <v/>
      </c>
      <c r="O20" s="126" t="str">
        <f>IF(ISERROR(VLOOKUP($B20, DataH!$I$85:$L$155, 3, FALSE)), "", VLOOKUP($B20, DataH!$I$85:$L$155, 3, FALSE))</f>
        <v/>
      </c>
      <c r="P20" s="126" t="str">
        <f>IF(ISERROR(VLOOKUP($B20, DataH!$I$85:$L$155, 4, FALSE)), "", VLOOKUP($B20, DataH!$I$85:$L$155, 4, FALSE))</f>
        <v/>
      </c>
      <c r="Q20" s="102" t="str">
        <f t="shared" si="2"/>
        <v/>
      </c>
    </row>
    <row r="21" spans="2:17" ht="15" customHeight="1">
      <c r="B21" s="862" t="str">
        <f>IF(DataH!$A94="", "", DataH!$A94)</f>
        <v>FBR Capital Markets</v>
      </c>
      <c r="C21" s="768"/>
      <c r="D21" s="378">
        <f>IF(ISERROR(VLOOKUP($B21, DataH!$A$85:$D$155, 2, FALSE)), "", VLOOKUP($B21, DataH!$A$85:$D$155, 2, FALSE))</f>
        <v>42222</v>
      </c>
      <c r="E21" s="205">
        <f>IF(ISERROR(VLOOKUP($B21, DataH!$A$85:$D$155, 3, FALSE)), "", VLOOKUP($B21, DataH!$A$85:$D$155, 3, FALSE))</f>
        <v>9.1199999999999992</v>
      </c>
      <c r="F21" s="205">
        <f>IF(ISERROR(VLOOKUP($B21, DataH!$A$85:$D$155, 4, FALSE)), "", VLOOKUP($B21, DataH!$A$85:$D$155, 4, FALSE))</f>
        <v>0.03</v>
      </c>
      <c r="G21" s="103">
        <f t="shared" si="0"/>
        <v>3.3003300330032292E-3</v>
      </c>
      <c r="H21" s="380"/>
      <c r="I21" s="318">
        <f>IF(ISERROR(VLOOKUP($B21, DataH!$E$85:$H$155, 2, FALSE)), "", VLOOKUP($B21, DataH!$E$85:$H$155, 2, FALSE))</f>
        <v>42222</v>
      </c>
      <c r="J21" s="205">
        <f>IF(ISERROR(VLOOKUP($B21, DataH!$E$85:$H$155, 3, FALSE)), "", VLOOKUP($B21, DataH!$E$85:$H$155, 3, FALSE))</f>
        <v>9.58</v>
      </c>
      <c r="K21" s="205">
        <f>IF(ISERROR(VLOOKUP($B21, DataH!$E$85:$H$155, 4, FALSE)), "", VLOOKUP($B21, DataH!$E$85:$H$155, 4, FALSE))</f>
        <v>0</v>
      </c>
      <c r="L21" s="103">
        <f t="shared" si="1"/>
        <v>0</v>
      </c>
      <c r="M21" s="216"/>
      <c r="N21" s="318" t="str">
        <f>IF(ISERROR(VLOOKUP($B21, DataH!$I$85:$L$155, 2, FALSE)), "", VLOOKUP($B21, DataH!$I$85:$L$155, 2, FALSE))</f>
        <v/>
      </c>
      <c r="O21" s="129" t="str">
        <f>IF(ISERROR(VLOOKUP($B21, DataH!$I$85:$L$155, 3, FALSE)), "", VLOOKUP($B21, DataH!$I$85:$L$155, 3, FALSE))</f>
        <v/>
      </c>
      <c r="P21" s="129" t="str">
        <f>IF(ISERROR(VLOOKUP($B21, DataH!$I$85:$L$155, 4, FALSE)), "", VLOOKUP($B21, DataH!$I$85:$L$155, 4, FALSE))</f>
        <v/>
      </c>
      <c r="Q21" s="103" t="str">
        <f t="shared" si="2"/>
        <v/>
      </c>
    </row>
    <row r="22" spans="2:17" ht="15" customHeight="1">
      <c r="B22" s="910" t="str">
        <f>IF(DataH!$A95="", "", DataH!$A95)</f>
        <v>PERM DENIED</v>
      </c>
      <c r="C22" s="765"/>
      <c r="D22" s="379">
        <f>IF(ISERROR(VLOOKUP($B22, DataH!$A$85:$D$155, 2, FALSE)), "", VLOOKUP($B22, DataH!$A$85:$D$155, 2, FALSE))</f>
        <v>42223</v>
      </c>
      <c r="E22" s="208">
        <f>IF(ISERROR(VLOOKUP($B22, DataH!$A$85:$D$155, 3, FALSE)), "", VLOOKUP($B22, DataH!$A$85:$D$155, 3, FALSE))</f>
        <v>9.0399999999999991</v>
      </c>
      <c r="F22" s="208">
        <f>IF(ISERROR(VLOOKUP($B22, DataH!$A$85:$D$155, 4, FALSE)), "", VLOOKUP($B22, DataH!$A$85:$D$155, 4, FALSE))</f>
        <v>0</v>
      </c>
      <c r="G22" s="102">
        <f t="shared" si="0"/>
        <v>0</v>
      </c>
      <c r="H22" s="380"/>
      <c r="I22" s="322">
        <f>IF(ISERROR(VLOOKUP($B22, DataH!$E$85:$H$155, 2, FALSE)), "", VLOOKUP($B22, DataH!$E$85:$H$155, 2, FALSE))</f>
        <v>42223</v>
      </c>
      <c r="J22" s="208">
        <f>IF(ISERROR(VLOOKUP($B22, DataH!$E$85:$H$155, 3, FALSE)), "", VLOOKUP($B22, DataH!$E$85:$H$155, 3, FALSE))</f>
        <v>10.050000000000001</v>
      </c>
      <c r="K22" s="208">
        <f>IF(ISERROR(VLOOKUP($B22, DataH!$E$85:$H$155, 4, FALSE)), "", VLOOKUP($B22, DataH!$E$85:$H$155, 4, FALSE))</f>
        <v>0.02</v>
      </c>
      <c r="L22" s="102">
        <f t="shared" si="1"/>
        <v>1.9940179461614971E-3</v>
      </c>
      <c r="M22" s="216"/>
      <c r="N22" s="322">
        <f>IF(ISERROR(VLOOKUP($B22, DataH!$I$85:$L$155, 2, FALSE)), "", VLOOKUP($B22, DataH!$I$85:$L$155, 2, FALSE))</f>
        <v>42223</v>
      </c>
      <c r="O22" s="126">
        <f>IF(ISERROR(VLOOKUP($B22, DataH!$I$85:$L$155, 3, FALSE)), "", VLOOKUP($B22, DataH!$I$85:$L$155, 3, FALSE))</f>
        <v>10.28</v>
      </c>
      <c r="P22" s="126">
        <f>IF(ISERROR(VLOOKUP($B22, DataH!$I$85:$L$155, 4, FALSE)), "", VLOOKUP($B22, DataH!$I$85:$L$155, 4, FALSE))</f>
        <v>-0.95</v>
      </c>
      <c r="Q22" s="102">
        <f t="shared" si="2"/>
        <v>-8.4594835262689183E-2</v>
      </c>
    </row>
    <row r="23" spans="2:17" ht="15" customHeight="1">
      <c r="B23" s="862" t="str">
        <f>IF(DataH!$A96="", "", DataH!$A96)</f>
        <v>First Shanghai Securities Ltd</v>
      </c>
      <c r="C23" s="768"/>
      <c r="D23" s="378">
        <f>IF(ISERROR(VLOOKUP($B23, DataH!$A$85:$D$155, 2, FALSE)), "", VLOOKUP($B23, DataH!$A$85:$D$155, 2, FALSE))</f>
        <v>42215</v>
      </c>
      <c r="E23" s="205">
        <f>IF(ISERROR(VLOOKUP($B23, DataH!$A$85:$D$155, 3, FALSE)), "", VLOOKUP($B23, DataH!$A$85:$D$155, 3, FALSE))</f>
        <v>9.19</v>
      </c>
      <c r="F23" s="205">
        <f>IF(ISERROR(VLOOKUP($B23, DataH!$A$85:$D$155, 4, FALSE)), "", VLOOKUP($B23, DataH!$A$85:$D$155, 4, FALSE))</f>
        <v>0</v>
      </c>
      <c r="G23" s="103">
        <f t="shared" si="0"/>
        <v>0</v>
      </c>
      <c r="H23" s="380"/>
      <c r="I23" s="318">
        <f>IF(ISERROR(VLOOKUP($B23, DataH!$E$85:$H$155, 2, FALSE)), "", VLOOKUP($B23, DataH!$E$85:$H$155, 2, FALSE))</f>
        <v>42215</v>
      </c>
      <c r="J23" s="205">
        <f>IF(ISERROR(VLOOKUP($B23, DataH!$E$85:$H$155, 3, FALSE)), "", VLOOKUP($B23, DataH!$E$85:$H$155, 3, FALSE))</f>
        <v>9.51</v>
      </c>
      <c r="K23" s="205">
        <f>IF(ISERROR(VLOOKUP($B23, DataH!$E$85:$H$155, 4, FALSE)), "", VLOOKUP($B23, DataH!$E$85:$H$155, 4, FALSE))</f>
        <v>0</v>
      </c>
      <c r="L23" s="103">
        <f t="shared" si="1"/>
        <v>0</v>
      </c>
      <c r="M23" s="216"/>
      <c r="N23" s="318">
        <f>IF(ISERROR(VLOOKUP($B23, DataH!$I$85:$L$155, 2, FALSE)), "", VLOOKUP($B23, DataH!$I$85:$L$155, 2, FALSE))</f>
        <v>42215</v>
      </c>
      <c r="O23" s="129">
        <f>IF(ISERROR(VLOOKUP($B23, DataH!$I$85:$L$155, 3, FALSE)), "", VLOOKUP($B23, DataH!$I$85:$L$155, 3, FALSE))</f>
        <v>9.99</v>
      </c>
      <c r="P23" s="129">
        <f>IF(ISERROR(VLOOKUP($B23, DataH!$I$85:$L$155, 4, FALSE)), "", VLOOKUP($B23, DataH!$I$85:$L$155, 4, FALSE))</f>
        <v>0</v>
      </c>
      <c r="Q23" s="103">
        <f t="shared" si="2"/>
        <v>0</v>
      </c>
    </row>
    <row r="24" spans="2:17" ht="15" customHeight="1">
      <c r="B24" s="910" t="str">
        <f>IF(DataH!$A97="", "", DataH!$A97)</f>
        <v>BGC Partners</v>
      </c>
      <c r="C24" s="765"/>
      <c r="D24" s="379">
        <f>IF(ISERROR(VLOOKUP($B24, DataH!$A$85:$D$155, 2, FALSE)), "", VLOOKUP($B24, DataH!$A$85:$D$155, 2, FALSE))</f>
        <v>42213</v>
      </c>
      <c r="E24" s="208">
        <f>IF(ISERROR(VLOOKUP($B24, DataH!$A$85:$D$155, 3, FALSE)), "", VLOOKUP($B24, DataH!$A$85:$D$155, 3, FALSE))</f>
        <v>9.1300000000000008</v>
      </c>
      <c r="F24" s="208">
        <f>IF(ISERROR(VLOOKUP($B24, DataH!$A$85:$D$155, 4, FALSE)), "", VLOOKUP($B24, DataH!$A$85:$D$155, 4, FALSE))</f>
        <v>0</v>
      </c>
      <c r="G24" s="102">
        <f t="shared" si="0"/>
        <v>0</v>
      </c>
      <c r="H24" s="380"/>
      <c r="I24" s="322">
        <f>IF(ISERROR(VLOOKUP($B24, DataH!$E$85:$H$155, 2, FALSE)), "", VLOOKUP($B24, DataH!$E$85:$H$155, 2, FALSE))</f>
        <v>42213</v>
      </c>
      <c r="J24" s="208">
        <f>IF(ISERROR(VLOOKUP($B24, DataH!$E$85:$H$155, 3, FALSE)), "", VLOOKUP($B24, DataH!$E$85:$H$155, 3, FALSE))</f>
        <v>9.69</v>
      </c>
      <c r="K24" s="208">
        <f>IF(ISERROR(VLOOKUP($B24, DataH!$E$85:$H$155, 4, FALSE)), "", VLOOKUP($B24, DataH!$E$85:$H$155, 4, FALSE))</f>
        <v>0</v>
      </c>
      <c r="L24" s="102">
        <f t="shared" si="1"/>
        <v>0</v>
      </c>
      <c r="M24" s="216"/>
      <c r="N24" s="322" t="str">
        <f>IF(ISERROR(VLOOKUP($B24, DataH!$I$85:$L$155, 2, FALSE)), "", VLOOKUP($B24, DataH!$I$85:$L$155, 2, FALSE))</f>
        <v/>
      </c>
      <c r="O24" s="126" t="str">
        <f>IF(ISERROR(VLOOKUP($B24, DataH!$I$85:$L$155, 3, FALSE)), "", VLOOKUP($B24, DataH!$I$85:$L$155, 3, FALSE))</f>
        <v/>
      </c>
      <c r="P24" s="126" t="str">
        <f>IF(ISERROR(VLOOKUP($B24, DataH!$I$85:$L$155, 4, FALSE)), "", VLOOKUP($B24, DataH!$I$85:$L$155, 4, FALSE))</f>
        <v/>
      </c>
      <c r="Q24" s="102" t="str">
        <f t="shared" si="2"/>
        <v/>
      </c>
    </row>
    <row r="25" spans="2:17" ht="15" customHeight="1">
      <c r="B25" s="862" t="str">
        <f>IF(DataH!$A98="", "", DataH!$A98)</f>
        <v>Exane BNP Paribas</v>
      </c>
      <c r="C25" s="768"/>
      <c r="D25" s="378">
        <f>IF(ISERROR(VLOOKUP($B25, DataH!$A$85:$D$155, 2, FALSE)), "", VLOOKUP($B25, DataH!$A$85:$D$155, 2, FALSE))</f>
        <v>42209</v>
      </c>
      <c r="E25" s="205">
        <f>IF(ISERROR(VLOOKUP($B25, DataH!$A$85:$D$155, 3, FALSE)), "", VLOOKUP($B25, DataH!$A$85:$D$155, 3, FALSE))</f>
        <v>9.14</v>
      </c>
      <c r="F25" s="205">
        <f>IF(ISERROR(VLOOKUP($B25, DataH!$A$85:$D$155, 4, FALSE)), "", VLOOKUP($B25, DataH!$A$85:$D$155, 4, FALSE))</f>
        <v>0</v>
      </c>
      <c r="G25" s="103">
        <f t="shared" si="0"/>
        <v>0</v>
      </c>
      <c r="H25" s="380"/>
      <c r="I25" s="318">
        <f>IF(ISERROR(VLOOKUP($B25, DataH!$E$85:$H$155, 2, FALSE)), "", VLOOKUP($B25, DataH!$E$85:$H$155, 2, FALSE))</f>
        <v>42209</v>
      </c>
      <c r="J25" s="205">
        <f>IF(ISERROR(VLOOKUP($B25, DataH!$E$85:$H$155, 3, FALSE)), "", VLOOKUP($B25, DataH!$E$85:$H$155, 3, FALSE))</f>
        <v>9.11</v>
      </c>
      <c r="K25" s="205">
        <f>IF(ISERROR(VLOOKUP($B25, DataH!$E$85:$H$155, 4, FALSE)), "", VLOOKUP($B25, DataH!$E$85:$H$155, 4, FALSE))</f>
        <v>0</v>
      </c>
      <c r="L25" s="103">
        <f t="shared" si="1"/>
        <v>0</v>
      </c>
      <c r="M25" s="216"/>
      <c r="N25" s="318">
        <f>IF(ISERROR(VLOOKUP($B25, DataH!$I$85:$L$155, 2, FALSE)), "", VLOOKUP($B25, DataH!$I$85:$L$155, 2, FALSE))</f>
        <v>42209</v>
      </c>
      <c r="O25" s="129">
        <f>IF(ISERROR(VLOOKUP($B25, DataH!$I$85:$L$155, 3, FALSE)), "", VLOOKUP($B25, DataH!$I$85:$L$155, 3, FALSE))</f>
        <v>12.03</v>
      </c>
      <c r="P25" s="129">
        <f>IF(ISERROR(VLOOKUP($B25, DataH!$I$85:$L$155, 4, FALSE)), "", VLOOKUP($B25, DataH!$I$85:$L$155, 4, FALSE))</f>
        <v>0</v>
      </c>
      <c r="Q25" s="103">
        <f t="shared" si="2"/>
        <v>0</v>
      </c>
    </row>
    <row r="26" spans="2:17" ht="15" customHeight="1">
      <c r="B26" s="910" t="str">
        <f>IF(DataH!$A99="", "", DataH!$A99)</f>
        <v>Raymond James</v>
      </c>
      <c r="C26" s="765"/>
      <c r="D26" s="379">
        <f>IF(ISERROR(VLOOKUP($B26, DataH!$A$85:$D$155, 2, FALSE)), "", VLOOKUP($B26, DataH!$A$85:$D$155, 2, FALSE))</f>
        <v>42209</v>
      </c>
      <c r="E26" s="208">
        <f>IF(ISERROR(VLOOKUP($B26, DataH!$A$85:$D$155, 3, FALSE)), "", VLOOKUP($B26, DataH!$A$85:$D$155, 3, FALSE))</f>
        <v>9.15</v>
      </c>
      <c r="F26" s="208">
        <f>IF(ISERROR(VLOOKUP($B26, DataH!$A$85:$D$155, 4, FALSE)), "", VLOOKUP($B26, DataH!$A$85:$D$155, 4, FALSE))</f>
        <v>0</v>
      </c>
      <c r="G26" s="102">
        <f t="shared" si="0"/>
        <v>0</v>
      </c>
      <c r="H26" s="380"/>
      <c r="I26" s="322">
        <f>IF(ISERROR(VLOOKUP($B26, DataH!$E$85:$H$155, 2, FALSE)), "", VLOOKUP($B26, DataH!$E$85:$H$155, 2, FALSE))</f>
        <v>42209</v>
      </c>
      <c r="J26" s="208">
        <f>IF(ISERROR(VLOOKUP($B26, DataH!$E$85:$H$155, 3, FALSE)), "", VLOOKUP($B26, DataH!$E$85:$H$155, 3, FALSE))</f>
        <v>9.83</v>
      </c>
      <c r="K26" s="208">
        <f>IF(ISERROR(VLOOKUP($B26, DataH!$E$85:$H$155, 4, FALSE)), "", VLOOKUP($B26, DataH!$E$85:$H$155, 4, FALSE))</f>
        <v>0</v>
      </c>
      <c r="L26" s="102">
        <f t="shared" si="1"/>
        <v>0</v>
      </c>
      <c r="M26" s="216"/>
      <c r="N26" s="322">
        <f>IF(ISERROR(VLOOKUP($B26, DataH!$I$85:$L$155, 2, FALSE)), "", VLOOKUP($B26, DataH!$I$85:$L$155, 2, FALSE))</f>
        <v>42209</v>
      </c>
      <c r="O26" s="126">
        <f>IF(ISERROR(VLOOKUP($B26, DataH!$I$85:$L$155, 3, FALSE)), "", VLOOKUP($B26, DataH!$I$85:$L$155, 3, FALSE))</f>
        <v>11.7</v>
      </c>
      <c r="P26" s="126">
        <f>IF(ISERROR(VLOOKUP($B26, DataH!$I$85:$L$155, 4, FALSE)), "", VLOOKUP($B26, DataH!$I$85:$L$155, 4, FALSE))</f>
        <v>0.4</v>
      </c>
      <c r="Q26" s="102">
        <f t="shared" si="2"/>
        <v>3.539823008849563E-2</v>
      </c>
    </row>
    <row r="27" spans="2:17" ht="15" customHeight="1">
      <c r="B27" s="862" t="str">
        <f>IF(DataH!$A100="", "", DataH!$A100)</f>
        <v>Morningstar, Inc</v>
      </c>
      <c r="C27" s="768"/>
      <c r="D27" s="378">
        <f>IF(ISERROR(VLOOKUP($B27, DataH!$A$85:$D$155, 2, FALSE)), "", VLOOKUP($B27, DataH!$A$85:$D$155, 2, FALSE))</f>
        <v>42209</v>
      </c>
      <c r="E27" s="205">
        <f>IF(ISERROR(VLOOKUP($B27, DataH!$A$85:$D$155, 3, FALSE)), "", VLOOKUP($B27, DataH!$A$85:$D$155, 3, FALSE))</f>
        <v>9.25</v>
      </c>
      <c r="F27" s="205">
        <f>IF(ISERROR(VLOOKUP($B27, DataH!$A$85:$D$155, 4, FALSE)), "", VLOOKUP($B27, DataH!$A$85:$D$155, 4, FALSE))</f>
        <v>0.1</v>
      </c>
      <c r="G27" s="103">
        <f t="shared" si="0"/>
        <v>1.0928961748633892E-2</v>
      </c>
      <c r="H27" s="380"/>
      <c r="I27" s="318">
        <f>IF(ISERROR(VLOOKUP($B27, DataH!$E$85:$H$155, 2, FALSE)), "", VLOOKUP($B27, DataH!$E$85:$H$155, 2, FALSE))</f>
        <v>42209</v>
      </c>
      <c r="J27" s="205">
        <f>IF(ISERROR(VLOOKUP($B27, DataH!$E$85:$H$155, 3, FALSE)), "", VLOOKUP($B27, DataH!$E$85:$H$155, 3, FALSE))</f>
        <v>10.199999999999999</v>
      </c>
      <c r="K27" s="205">
        <f>IF(ISERROR(VLOOKUP($B27, DataH!$E$85:$H$155, 4, FALSE)), "", VLOOKUP($B27, DataH!$E$85:$H$155, 4, FALSE))</f>
        <v>0.2</v>
      </c>
      <c r="L27" s="103">
        <f t="shared" si="1"/>
        <v>2.0000000000000018E-2</v>
      </c>
      <c r="M27" s="216"/>
      <c r="N27" s="318" t="str">
        <f>IF(ISERROR(VLOOKUP($B27, DataH!$I$85:$L$155, 2, FALSE)), "", VLOOKUP($B27, DataH!$I$85:$L$155, 2, FALSE))</f>
        <v/>
      </c>
      <c r="O27" s="129" t="str">
        <f>IF(ISERROR(VLOOKUP($B27, DataH!$I$85:$L$155, 3, FALSE)), "", VLOOKUP($B27, DataH!$I$85:$L$155, 3, FALSE))</f>
        <v/>
      </c>
      <c r="P27" s="129" t="str">
        <f>IF(ISERROR(VLOOKUP($B27, DataH!$I$85:$L$155, 4, FALSE)), "", VLOOKUP($B27, DataH!$I$85:$L$155, 4, FALSE))</f>
        <v/>
      </c>
      <c r="Q27" s="103" t="str">
        <f t="shared" si="2"/>
        <v/>
      </c>
    </row>
    <row r="28" spans="2:17" ht="15" customHeight="1">
      <c r="B28" s="910" t="str">
        <f>IF(DataH!$A101="", "", DataH!$A101)</f>
        <v>Argus Research Corp</v>
      </c>
      <c r="C28" s="765"/>
      <c r="D28" s="379">
        <f>IF(ISERROR(VLOOKUP($B28, DataH!$A$85:$D$155, 2, FALSE)), "", VLOOKUP($B28, DataH!$A$85:$D$155, 2, FALSE))</f>
        <v>42208</v>
      </c>
      <c r="E28" s="208">
        <f>IF(ISERROR(VLOOKUP($B28, DataH!$A$85:$D$155, 3, FALSE)), "", VLOOKUP($B28, DataH!$A$85:$D$155, 3, FALSE))</f>
        <v>9.15</v>
      </c>
      <c r="F28" s="208">
        <f>IF(ISERROR(VLOOKUP($B28, DataH!$A$85:$D$155, 4, FALSE)), "", VLOOKUP($B28, DataH!$A$85:$D$155, 4, FALSE))</f>
        <v>0</v>
      </c>
      <c r="G28" s="102">
        <f t="shared" si="0"/>
        <v>0</v>
      </c>
      <c r="H28" s="380"/>
      <c r="I28" s="322">
        <f>IF(ISERROR(VLOOKUP($B28, DataH!$E$85:$H$155, 2, FALSE)), "", VLOOKUP($B28, DataH!$E$85:$H$155, 2, FALSE))</f>
        <v>42208</v>
      </c>
      <c r="J28" s="208">
        <f>IF(ISERROR(VLOOKUP($B28, DataH!$E$85:$H$155, 3, FALSE)), "", VLOOKUP($B28, DataH!$E$85:$H$155, 3, FALSE))</f>
        <v>10.33</v>
      </c>
      <c r="K28" s="208">
        <f>IF(ISERROR(VLOOKUP($B28, DataH!$E$85:$H$155, 4, FALSE)), "", VLOOKUP($B28, DataH!$E$85:$H$155, 4, FALSE))</f>
        <v>0.01</v>
      </c>
      <c r="L28" s="102">
        <f t="shared" si="1"/>
        <v>9.6899224806201723E-4</v>
      </c>
      <c r="M28" s="216"/>
      <c r="N28" s="322" t="str">
        <f>IF(ISERROR(VLOOKUP($B28, DataH!$I$85:$L$155, 2, FALSE)), "", VLOOKUP($B28, DataH!$I$85:$L$155, 2, FALSE))</f>
        <v/>
      </c>
      <c r="O28" s="126" t="str">
        <f>IF(ISERROR(VLOOKUP($B28, DataH!$I$85:$L$155, 3, FALSE)), "", VLOOKUP($B28, DataH!$I$85:$L$155, 3, FALSE))</f>
        <v/>
      </c>
      <c r="P28" s="126" t="str">
        <f>IF(ISERROR(VLOOKUP($B28, DataH!$I$85:$L$155, 4, FALSE)), "", VLOOKUP($B28, DataH!$I$85:$L$155, 4, FALSE))</f>
        <v/>
      </c>
      <c r="Q28" s="102" t="str">
        <f t="shared" si="2"/>
        <v/>
      </c>
    </row>
    <row r="29" spans="2:17" ht="15" customHeight="1">
      <c r="B29" s="862" t="str">
        <f>IF(DataH!$A102="", "", DataH!$A102)</f>
        <v>PERM DENIED</v>
      </c>
      <c r="C29" s="768"/>
      <c r="D29" s="378">
        <f>IF(ISERROR(VLOOKUP($B29, DataH!$A$85:$D$155, 2, FALSE)), "", VLOOKUP($B29, DataH!$A$85:$D$155, 2, FALSE))</f>
        <v>42223</v>
      </c>
      <c r="E29" s="205">
        <f>IF(ISERROR(VLOOKUP($B29, DataH!$A$85:$D$155, 3, FALSE)), "", VLOOKUP($B29, DataH!$A$85:$D$155, 3, FALSE))</f>
        <v>9.0399999999999991</v>
      </c>
      <c r="F29" s="205">
        <f>IF(ISERROR(VLOOKUP($B29, DataH!$A$85:$D$155, 4, FALSE)), "", VLOOKUP($B29, DataH!$A$85:$D$155, 4, FALSE))</f>
        <v>0</v>
      </c>
      <c r="G29" s="103">
        <f t="shared" si="0"/>
        <v>0</v>
      </c>
      <c r="H29" s="380"/>
      <c r="I29" s="318">
        <f>IF(ISERROR(VLOOKUP($B29, DataH!$E$85:$H$155, 2, FALSE)), "", VLOOKUP($B29, DataH!$E$85:$H$155, 2, FALSE))</f>
        <v>42223</v>
      </c>
      <c r="J29" s="205">
        <f>IF(ISERROR(VLOOKUP($B29, DataH!$E$85:$H$155, 3, FALSE)), "", VLOOKUP($B29, DataH!$E$85:$H$155, 3, FALSE))</f>
        <v>10.050000000000001</v>
      </c>
      <c r="K29" s="205">
        <f>IF(ISERROR(VLOOKUP($B29, DataH!$E$85:$H$155, 4, FALSE)), "", VLOOKUP($B29, DataH!$E$85:$H$155, 4, FALSE))</f>
        <v>0.02</v>
      </c>
      <c r="L29" s="103">
        <f t="shared" si="1"/>
        <v>1.9940179461614971E-3</v>
      </c>
      <c r="M29" s="216"/>
      <c r="N29" s="318">
        <f>IF(ISERROR(VLOOKUP($B29, DataH!$I$85:$L$155, 2, FALSE)), "", VLOOKUP($B29, DataH!$I$85:$L$155, 2, FALSE))</f>
        <v>42223</v>
      </c>
      <c r="O29" s="129">
        <f>IF(ISERROR(VLOOKUP($B29, DataH!$I$85:$L$155, 3, FALSE)), "", VLOOKUP($B29, DataH!$I$85:$L$155, 3, FALSE))</f>
        <v>10.28</v>
      </c>
      <c r="P29" s="129">
        <f>IF(ISERROR(VLOOKUP($B29, DataH!$I$85:$L$155, 4, FALSE)), "", VLOOKUP($B29, DataH!$I$85:$L$155, 4, FALSE))</f>
        <v>-0.95</v>
      </c>
      <c r="Q29" s="103">
        <f t="shared" si="2"/>
        <v>-8.4594835262689183E-2</v>
      </c>
    </row>
    <row r="30" spans="2:17" ht="15" customHeight="1">
      <c r="B30" s="910" t="str">
        <f>IF(DataH!$A103="", "", DataH!$A103)</f>
        <v>Atlantic Equities LLP</v>
      </c>
      <c r="C30" s="765"/>
      <c r="D30" s="379">
        <f>IF(ISERROR(VLOOKUP($B30, DataH!$A$85:$D$155, 2, FALSE)), "", VLOOKUP($B30, DataH!$A$85:$D$155, 2, FALSE))</f>
        <v>42207</v>
      </c>
      <c r="E30" s="208">
        <f>IF(ISERROR(VLOOKUP($B30, DataH!$A$85:$D$155, 3, FALSE)), "", VLOOKUP($B30, DataH!$A$85:$D$155, 3, FALSE))</f>
        <v>9.4</v>
      </c>
      <c r="F30" s="208">
        <f>IF(ISERROR(VLOOKUP($B30, DataH!$A$85:$D$155, 4, FALSE)), "", VLOOKUP($B30, DataH!$A$85:$D$155, 4, FALSE))</f>
        <v>1</v>
      </c>
      <c r="G30" s="102">
        <f t="shared" si="0"/>
        <v>0.11904761904761907</v>
      </c>
      <c r="H30" s="380"/>
      <c r="I30" s="322">
        <f>IF(ISERROR(VLOOKUP($B30, DataH!$E$85:$H$155, 2, FALSE)), "", VLOOKUP($B30, DataH!$E$85:$H$155, 2, FALSE))</f>
        <v>42207</v>
      </c>
      <c r="J30" s="208">
        <f>IF(ISERROR(VLOOKUP($B30, DataH!$E$85:$H$155, 3, FALSE)), "", VLOOKUP($B30, DataH!$E$85:$H$155, 3, FALSE))</f>
        <v>10</v>
      </c>
      <c r="K30" s="208">
        <f>IF(ISERROR(VLOOKUP($B30, DataH!$E$85:$H$155, 4, FALSE)), "", VLOOKUP($B30, DataH!$E$85:$H$155, 4, FALSE))</f>
        <v>0</v>
      </c>
      <c r="L30" s="102">
        <f t="shared" si="1"/>
        <v>0</v>
      </c>
      <c r="M30" s="216"/>
      <c r="N30" s="322">
        <f>IF(ISERROR(VLOOKUP($B30, DataH!$I$85:$L$155, 2, FALSE)), "", VLOOKUP($B30, DataH!$I$85:$L$155, 2, FALSE))</f>
        <v>42207</v>
      </c>
      <c r="O30" s="126">
        <f>IF(ISERROR(VLOOKUP($B30, DataH!$I$85:$L$155, 3, FALSE)), "", VLOOKUP($B30, DataH!$I$85:$L$155, 3, FALSE))</f>
        <v>9.48</v>
      </c>
      <c r="P30" s="126">
        <f>IF(ISERROR(VLOOKUP($B30, DataH!$I$85:$L$155, 4, FALSE)), "", VLOOKUP($B30, DataH!$I$85:$L$155, 4, FALSE))</f>
        <v>0</v>
      </c>
      <c r="Q30" s="102">
        <f t="shared" si="2"/>
        <v>0</v>
      </c>
    </row>
    <row r="31" spans="2:17" ht="15" customHeight="1">
      <c r="B31" s="862" t="str">
        <f>IF(DataH!$A104="", "", DataH!$A104)</f>
        <v>PERM DENIED</v>
      </c>
      <c r="C31" s="768"/>
      <c r="D31" s="378">
        <f>IF(ISERROR(VLOOKUP($B31, DataH!$A$85:$D$155, 2, FALSE)), "", VLOOKUP($B31, DataH!$A$85:$D$155, 2, FALSE))</f>
        <v>42223</v>
      </c>
      <c r="E31" s="205">
        <f>IF(ISERROR(VLOOKUP($B31, DataH!$A$85:$D$155, 3, FALSE)), "", VLOOKUP($B31, DataH!$A$85:$D$155, 3, FALSE))</f>
        <v>9.0399999999999991</v>
      </c>
      <c r="F31" s="205">
        <f>IF(ISERROR(VLOOKUP($B31, DataH!$A$85:$D$155, 4, FALSE)), "", VLOOKUP($B31, DataH!$A$85:$D$155, 4, FALSE))</f>
        <v>0</v>
      </c>
      <c r="G31" s="103">
        <f t="shared" si="0"/>
        <v>0</v>
      </c>
      <c r="H31" s="380"/>
      <c r="I31" s="318">
        <f>IF(ISERROR(VLOOKUP($B31, DataH!$E$85:$H$155, 2, FALSE)), "", VLOOKUP($B31, DataH!$E$85:$H$155, 2, FALSE))</f>
        <v>42223</v>
      </c>
      <c r="J31" s="205">
        <f>IF(ISERROR(VLOOKUP($B31, DataH!$E$85:$H$155, 3, FALSE)), "", VLOOKUP($B31, DataH!$E$85:$H$155, 3, FALSE))</f>
        <v>10.050000000000001</v>
      </c>
      <c r="K31" s="205">
        <f>IF(ISERROR(VLOOKUP($B31, DataH!$E$85:$H$155, 4, FALSE)), "", VLOOKUP($B31, DataH!$E$85:$H$155, 4, FALSE))</f>
        <v>0.02</v>
      </c>
      <c r="L31" s="103">
        <f t="shared" si="1"/>
        <v>1.9940179461614971E-3</v>
      </c>
      <c r="M31" s="216"/>
      <c r="N31" s="318">
        <f>IF(ISERROR(VLOOKUP($B31, DataH!$I$85:$L$155, 2, FALSE)), "", VLOOKUP($B31, DataH!$I$85:$L$155, 2, FALSE))</f>
        <v>42223</v>
      </c>
      <c r="O31" s="129">
        <f>IF(ISERROR(VLOOKUP($B31, DataH!$I$85:$L$155, 3, FALSE)), "", VLOOKUP($B31, DataH!$I$85:$L$155, 3, FALSE))</f>
        <v>10.28</v>
      </c>
      <c r="P31" s="129">
        <f>IF(ISERROR(VLOOKUP($B31, DataH!$I$85:$L$155, 4, FALSE)), "", VLOOKUP($B31, DataH!$I$85:$L$155, 4, FALSE))</f>
        <v>-0.95</v>
      </c>
      <c r="Q31" s="103">
        <f t="shared" si="2"/>
        <v>-8.4594835262689183E-2</v>
      </c>
    </row>
    <row r="32" spans="2:17" ht="15" customHeight="1">
      <c r="B32" s="910" t="str">
        <f>IF(DataH!$A105="", "", DataH!$A105)</f>
        <v>Maxim Group LLC</v>
      </c>
      <c r="C32" s="765"/>
      <c r="D32" s="379">
        <f>IF(ISERROR(VLOOKUP($B32, DataH!$A$85:$D$155, 2, FALSE)), "", VLOOKUP($B32, DataH!$A$85:$D$155, 2, FALSE))</f>
        <v>42207</v>
      </c>
      <c r="E32" s="208">
        <f>IF(ISERROR(VLOOKUP($B32, DataH!$A$85:$D$155, 3, FALSE)), "", VLOOKUP($B32, DataH!$A$85:$D$155, 3, FALSE))</f>
        <v>9.16</v>
      </c>
      <c r="F32" s="208">
        <f>IF(ISERROR(VLOOKUP($B32, DataH!$A$85:$D$155, 4, FALSE)), "", VLOOKUP($B32, DataH!$A$85:$D$155, 4, FALSE))</f>
        <v>0.13</v>
      </c>
      <c r="G32" s="102">
        <f t="shared" si="0"/>
        <v>1.439645625692143E-2</v>
      </c>
      <c r="H32" s="380"/>
      <c r="I32" s="322">
        <f>IF(ISERROR(VLOOKUP($B32, DataH!$E$85:$H$155, 2, FALSE)), "", VLOOKUP($B32, DataH!$E$85:$H$155, 2, FALSE))</f>
        <v>42207</v>
      </c>
      <c r="J32" s="208">
        <f>IF(ISERROR(VLOOKUP($B32, DataH!$E$85:$H$155, 3, FALSE)), "", VLOOKUP($B32, DataH!$E$85:$H$155, 3, FALSE))</f>
        <v>9.6999999999999993</v>
      </c>
      <c r="K32" s="208">
        <f>IF(ISERROR(VLOOKUP($B32, DataH!$E$85:$H$155, 4, FALSE)), "", VLOOKUP($B32, DataH!$E$85:$H$155, 4, FALSE))</f>
        <v>0.32</v>
      </c>
      <c r="L32" s="102">
        <f t="shared" si="1"/>
        <v>3.4115138592750505E-2</v>
      </c>
      <c r="M32" s="216"/>
      <c r="N32" s="322" t="str">
        <f>IF(ISERROR(VLOOKUP($B32, DataH!$I$85:$L$155, 2, FALSE)), "", VLOOKUP($B32, DataH!$I$85:$L$155, 2, FALSE))</f>
        <v/>
      </c>
      <c r="O32" s="126" t="str">
        <f>IF(ISERROR(VLOOKUP($B32, DataH!$I$85:$L$155, 3, FALSE)), "", VLOOKUP($B32, DataH!$I$85:$L$155, 3, FALSE))</f>
        <v/>
      </c>
      <c r="P32" s="126" t="str">
        <f>IF(ISERROR(VLOOKUP($B32, DataH!$I$85:$L$155, 4, FALSE)), "", VLOOKUP($B32, DataH!$I$85:$L$155, 4, FALSE))</f>
        <v/>
      </c>
      <c r="Q32" s="102" t="str">
        <f t="shared" si="2"/>
        <v/>
      </c>
    </row>
    <row r="33" spans="2:17" ht="15" customHeight="1">
      <c r="B33" s="862" t="str">
        <f>IF(DataH!$A106="", "", DataH!$A106)</f>
        <v>PERM DENIED</v>
      </c>
      <c r="C33" s="768"/>
      <c r="D33" s="378">
        <f>IF(ISERROR(VLOOKUP($B33, DataH!$A$85:$D$155, 2, FALSE)), "", VLOOKUP($B33, DataH!$A$85:$D$155, 2, FALSE))</f>
        <v>42223</v>
      </c>
      <c r="E33" s="205">
        <f>IF(ISERROR(VLOOKUP($B33, DataH!$A$85:$D$155, 3, FALSE)), "", VLOOKUP($B33, DataH!$A$85:$D$155, 3, FALSE))</f>
        <v>9.0399999999999991</v>
      </c>
      <c r="F33" s="205">
        <f>IF(ISERROR(VLOOKUP($B33, DataH!$A$85:$D$155, 4, FALSE)), "", VLOOKUP($B33, DataH!$A$85:$D$155, 4, FALSE))</f>
        <v>0</v>
      </c>
      <c r="G33" s="103">
        <f t="shared" si="0"/>
        <v>0</v>
      </c>
      <c r="H33" s="380"/>
      <c r="I33" s="318">
        <f>IF(ISERROR(VLOOKUP($B33, DataH!$E$85:$H$155, 2, FALSE)), "", VLOOKUP($B33, DataH!$E$85:$H$155, 2, FALSE))</f>
        <v>42223</v>
      </c>
      <c r="J33" s="205">
        <f>IF(ISERROR(VLOOKUP($B33, DataH!$E$85:$H$155, 3, FALSE)), "", VLOOKUP($B33, DataH!$E$85:$H$155, 3, FALSE))</f>
        <v>10.050000000000001</v>
      </c>
      <c r="K33" s="205">
        <f>IF(ISERROR(VLOOKUP($B33, DataH!$E$85:$H$155, 4, FALSE)), "", VLOOKUP($B33, DataH!$E$85:$H$155, 4, FALSE))</f>
        <v>0.02</v>
      </c>
      <c r="L33" s="103">
        <f t="shared" si="1"/>
        <v>1.9940179461614971E-3</v>
      </c>
      <c r="M33" s="216"/>
      <c r="N33" s="318">
        <f>IF(ISERROR(VLOOKUP($B33, DataH!$I$85:$L$155, 2, FALSE)), "", VLOOKUP($B33, DataH!$I$85:$L$155, 2, FALSE))</f>
        <v>42223</v>
      </c>
      <c r="O33" s="129">
        <f>IF(ISERROR(VLOOKUP($B33, DataH!$I$85:$L$155, 3, FALSE)), "", VLOOKUP($B33, DataH!$I$85:$L$155, 3, FALSE))</f>
        <v>10.28</v>
      </c>
      <c r="P33" s="129">
        <f>IF(ISERROR(VLOOKUP($B33, DataH!$I$85:$L$155, 4, FALSE)), "", VLOOKUP($B33, DataH!$I$85:$L$155, 4, FALSE))</f>
        <v>-0.95</v>
      </c>
      <c r="Q33" s="103">
        <f t="shared" si="2"/>
        <v>-8.4594835262689183E-2</v>
      </c>
    </row>
    <row r="34" spans="2:17" ht="15" customHeight="1">
      <c r="B34" s="910" t="str">
        <f>IF(DataH!$A107="", "", DataH!$A107)</f>
        <v>BNP Paribas Equity Research</v>
      </c>
      <c r="C34" s="765"/>
      <c r="D34" s="379">
        <f>IF(ISERROR(VLOOKUP($B34, DataH!$A$85:$D$155, 2, FALSE)), "", VLOOKUP($B34, DataH!$A$85:$D$155, 2, FALSE))</f>
        <v>42207</v>
      </c>
      <c r="E34" s="208">
        <f>IF(ISERROR(VLOOKUP($B34, DataH!$A$85:$D$155, 3, FALSE)), "", VLOOKUP($B34, DataH!$A$85:$D$155, 3, FALSE))</f>
        <v>9.2799999999999994</v>
      </c>
      <c r="F34" s="208">
        <f>IF(ISERROR(VLOOKUP($B34, DataH!$A$85:$D$155, 4, FALSE)), "", VLOOKUP($B34, DataH!$A$85:$D$155, 4, FALSE))</f>
        <v>0.31</v>
      </c>
      <c r="G34" s="102">
        <f t="shared" si="0"/>
        <v>3.455964325529548E-2</v>
      </c>
      <c r="H34" s="380"/>
      <c r="I34" s="322">
        <f>IF(ISERROR(VLOOKUP($B34, DataH!$E$85:$H$155, 2, FALSE)), "", VLOOKUP($B34, DataH!$E$85:$H$155, 2, FALSE))</f>
        <v>42207</v>
      </c>
      <c r="J34" s="208">
        <f>IF(ISERROR(VLOOKUP($B34, DataH!$E$85:$H$155, 3, FALSE)), "", VLOOKUP($B34, DataH!$E$85:$H$155, 3, FALSE))</f>
        <v>8.5</v>
      </c>
      <c r="K34" s="208">
        <f>IF(ISERROR(VLOOKUP($B34, DataH!$E$85:$H$155, 4, FALSE)), "", VLOOKUP($B34, DataH!$E$85:$H$155, 4, FALSE))</f>
        <v>0</v>
      </c>
      <c r="L34" s="102">
        <f t="shared" si="1"/>
        <v>0</v>
      </c>
      <c r="M34" s="216"/>
      <c r="N34" s="322" t="str">
        <f>IF(ISERROR(VLOOKUP($B34, DataH!$I$85:$L$155, 2, FALSE)), "", VLOOKUP($B34, DataH!$I$85:$L$155, 2, FALSE))</f>
        <v/>
      </c>
      <c r="O34" s="126" t="str">
        <f>IF(ISERROR(VLOOKUP($B34, DataH!$I$85:$L$155, 3, FALSE)), "", VLOOKUP($B34, DataH!$I$85:$L$155, 3, FALSE))</f>
        <v/>
      </c>
      <c r="P34" s="126" t="str">
        <f>IF(ISERROR(VLOOKUP($B34, DataH!$I$85:$L$155, 4, FALSE)), "", VLOOKUP($B34, DataH!$I$85:$L$155, 4, FALSE))</f>
        <v/>
      </c>
      <c r="Q34" s="102" t="str">
        <f t="shared" si="2"/>
        <v/>
      </c>
    </row>
    <row r="35" spans="2:17" ht="15" customHeight="1">
      <c r="B35" s="862" t="str">
        <f>IF(DataH!$A108="", "", DataH!$A108)</f>
        <v>Berenberg</v>
      </c>
      <c r="C35" s="768"/>
      <c r="D35" s="378">
        <f>IF(ISERROR(VLOOKUP($B35, DataH!$A$85:$D$155, 2, FALSE)), "", VLOOKUP($B35, DataH!$A$85:$D$155, 2, FALSE))</f>
        <v>42207</v>
      </c>
      <c r="E35" s="205">
        <f>IF(ISERROR(VLOOKUP($B35, DataH!$A$85:$D$155, 3, FALSE)), "", VLOOKUP($B35, DataH!$A$85:$D$155, 3, FALSE))</f>
        <v>9.1199999999999992</v>
      </c>
      <c r="F35" s="205">
        <f>IF(ISERROR(VLOOKUP($B35, DataH!$A$85:$D$155, 4, FALSE)), "", VLOOKUP($B35, DataH!$A$85:$D$155, 4, FALSE))</f>
        <v>0</v>
      </c>
      <c r="G35" s="103">
        <f t="shared" si="0"/>
        <v>0</v>
      </c>
      <c r="H35" s="380"/>
      <c r="I35" s="318">
        <f>IF(ISERROR(VLOOKUP($B35, DataH!$E$85:$H$155, 2, FALSE)), "", VLOOKUP($B35, DataH!$E$85:$H$155, 2, FALSE))</f>
        <v>42207</v>
      </c>
      <c r="J35" s="205">
        <f>IF(ISERROR(VLOOKUP($B35, DataH!$E$85:$H$155, 3, FALSE)), "", VLOOKUP($B35, DataH!$E$85:$H$155, 3, FALSE))</f>
        <v>10.06</v>
      </c>
      <c r="K35" s="205">
        <f>IF(ISERROR(VLOOKUP($B35, DataH!$E$85:$H$155, 4, FALSE)), "", VLOOKUP($B35, DataH!$E$85:$H$155, 4, FALSE))</f>
        <v>0.05</v>
      </c>
      <c r="L35" s="103">
        <f t="shared" si="1"/>
        <v>4.9950049950051589E-3</v>
      </c>
      <c r="M35" s="216"/>
      <c r="N35" s="318">
        <f>IF(ISERROR(VLOOKUP($B35, DataH!$I$85:$L$155, 2, FALSE)), "", VLOOKUP($B35, DataH!$I$85:$L$155, 2, FALSE))</f>
        <v>42207</v>
      </c>
      <c r="O35" s="129">
        <f>IF(ISERROR(VLOOKUP($B35, DataH!$I$85:$L$155, 3, FALSE)), "", VLOOKUP($B35, DataH!$I$85:$L$155, 3, FALSE))</f>
        <v>10.3</v>
      </c>
      <c r="P35" s="129">
        <f>IF(ISERROR(VLOOKUP($B35, DataH!$I$85:$L$155, 4, FALSE)), "", VLOOKUP($B35, DataH!$I$85:$L$155, 4, FALSE))</f>
        <v>7.0000000000000007E-2</v>
      </c>
      <c r="Q35" s="103">
        <f t="shared" si="2"/>
        <v>6.8426197458455462E-3</v>
      </c>
    </row>
    <row r="36" spans="2:17" ht="15" customHeight="1">
      <c r="B36" s="910" t="str">
        <f>IF(DataH!$A109="", "", DataH!$A109)</f>
        <v>Hilliard Lyons</v>
      </c>
      <c r="C36" s="765"/>
      <c r="D36" s="379">
        <f>IF(ISERROR(VLOOKUP($B36, DataH!$A$85:$D$155, 2, FALSE)), "", VLOOKUP($B36, DataH!$A$85:$D$155, 2, FALSE))</f>
        <v>42207</v>
      </c>
      <c r="E36" s="208">
        <f>IF(ISERROR(VLOOKUP($B36, DataH!$A$85:$D$155, 3, FALSE)), "", VLOOKUP($B36, DataH!$A$85:$D$155, 3, FALSE))</f>
        <v>9.14</v>
      </c>
      <c r="F36" s="208">
        <f>IF(ISERROR(VLOOKUP($B36, DataH!$A$85:$D$155, 4, FALSE)), "", VLOOKUP($B36, DataH!$A$85:$D$155, 4, FALSE))</f>
        <v>0.03</v>
      </c>
      <c r="G36" s="102">
        <f t="shared" si="0"/>
        <v>3.293084522502765E-3</v>
      </c>
      <c r="H36" s="380"/>
      <c r="I36" s="322">
        <f>IF(ISERROR(VLOOKUP($B36, DataH!$E$85:$H$155, 2, FALSE)), "", VLOOKUP($B36, DataH!$E$85:$H$155, 2, FALSE))</f>
        <v>42207</v>
      </c>
      <c r="J36" s="208">
        <f>IF(ISERROR(VLOOKUP($B36, DataH!$E$85:$H$155, 3, FALSE)), "", VLOOKUP($B36, DataH!$E$85:$H$155, 3, FALSE))</f>
        <v>9.85</v>
      </c>
      <c r="K36" s="208">
        <f>IF(ISERROR(VLOOKUP($B36, DataH!$E$85:$H$155, 4, FALSE)), "", VLOOKUP($B36, DataH!$E$85:$H$155, 4, FALSE))</f>
        <v>0</v>
      </c>
      <c r="L36" s="102">
        <f t="shared" si="1"/>
        <v>0</v>
      </c>
      <c r="M36" s="216"/>
      <c r="N36" s="322">
        <f>IF(ISERROR(VLOOKUP($B36, DataH!$I$85:$L$155, 2, FALSE)), "", VLOOKUP($B36, DataH!$I$85:$L$155, 2, FALSE))</f>
        <v>42207</v>
      </c>
      <c r="O36" s="126">
        <f>IF(ISERROR(VLOOKUP($B36, DataH!$I$85:$L$155, 3, FALSE)), "", VLOOKUP($B36, DataH!$I$85:$L$155, 3, FALSE))</f>
        <v>11.83</v>
      </c>
      <c r="P36" s="126">
        <f>IF(ISERROR(VLOOKUP($B36, DataH!$I$85:$L$155, 4, FALSE)), "", VLOOKUP($B36, DataH!$I$85:$L$155, 4, FALSE))</f>
        <v>-0.06</v>
      </c>
      <c r="Q36" s="102">
        <f t="shared" si="2"/>
        <v>-5.046257359125339E-3</v>
      </c>
    </row>
    <row r="37" spans="2:17" ht="15" customHeight="1">
      <c r="B37" s="862" t="str">
        <f>IF(DataH!$A110="", "", DataH!$A110)</f>
        <v>Societe Generale</v>
      </c>
      <c r="C37" s="768"/>
      <c r="D37" s="378">
        <f>IF(ISERROR(VLOOKUP($B37, DataH!$A$85:$D$155, 2, FALSE)), "", VLOOKUP($B37, DataH!$A$85:$D$155, 2, FALSE))</f>
        <v>42207</v>
      </c>
      <c r="E37" s="205">
        <f>IF(ISERROR(VLOOKUP($B37, DataH!$A$85:$D$155, 3, FALSE)), "", VLOOKUP($B37, DataH!$A$85:$D$155, 3, FALSE))</f>
        <v>9.1300000000000008</v>
      </c>
      <c r="F37" s="205">
        <f>IF(ISERROR(VLOOKUP($B37, DataH!$A$85:$D$155, 4, FALSE)), "", VLOOKUP($B37, DataH!$A$85:$D$155, 4, FALSE))</f>
        <v>0.17</v>
      </c>
      <c r="G37" s="103">
        <f t="shared" si="0"/>
        <v>1.8973214285714191E-2</v>
      </c>
      <c r="H37" s="380"/>
      <c r="I37" s="318">
        <f>IF(ISERROR(VLOOKUP($B37, DataH!$E$85:$H$155, 2, FALSE)), "", VLOOKUP($B37, DataH!$E$85:$H$155, 2, FALSE))</f>
        <v>42207</v>
      </c>
      <c r="J37" s="205">
        <f>IF(ISERROR(VLOOKUP($B37, DataH!$E$85:$H$155, 3, FALSE)), "", VLOOKUP($B37, DataH!$E$85:$H$155, 3, FALSE))</f>
        <v>9.9700000000000006</v>
      </c>
      <c r="K37" s="205">
        <f>IF(ISERROR(VLOOKUP($B37, DataH!$E$85:$H$155, 4, FALSE)), "", VLOOKUP($B37, DataH!$E$85:$H$155, 4, FALSE))</f>
        <v>0.02</v>
      </c>
      <c r="L37" s="103">
        <f t="shared" si="1"/>
        <v>2.0100502512563345E-3</v>
      </c>
      <c r="M37" s="216"/>
      <c r="N37" s="318">
        <f>IF(ISERROR(VLOOKUP($B37, DataH!$I$85:$L$155, 2, FALSE)), "", VLOOKUP($B37, DataH!$I$85:$L$155, 2, FALSE))</f>
        <v>42207</v>
      </c>
      <c r="O37" s="129">
        <f>IF(ISERROR(VLOOKUP($B37, DataH!$I$85:$L$155, 3, FALSE)), "", VLOOKUP($B37, DataH!$I$85:$L$155, 3, FALSE))</f>
        <v>7.86</v>
      </c>
      <c r="P37" s="129">
        <f>IF(ISERROR(VLOOKUP($B37, DataH!$I$85:$L$155, 4, FALSE)), "", VLOOKUP($B37, DataH!$I$85:$L$155, 4, FALSE))</f>
        <v>0.56000000000000005</v>
      </c>
      <c r="Q37" s="103">
        <f t="shared" si="2"/>
        <v>7.6712328767123195E-2</v>
      </c>
    </row>
    <row r="38" spans="2:17" ht="15" customHeight="1">
      <c r="B38" s="910" t="str">
        <f>IF(DataH!$A111="", "", DataH!$A111)</f>
        <v>Cleveland Research Company</v>
      </c>
      <c r="C38" s="765"/>
      <c r="D38" s="379">
        <f>IF(ISERROR(VLOOKUP($B38, DataH!$A$85:$D$155, 2, FALSE)), "", VLOOKUP($B38, DataH!$A$85:$D$155, 2, FALSE))</f>
        <v>42207</v>
      </c>
      <c r="E38" s="208">
        <f>IF(ISERROR(VLOOKUP($B38, DataH!$A$85:$D$155, 3, FALSE)), "", VLOOKUP($B38, DataH!$A$85:$D$155, 3, FALSE))</f>
        <v>9.09</v>
      </c>
      <c r="F38" s="208">
        <f>IF(ISERROR(VLOOKUP($B38, DataH!$A$85:$D$155, 4, FALSE)), "", VLOOKUP($B38, DataH!$A$85:$D$155, 4, FALSE))</f>
        <v>0.02</v>
      </c>
      <c r="G38" s="102">
        <f t="shared" si="0"/>
        <v>2.2050716648289725E-3</v>
      </c>
      <c r="H38" s="380"/>
      <c r="I38" s="322">
        <f>IF(ISERROR(VLOOKUP($B38, DataH!$E$85:$H$155, 2, FALSE)), "", VLOOKUP($B38, DataH!$E$85:$H$155, 2, FALSE))</f>
        <v>42207</v>
      </c>
      <c r="J38" s="208">
        <f>IF(ISERROR(VLOOKUP($B38, DataH!$E$85:$H$155, 3, FALSE)), "", VLOOKUP($B38, DataH!$E$85:$H$155, 3, FALSE))</f>
        <v>9.6999999999999993</v>
      </c>
      <c r="K38" s="208">
        <f>IF(ISERROR(VLOOKUP($B38, DataH!$E$85:$H$155, 4, FALSE)), "", VLOOKUP($B38, DataH!$E$85:$H$155, 4, FALSE))</f>
        <v>0.06</v>
      </c>
      <c r="L38" s="102">
        <f t="shared" si="1"/>
        <v>6.2240663900414717E-3</v>
      </c>
      <c r="M38" s="216"/>
      <c r="N38" s="322">
        <f>IF(ISERROR(VLOOKUP($B38, DataH!$I$85:$L$155, 2, FALSE)), "", VLOOKUP($B38, DataH!$I$85:$L$155, 2, FALSE))</f>
        <v>42164</v>
      </c>
      <c r="O38" s="126">
        <f>IF(ISERROR(VLOOKUP($B38, DataH!$I$85:$L$155, 3, FALSE)), "", VLOOKUP($B38, DataH!$I$85:$L$155, 3, FALSE))</f>
        <v>10.36</v>
      </c>
      <c r="P38" s="126">
        <f>IF(ISERROR(VLOOKUP($B38, DataH!$I$85:$L$155, 4, FALSE)), "", VLOOKUP($B38, DataH!$I$85:$L$155, 4, FALSE))</f>
        <v>0</v>
      </c>
      <c r="Q38" s="102">
        <f t="shared" si="2"/>
        <v>0</v>
      </c>
    </row>
    <row r="39" spans="2:17" ht="15" customHeight="1">
      <c r="B39" s="862" t="str">
        <f>IF(DataH!$A112="", "", DataH!$A112)</f>
        <v>Piper Jaffray</v>
      </c>
      <c r="C39" s="768"/>
      <c r="D39" s="378">
        <f>IF(ISERROR(VLOOKUP($B39, DataH!$A$85:$D$155, 2, FALSE)), "", VLOOKUP($B39, DataH!$A$85:$D$155, 2, FALSE))</f>
        <v>42207</v>
      </c>
      <c r="E39" s="205">
        <f>IF(ISERROR(VLOOKUP($B39, DataH!$A$85:$D$155, 3, FALSE)), "", VLOOKUP($B39, DataH!$A$85:$D$155, 3, FALSE))</f>
        <v>9.0299999999999994</v>
      </c>
      <c r="F39" s="205">
        <f>IF(ISERROR(VLOOKUP($B39, DataH!$A$85:$D$155, 4, FALSE)), "", VLOOKUP($B39, DataH!$A$85:$D$155, 4, FALSE))</f>
        <v>0.13</v>
      </c>
      <c r="G39" s="103">
        <f t="shared" si="0"/>
        <v>1.4606741573033766E-2</v>
      </c>
      <c r="H39" s="380"/>
      <c r="I39" s="318">
        <f>IF(ISERROR(VLOOKUP($B39, DataH!$E$85:$H$155, 2, FALSE)), "", VLOOKUP($B39, DataH!$E$85:$H$155, 2, FALSE))</f>
        <v>42207</v>
      </c>
      <c r="J39" s="205">
        <f>IF(ISERROR(VLOOKUP($B39, DataH!$E$85:$H$155, 3, FALSE)), "", VLOOKUP($B39, DataH!$E$85:$H$155, 3, FALSE))</f>
        <v>10.65</v>
      </c>
      <c r="K39" s="205">
        <f>IF(ISERROR(VLOOKUP($B39, DataH!$E$85:$H$155, 4, FALSE)), "", VLOOKUP($B39, DataH!$E$85:$H$155, 4, FALSE))</f>
        <v>0.01</v>
      </c>
      <c r="L39" s="103">
        <f t="shared" si="1"/>
        <v>9.3984962406024053E-4</v>
      </c>
      <c r="M39" s="216"/>
      <c r="N39" s="318" t="str">
        <f>IF(ISERROR(VLOOKUP($B39, DataH!$I$85:$L$155, 2, FALSE)), "", VLOOKUP($B39, DataH!$I$85:$L$155, 2, FALSE))</f>
        <v/>
      </c>
      <c r="O39" s="129" t="str">
        <f>IF(ISERROR(VLOOKUP($B39, DataH!$I$85:$L$155, 3, FALSE)), "", VLOOKUP($B39, DataH!$I$85:$L$155, 3, FALSE))</f>
        <v/>
      </c>
      <c r="P39" s="129" t="str">
        <f>IF(ISERROR(VLOOKUP($B39, DataH!$I$85:$L$155, 4, FALSE)), "", VLOOKUP($B39, DataH!$I$85:$L$155, 4, FALSE))</f>
        <v/>
      </c>
      <c r="Q39" s="103" t="str">
        <f t="shared" si="2"/>
        <v/>
      </c>
    </row>
    <row r="40" spans="2:17" ht="15" customHeight="1">
      <c r="B40" s="910" t="str">
        <f>IF(DataH!$A113="", "", DataH!$A113)</f>
        <v>Cross Research</v>
      </c>
      <c r="C40" s="765"/>
      <c r="D40" s="379">
        <f>IF(ISERROR(VLOOKUP($B40, DataH!$A$85:$D$155, 2, FALSE)), "", VLOOKUP($B40, DataH!$A$85:$D$155, 2, FALSE))</f>
        <v>42207</v>
      </c>
      <c r="E40" s="208">
        <f>IF(ISERROR(VLOOKUP($B40, DataH!$A$85:$D$155, 3, FALSE)), "", VLOOKUP($B40, DataH!$A$85:$D$155, 3, FALSE))</f>
        <v>9.57</v>
      </c>
      <c r="F40" s="208">
        <f>IF(ISERROR(VLOOKUP($B40, DataH!$A$85:$D$155, 4, FALSE)), "", VLOOKUP($B40, DataH!$A$85:$D$155, 4, FALSE))</f>
        <v>0.13</v>
      </c>
      <c r="G40" s="102">
        <f t="shared" si="0"/>
        <v>1.3771186440677985E-2</v>
      </c>
      <c r="H40" s="380"/>
      <c r="I40" s="322">
        <f>IF(ISERROR(VLOOKUP($B40, DataH!$E$85:$H$155, 2, FALSE)), "", VLOOKUP($B40, DataH!$E$85:$H$155, 2, FALSE))</f>
        <v>42207</v>
      </c>
      <c r="J40" s="208">
        <f>IF(ISERROR(VLOOKUP($B40, DataH!$E$85:$H$155, 3, FALSE)), "", VLOOKUP($B40, DataH!$E$85:$H$155, 3, FALSE))</f>
        <v>8.2200000000000006</v>
      </c>
      <c r="K40" s="208">
        <f>IF(ISERROR(VLOOKUP($B40, DataH!$E$85:$H$155, 4, FALSE)), "", VLOOKUP($B40, DataH!$E$85:$H$155, 4, FALSE))</f>
        <v>-0.01</v>
      </c>
      <c r="L40" s="102">
        <f t="shared" si="1"/>
        <v>-1.2150668286755595E-3</v>
      </c>
      <c r="M40" s="216"/>
      <c r="N40" s="322" t="str">
        <f>IF(ISERROR(VLOOKUP($B40, DataH!$I$85:$L$155, 2, FALSE)), "", VLOOKUP($B40, DataH!$I$85:$L$155, 2, FALSE))</f>
        <v/>
      </c>
      <c r="O40" s="126" t="str">
        <f>IF(ISERROR(VLOOKUP($B40, DataH!$I$85:$L$155, 3, FALSE)), "", VLOOKUP($B40, DataH!$I$85:$L$155, 3, FALSE))</f>
        <v/>
      </c>
      <c r="P40" s="126" t="str">
        <f>IF(ISERROR(VLOOKUP($B40, DataH!$I$85:$L$155, 4, FALSE)), "", VLOOKUP($B40, DataH!$I$85:$L$155, 4, FALSE))</f>
        <v/>
      </c>
      <c r="Q40" s="102" t="str">
        <f t="shared" si="2"/>
        <v/>
      </c>
    </row>
    <row r="41" spans="2:17" ht="15" customHeight="1">
      <c r="B41" s="862" t="str">
        <f>IF(DataH!$A114="", "", DataH!$A114)</f>
        <v>PERM DENIED</v>
      </c>
      <c r="C41" s="768"/>
      <c r="D41" s="378">
        <f>IF(ISERROR(VLOOKUP($B41, DataH!$A$85:$D$155, 2, FALSE)), "", VLOOKUP($B41, DataH!$A$85:$D$155, 2, FALSE))</f>
        <v>42223</v>
      </c>
      <c r="E41" s="205">
        <f>IF(ISERROR(VLOOKUP($B41, DataH!$A$85:$D$155, 3, FALSE)), "", VLOOKUP($B41, DataH!$A$85:$D$155, 3, FALSE))</f>
        <v>9.0399999999999991</v>
      </c>
      <c r="F41" s="205">
        <f>IF(ISERROR(VLOOKUP($B41, DataH!$A$85:$D$155, 4, FALSE)), "", VLOOKUP($B41, DataH!$A$85:$D$155, 4, FALSE))</f>
        <v>0</v>
      </c>
      <c r="G41" s="103">
        <f t="shared" si="0"/>
        <v>0</v>
      </c>
      <c r="H41" s="380"/>
      <c r="I41" s="318">
        <f>IF(ISERROR(VLOOKUP($B41, DataH!$E$85:$H$155, 2, FALSE)), "", VLOOKUP($B41, DataH!$E$85:$H$155, 2, FALSE))</f>
        <v>42223</v>
      </c>
      <c r="J41" s="205">
        <f>IF(ISERROR(VLOOKUP($B41, DataH!$E$85:$H$155, 3, FALSE)), "", VLOOKUP($B41, DataH!$E$85:$H$155, 3, FALSE))</f>
        <v>10.050000000000001</v>
      </c>
      <c r="K41" s="205">
        <f>IF(ISERROR(VLOOKUP($B41, DataH!$E$85:$H$155, 4, FALSE)), "", VLOOKUP($B41, DataH!$E$85:$H$155, 4, FALSE))</f>
        <v>0.02</v>
      </c>
      <c r="L41" s="103">
        <f t="shared" si="1"/>
        <v>1.9940179461614971E-3</v>
      </c>
      <c r="M41" s="216"/>
      <c r="N41" s="318">
        <f>IF(ISERROR(VLOOKUP($B41, DataH!$I$85:$L$155, 2, FALSE)), "", VLOOKUP($B41, DataH!$I$85:$L$155, 2, FALSE))</f>
        <v>42223</v>
      </c>
      <c r="O41" s="129">
        <f>IF(ISERROR(VLOOKUP($B41, DataH!$I$85:$L$155, 3, FALSE)), "", VLOOKUP($B41, DataH!$I$85:$L$155, 3, FALSE))</f>
        <v>10.28</v>
      </c>
      <c r="P41" s="129">
        <f>IF(ISERROR(VLOOKUP($B41, DataH!$I$85:$L$155, 4, FALSE)), "", VLOOKUP($B41, DataH!$I$85:$L$155, 4, FALSE))</f>
        <v>-0.95</v>
      </c>
      <c r="Q41" s="103">
        <f t="shared" si="2"/>
        <v>-8.4594835262689183E-2</v>
      </c>
    </row>
    <row r="42" spans="2:17" ht="15" customHeight="1">
      <c r="B42" s="910" t="str">
        <f>IF(DataH!$A115="", "", DataH!$A115)</f>
        <v>Oppenheimer &amp; Co</v>
      </c>
      <c r="C42" s="765"/>
      <c r="D42" s="379">
        <f>IF(ISERROR(VLOOKUP($B42, DataH!$A$85:$D$155, 2, FALSE)), "", VLOOKUP($B42, DataH!$A$85:$D$155, 2, FALSE))</f>
        <v>42207</v>
      </c>
      <c r="E42" s="208">
        <f>IF(ISERROR(VLOOKUP($B42, DataH!$A$85:$D$155, 3, FALSE)), "", VLOOKUP($B42, DataH!$A$85:$D$155, 3, FALSE))</f>
        <v>9.82</v>
      </c>
      <c r="F42" s="208">
        <f>IF(ISERROR(VLOOKUP($B42, DataH!$A$85:$D$155, 4, FALSE)), "", VLOOKUP($B42, DataH!$A$85:$D$155, 4, FALSE))</f>
        <v>0.5</v>
      </c>
      <c r="G42" s="102">
        <f t="shared" si="0"/>
        <v>5.3648068669527982E-2</v>
      </c>
      <c r="H42" s="380"/>
      <c r="I42" s="322">
        <f>IF(ISERROR(VLOOKUP($B42, DataH!$E$85:$H$155, 2, FALSE)), "", VLOOKUP($B42, DataH!$E$85:$H$155, 2, FALSE))</f>
        <v>42207</v>
      </c>
      <c r="J42" s="208">
        <f>IF(ISERROR(VLOOKUP($B42, DataH!$E$85:$H$155, 3, FALSE)), "", VLOOKUP($B42, DataH!$E$85:$H$155, 3, FALSE))</f>
        <v>9.6999999999999993</v>
      </c>
      <c r="K42" s="208" t="str">
        <f>IF(ISERROR(VLOOKUP($B42, DataH!$E$85:$H$155, 4, FALSE)), "", VLOOKUP($B42, DataH!$E$85:$H$155, 4, FALSE))</f>
        <v>NA</v>
      </c>
      <c r="L42" s="102" t="str">
        <f t="shared" si="1"/>
        <v/>
      </c>
      <c r="M42" s="216"/>
      <c r="N42" s="322" t="str">
        <f>IF(ISERROR(VLOOKUP($B42, DataH!$I$85:$L$155, 2, FALSE)), "", VLOOKUP($B42, DataH!$I$85:$L$155, 2, FALSE))</f>
        <v/>
      </c>
      <c r="O42" s="126" t="str">
        <f>IF(ISERROR(VLOOKUP($B42, DataH!$I$85:$L$155, 3, FALSE)), "", VLOOKUP($B42, DataH!$I$85:$L$155, 3, FALSE))</f>
        <v/>
      </c>
      <c r="P42" s="126" t="str">
        <f>IF(ISERROR(VLOOKUP($B42, DataH!$I$85:$L$155, 4, FALSE)), "", VLOOKUP($B42, DataH!$I$85:$L$155, 4, FALSE))</f>
        <v/>
      </c>
      <c r="Q42" s="102" t="str">
        <f t="shared" si="2"/>
        <v/>
      </c>
    </row>
    <row r="43" spans="2:17" ht="15" customHeight="1">
      <c r="B43" s="862" t="str">
        <f>IF(DataH!$A116="", "", DataH!$A116)</f>
        <v>PERM DENIED</v>
      </c>
      <c r="C43" s="768"/>
      <c r="D43" s="378">
        <f>IF(ISERROR(VLOOKUP($B43, DataH!$A$85:$D$155, 2, FALSE)), "", VLOOKUP($B43, DataH!$A$85:$D$155, 2, FALSE))</f>
        <v>42223</v>
      </c>
      <c r="E43" s="205">
        <f>IF(ISERROR(VLOOKUP($B43, DataH!$A$85:$D$155, 3, FALSE)), "", VLOOKUP($B43, DataH!$A$85:$D$155, 3, FALSE))</f>
        <v>9.0399999999999991</v>
      </c>
      <c r="F43" s="205">
        <f>IF(ISERROR(VLOOKUP($B43, DataH!$A$85:$D$155, 4, FALSE)), "", VLOOKUP($B43, DataH!$A$85:$D$155, 4, FALSE))</f>
        <v>0</v>
      </c>
      <c r="G43" s="103">
        <f t="shared" si="0"/>
        <v>0</v>
      </c>
      <c r="H43" s="380"/>
      <c r="I43" s="318">
        <f>IF(ISERROR(VLOOKUP($B43, DataH!$E$85:$H$155, 2, FALSE)), "", VLOOKUP($B43, DataH!$E$85:$H$155, 2, FALSE))</f>
        <v>42223</v>
      </c>
      <c r="J43" s="205">
        <f>IF(ISERROR(VLOOKUP($B43, DataH!$E$85:$H$155, 3, FALSE)), "", VLOOKUP($B43, DataH!$E$85:$H$155, 3, FALSE))</f>
        <v>10.050000000000001</v>
      </c>
      <c r="K43" s="205">
        <f>IF(ISERROR(VLOOKUP($B43, DataH!$E$85:$H$155, 4, FALSE)), "", VLOOKUP($B43, DataH!$E$85:$H$155, 4, FALSE))</f>
        <v>0.02</v>
      </c>
      <c r="L43" s="103">
        <f t="shared" si="1"/>
        <v>1.9940179461614971E-3</v>
      </c>
      <c r="M43" s="216"/>
      <c r="N43" s="318">
        <f>IF(ISERROR(VLOOKUP($B43, DataH!$I$85:$L$155, 2, FALSE)), "", VLOOKUP($B43, DataH!$I$85:$L$155, 2, FALSE))</f>
        <v>42223</v>
      </c>
      <c r="O43" s="129">
        <f>IF(ISERROR(VLOOKUP($B43, DataH!$I$85:$L$155, 3, FALSE)), "", VLOOKUP($B43, DataH!$I$85:$L$155, 3, FALSE))</f>
        <v>10.28</v>
      </c>
      <c r="P43" s="129">
        <f>IF(ISERROR(VLOOKUP($B43, DataH!$I$85:$L$155, 4, FALSE)), "", VLOOKUP($B43, DataH!$I$85:$L$155, 4, FALSE))</f>
        <v>-0.95</v>
      </c>
      <c r="Q43" s="103">
        <f t="shared" si="2"/>
        <v>-8.4594835262689183E-2</v>
      </c>
    </row>
    <row r="44" spans="2:17" ht="15" customHeight="1">
      <c r="B44" s="910" t="str">
        <f>IF(DataH!$A117="", "", DataH!$A117)</f>
        <v>FBN Securities</v>
      </c>
      <c r="C44" s="765"/>
      <c r="D44" s="379">
        <f>IF(ISERROR(VLOOKUP($B44, DataH!$A$85:$D$155, 2, FALSE)), "", VLOOKUP($B44, DataH!$A$85:$D$155, 2, FALSE))</f>
        <v>42207</v>
      </c>
      <c r="E44" s="208">
        <f>IF(ISERROR(VLOOKUP($B44, DataH!$A$85:$D$155, 3, FALSE)), "", VLOOKUP($B44, DataH!$A$85:$D$155, 3, FALSE))</f>
        <v>9.17</v>
      </c>
      <c r="F44" s="208">
        <f>IF(ISERROR(VLOOKUP($B44, DataH!$A$85:$D$155, 4, FALSE)), "", VLOOKUP($B44, DataH!$A$85:$D$155, 4, FALSE))</f>
        <v>0</v>
      </c>
      <c r="G44" s="102">
        <f t="shared" si="0"/>
        <v>0</v>
      </c>
      <c r="H44" s="380"/>
      <c r="I44" s="322">
        <f>IF(ISERROR(VLOOKUP($B44, DataH!$E$85:$H$155, 2, FALSE)), "", VLOOKUP($B44, DataH!$E$85:$H$155, 2, FALSE))</f>
        <v>42207</v>
      </c>
      <c r="J44" s="208">
        <f>IF(ISERROR(VLOOKUP($B44, DataH!$E$85:$H$155, 3, FALSE)), "", VLOOKUP($B44, DataH!$E$85:$H$155, 3, FALSE))</f>
        <v>10.01</v>
      </c>
      <c r="K44" s="208">
        <f>IF(ISERROR(VLOOKUP($B44, DataH!$E$85:$H$155, 4, FALSE)), "", VLOOKUP($B44, DataH!$E$85:$H$155, 4, FALSE))</f>
        <v>0</v>
      </c>
      <c r="L44" s="102">
        <f t="shared" si="1"/>
        <v>0</v>
      </c>
      <c r="M44" s="216"/>
      <c r="N44" s="322">
        <f>IF(ISERROR(VLOOKUP($B44, DataH!$I$85:$L$155, 2, FALSE)), "", VLOOKUP($B44, DataH!$I$85:$L$155, 2, FALSE))</f>
        <v>42207</v>
      </c>
      <c r="O44" s="126">
        <f>IF(ISERROR(VLOOKUP($B44, DataH!$I$85:$L$155, 3, FALSE)), "", VLOOKUP($B44, DataH!$I$85:$L$155, 3, FALSE))</f>
        <v>11.01</v>
      </c>
      <c r="P44" s="126">
        <f>IF(ISERROR(VLOOKUP($B44, DataH!$I$85:$L$155, 4, FALSE)), "", VLOOKUP($B44, DataH!$I$85:$L$155, 4, FALSE))</f>
        <v>-0.1</v>
      </c>
      <c r="Q44" s="102">
        <f t="shared" si="2"/>
        <v>-9.0009000900089786E-3</v>
      </c>
    </row>
    <row r="45" spans="2:17" ht="15" customHeight="1">
      <c r="B45" s="862" t="str">
        <f>IF(DataH!$A118="", "", DataH!$A118)</f>
        <v>PERM DENIED</v>
      </c>
      <c r="C45" s="768"/>
      <c r="D45" s="378">
        <f>IF(ISERROR(VLOOKUP($B45, DataH!$A$85:$D$155, 2, FALSE)), "", VLOOKUP($B45, DataH!$A$85:$D$155, 2, FALSE))</f>
        <v>42223</v>
      </c>
      <c r="E45" s="205">
        <f>IF(ISERROR(VLOOKUP($B45, DataH!$A$85:$D$155, 3, FALSE)), "", VLOOKUP($B45, DataH!$A$85:$D$155, 3, FALSE))</f>
        <v>9.0399999999999991</v>
      </c>
      <c r="F45" s="205">
        <f>IF(ISERROR(VLOOKUP($B45, DataH!$A$85:$D$155, 4, FALSE)), "", VLOOKUP($B45, DataH!$A$85:$D$155, 4, FALSE))</f>
        <v>0</v>
      </c>
      <c r="G45" s="103">
        <f t="shared" si="0"/>
        <v>0</v>
      </c>
      <c r="H45" s="380"/>
      <c r="I45" s="318">
        <f>IF(ISERROR(VLOOKUP($B45, DataH!$E$85:$H$155, 2, FALSE)), "", VLOOKUP($B45, DataH!$E$85:$H$155, 2, FALSE))</f>
        <v>42223</v>
      </c>
      <c r="J45" s="205">
        <f>IF(ISERROR(VLOOKUP($B45, DataH!$E$85:$H$155, 3, FALSE)), "", VLOOKUP($B45, DataH!$E$85:$H$155, 3, FALSE))</f>
        <v>10.050000000000001</v>
      </c>
      <c r="K45" s="205">
        <f>IF(ISERROR(VLOOKUP($B45, DataH!$E$85:$H$155, 4, FALSE)), "", VLOOKUP($B45, DataH!$E$85:$H$155, 4, FALSE))</f>
        <v>0.02</v>
      </c>
      <c r="L45" s="103">
        <f t="shared" si="1"/>
        <v>1.9940179461614971E-3</v>
      </c>
      <c r="M45" s="216"/>
      <c r="N45" s="318">
        <f>IF(ISERROR(VLOOKUP($B45, DataH!$I$85:$L$155, 2, FALSE)), "", VLOOKUP($B45, DataH!$I$85:$L$155, 2, FALSE))</f>
        <v>42223</v>
      </c>
      <c r="O45" s="129">
        <f>IF(ISERROR(VLOOKUP($B45, DataH!$I$85:$L$155, 3, FALSE)), "", VLOOKUP($B45, DataH!$I$85:$L$155, 3, FALSE))</f>
        <v>10.28</v>
      </c>
      <c r="P45" s="129">
        <f>IF(ISERROR(VLOOKUP($B45, DataH!$I$85:$L$155, 4, FALSE)), "", VLOOKUP($B45, DataH!$I$85:$L$155, 4, FALSE))</f>
        <v>-0.95</v>
      </c>
      <c r="Q45" s="103">
        <f t="shared" si="2"/>
        <v>-8.4594835262689183E-2</v>
      </c>
    </row>
    <row r="46" spans="2:17" ht="15" customHeight="1">
      <c r="B46" s="910" t="str">
        <f>IF(DataH!$A119="", "", DataH!$A119)</f>
        <v>Susquehanna Financial Group</v>
      </c>
      <c r="C46" s="765"/>
      <c r="D46" s="379">
        <f>IF(ISERROR(VLOOKUP($B46, DataH!$A$85:$D$155, 2, FALSE)), "", VLOOKUP($B46, DataH!$A$85:$D$155, 2, FALSE))</f>
        <v>42207</v>
      </c>
      <c r="E46" s="208">
        <f>IF(ISERROR(VLOOKUP($B46, DataH!$A$85:$D$155, 3, FALSE)), "", VLOOKUP($B46, DataH!$A$85:$D$155, 3, FALSE))</f>
        <v>9.3800000000000008</v>
      </c>
      <c r="F46" s="208">
        <f>IF(ISERROR(VLOOKUP($B46, DataH!$A$85:$D$155, 4, FALSE)), "", VLOOKUP($B46, DataH!$A$85:$D$155, 4, FALSE))</f>
        <v>-0.04</v>
      </c>
      <c r="G46" s="102">
        <f t="shared" si="0"/>
        <v>-4.2462845010614592E-3</v>
      </c>
      <c r="H46" s="380"/>
      <c r="I46" s="322">
        <f>IF(ISERROR(VLOOKUP($B46, DataH!$E$85:$H$155, 2, FALSE)), "", VLOOKUP($B46, DataH!$E$85:$H$155, 2, FALSE))</f>
        <v>42207</v>
      </c>
      <c r="J46" s="208">
        <f>IF(ISERROR(VLOOKUP($B46, DataH!$E$85:$H$155, 3, FALSE)), "", VLOOKUP($B46, DataH!$E$85:$H$155, 3, FALSE))</f>
        <v>10.41</v>
      </c>
      <c r="K46" s="208">
        <f>IF(ISERROR(VLOOKUP($B46, DataH!$E$85:$H$155, 4, FALSE)), "", VLOOKUP($B46, DataH!$E$85:$H$155, 4, FALSE))</f>
        <v>-0.13</v>
      </c>
      <c r="L46" s="102">
        <f t="shared" si="1"/>
        <v>-1.2333965844402384E-2</v>
      </c>
      <c r="M46" s="216"/>
      <c r="N46" s="322" t="str">
        <f>IF(ISERROR(VLOOKUP($B46, DataH!$I$85:$L$155, 2, FALSE)), "", VLOOKUP($B46, DataH!$I$85:$L$155, 2, FALSE))</f>
        <v/>
      </c>
      <c r="O46" s="126" t="str">
        <f>IF(ISERROR(VLOOKUP($B46, DataH!$I$85:$L$155, 3, FALSE)), "", VLOOKUP($B46, DataH!$I$85:$L$155, 3, FALSE))</f>
        <v/>
      </c>
      <c r="P46" s="126" t="str">
        <f>IF(ISERROR(VLOOKUP($B46, DataH!$I$85:$L$155, 4, FALSE)), "", VLOOKUP($B46, DataH!$I$85:$L$155, 4, FALSE))</f>
        <v/>
      </c>
      <c r="Q46" s="102" t="str">
        <f t="shared" si="2"/>
        <v/>
      </c>
    </row>
    <row r="47" spans="2:17" ht="15" customHeight="1">
      <c r="B47" s="862" t="str">
        <f>IF(DataH!$A120="", "", DataH!$A120)</f>
        <v>PERM DENIED</v>
      </c>
      <c r="C47" s="768"/>
      <c r="D47" s="378">
        <f>IF(ISERROR(VLOOKUP($B47, DataH!$A$85:$D$155, 2, FALSE)), "", VLOOKUP($B47, DataH!$A$85:$D$155, 2, FALSE))</f>
        <v>42223</v>
      </c>
      <c r="E47" s="205">
        <f>IF(ISERROR(VLOOKUP($B47, DataH!$A$85:$D$155, 3, FALSE)), "", VLOOKUP($B47, DataH!$A$85:$D$155, 3, FALSE))</f>
        <v>9.0399999999999991</v>
      </c>
      <c r="F47" s="205">
        <f>IF(ISERROR(VLOOKUP($B47, DataH!$A$85:$D$155, 4, FALSE)), "", VLOOKUP($B47, DataH!$A$85:$D$155, 4, FALSE))</f>
        <v>0</v>
      </c>
      <c r="G47" s="103">
        <f t="shared" si="0"/>
        <v>0</v>
      </c>
      <c r="H47" s="380"/>
      <c r="I47" s="318">
        <f>IF(ISERROR(VLOOKUP($B47, DataH!$E$85:$H$155, 2, FALSE)), "", VLOOKUP($B47, DataH!$E$85:$H$155, 2, FALSE))</f>
        <v>42223</v>
      </c>
      <c r="J47" s="205">
        <f>IF(ISERROR(VLOOKUP($B47, DataH!$E$85:$H$155, 3, FALSE)), "", VLOOKUP($B47, DataH!$E$85:$H$155, 3, FALSE))</f>
        <v>10.050000000000001</v>
      </c>
      <c r="K47" s="205">
        <f>IF(ISERROR(VLOOKUP($B47, DataH!$E$85:$H$155, 4, FALSE)), "", VLOOKUP($B47, DataH!$E$85:$H$155, 4, FALSE))</f>
        <v>0.02</v>
      </c>
      <c r="L47" s="103">
        <f t="shared" si="1"/>
        <v>1.9940179461614971E-3</v>
      </c>
      <c r="M47" s="216"/>
      <c r="N47" s="318">
        <f>IF(ISERROR(VLOOKUP($B47, DataH!$I$85:$L$155, 2, FALSE)), "", VLOOKUP($B47, DataH!$I$85:$L$155, 2, FALSE))</f>
        <v>42223</v>
      </c>
      <c r="O47" s="129">
        <f>IF(ISERROR(VLOOKUP($B47, DataH!$I$85:$L$155, 3, FALSE)), "", VLOOKUP($B47, DataH!$I$85:$L$155, 3, FALSE))</f>
        <v>10.28</v>
      </c>
      <c r="P47" s="129">
        <f>IF(ISERROR(VLOOKUP($B47, DataH!$I$85:$L$155, 4, FALSE)), "", VLOOKUP($B47, DataH!$I$85:$L$155, 4, FALSE))</f>
        <v>-0.95</v>
      </c>
      <c r="Q47" s="103">
        <f t="shared" si="2"/>
        <v>-8.4594835262689183E-2</v>
      </c>
    </row>
    <row r="48" spans="2:17" ht="15" customHeight="1">
      <c r="B48" s="910" t="str">
        <f>IF(DataH!$A121="", "", DataH!$A121)</f>
        <v>PERM DENIED</v>
      </c>
      <c r="C48" s="765"/>
      <c r="D48" s="379">
        <f>IF(ISERROR(VLOOKUP($B48, DataH!$A$85:$D$155, 2, FALSE)), "", VLOOKUP($B48, DataH!$A$85:$D$155, 2, FALSE))</f>
        <v>42223</v>
      </c>
      <c r="E48" s="208">
        <f>IF(ISERROR(VLOOKUP($B48, DataH!$A$85:$D$155, 3, FALSE)), "", VLOOKUP($B48, DataH!$A$85:$D$155, 3, FALSE))</f>
        <v>9.0399999999999991</v>
      </c>
      <c r="F48" s="208">
        <f>IF(ISERROR(VLOOKUP($B48, DataH!$A$85:$D$155, 4, FALSE)), "", VLOOKUP($B48, DataH!$A$85:$D$155, 4, FALSE))</f>
        <v>0</v>
      </c>
      <c r="G48" s="102">
        <f t="shared" si="0"/>
        <v>0</v>
      </c>
      <c r="H48" s="380"/>
      <c r="I48" s="322">
        <f>IF(ISERROR(VLOOKUP($B48, DataH!$E$85:$H$155, 2, FALSE)), "", VLOOKUP($B48, DataH!$E$85:$H$155, 2, FALSE))</f>
        <v>42223</v>
      </c>
      <c r="J48" s="208">
        <f>IF(ISERROR(VLOOKUP($B48, DataH!$E$85:$H$155, 3, FALSE)), "", VLOOKUP($B48, DataH!$E$85:$H$155, 3, FALSE))</f>
        <v>10.050000000000001</v>
      </c>
      <c r="K48" s="208">
        <f>IF(ISERROR(VLOOKUP($B48, DataH!$E$85:$H$155, 4, FALSE)), "", VLOOKUP($B48, DataH!$E$85:$H$155, 4, FALSE))</f>
        <v>0.02</v>
      </c>
      <c r="L48" s="102">
        <f t="shared" si="1"/>
        <v>1.9940179461614971E-3</v>
      </c>
      <c r="M48" s="216"/>
      <c r="N48" s="322">
        <f>IF(ISERROR(VLOOKUP($B48, DataH!$I$85:$L$155, 2, FALSE)), "", VLOOKUP($B48, DataH!$I$85:$L$155, 2, FALSE))</f>
        <v>42223</v>
      </c>
      <c r="O48" s="126">
        <f>IF(ISERROR(VLOOKUP($B48, DataH!$I$85:$L$155, 3, FALSE)), "", VLOOKUP($B48, DataH!$I$85:$L$155, 3, FALSE))</f>
        <v>10.28</v>
      </c>
      <c r="P48" s="126">
        <f>IF(ISERROR(VLOOKUP($B48, DataH!$I$85:$L$155, 4, FALSE)), "", VLOOKUP($B48, DataH!$I$85:$L$155, 4, FALSE))</f>
        <v>-0.95</v>
      </c>
      <c r="Q48" s="102">
        <f t="shared" si="2"/>
        <v>-8.4594835262689183E-2</v>
      </c>
    </row>
    <row r="49" spans="2:17" ht="15" customHeight="1">
      <c r="B49" s="862" t="str">
        <f>IF(DataH!$A122="", "", DataH!$A122)</f>
        <v>PERM DENIED</v>
      </c>
      <c r="C49" s="768"/>
      <c r="D49" s="378">
        <f>IF(ISERROR(VLOOKUP($B49, DataH!$A$85:$D$155, 2, FALSE)), "", VLOOKUP($B49, DataH!$A$85:$D$155, 2, FALSE))</f>
        <v>42223</v>
      </c>
      <c r="E49" s="205">
        <f>IF(ISERROR(VLOOKUP($B49, DataH!$A$85:$D$155, 3, FALSE)), "", VLOOKUP($B49, DataH!$A$85:$D$155, 3, FALSE))</f>
        <v>9.0399999999999991</v>
      </c>
      <c r="F49" s="205">
        <f>IF(ISERROR(VLOOKUP($B49, DataH!$A$85:$D$155, 4, FALSE)), "", VLOOKUP($B49, DataH!$A$85:$D$155, 4, FALSE))</f>
        <v>0</v>
      </c>
      <c r="G49" s="103">
        <f t="shared" si="0"/>
        <v>0</v>
      </c>
      <c r="H49" s="380"/>
      <c r="I49" s="318">
        <f>IF(ISERROR(VLOOKUP($B49, DataH!$E$85:$H$155, 2, FALSE)), "", VLOOKUP($B49, DataH!$E$85:$H$155, 2, FALSE))</f>
        <v>42223</v>
      </c>
      <c r="J49" s="205">
        <f>IF(ISERROR(VLOOKUP($B49, DataH!$E$85:$H$155, 3, FALSE)), "", VLOOKUP($B49, DataH!$E$85:$H$155, 3, FALSE))</f>
        <v>10.050000000000001</v>
      </c>
      <c r="K49" s="205">
        <f>IF(ISERROR(VLOOKUP($B49, DataH!$E$85:$H$155, 4, FALSE)), "", VLOOKUP($B49, DataH!$E$85:$H$155, 4, FALSE))</f>
        <v>0.02</v>
      </c>
      <c r="L49" s="103">
        <f t="shared" si="1"/>
        <v>1.9940179461614971E-3</v>
      </c>
      <c r="M49" s="216"/>
      <c r="N49" s="318">
        <f>IF(ISERROR(VLOOKUP($B49, DataH!$I$85:$L$155, 2, FALSE)), "", VLOOKUP($B49, DataH!$I$85:$L$155, 2, FALSE))</f>
        <v>42223</v>
      </c>
      <c r="O49" s="129">
        <f>IF(ISERROR(VLOOKUP($B49, DataH!$I$85:$L$155, 3, FALSE)), "", VLOOKUP($B49, DataH!$I$85:$L$155, 3, FALSE))</f>
        <v>10.28</v>
      </c>
      <c r="P49" s="129">
        <f>IF(ISERROR(VLOOKUP($B49, DataH!$I$85:$L$155, 4, FALSE)), "", VLOOKUP($B49, DataH!$I$85:$L$155, 4, FALSE))</f>
        <v>-0.95</v>
      </c>
      <c r="Q49" s="103">
        <f t="shared" si="2"/>
        <v>-8.4594835262689183E-2</v>
      </c>
    </row>
    <row r="50" spans="2:17" ht="15" customHeight="1">
      <c r="B50" s="910" t="str">
        <f>IF(DataH!$A123="", "", DataH!$A123)</f>
        <v>Stifel</v>
      </c>
      <c r="C50" s="765"/>
      <c r="D50" s="379">
        <f>IF(ISERROR(VLOOKUP($B50, DataH!$A$85:$D$155, 2, FALSE)), "", VLOOKUP($B50, DataH!$A$85:$D$155, 2, FALSE))</f>
        <v>42207</v>
      </c>
      <c r="E50" s="208">
        <f>IF(ISERROR(VLOOKUP($B50, DataH!$A$85:$D$155, 3, FALSE)), "", VLOOKUP($B50, DataH!$A$85:$D$155, 3, FALSE))</f>
        <v>9.0500000000000007</v>
      </c>
      <c r="F50" s="208">
        <f>IF(ISERROR(VLOOKUP($B50, DataH!$A$85:$D$155, 4, FALSE)), "", VLOOKUP($B50, DataH!$A$85:$D$155, 4, FALSE))</f>
        <v>-0.11</v>
      </c>
      <c r="G50" s="102">
        <f t="shared" si="0"/>
        <v>-1.2008733624454093E-2</v>
      </c>
      <c r="H50" s="380"/>
      <c r="I50" s="322">
        <f>IF(ISERROR(VLOOKUP($B50, DataH!$E$85:$H$155, 2, FALSE)), "", VLOOKUP($B50, DataH!$E$85:$H$155, 2, FALSE))</f>
        <v>42207</v>
      </c>
      <c r="J50" s="208">
        <f>IF(ISERROR(VLOOKUP($B50, DataH!$E$85:$H$155, 3, FALSE)), "", VLOOKUP($B50, DataH!$E$85:$H$155, 3, FALSE))</f>
        <v>9.44</v>
      </c>
      <c r="K50" s="208">
        <f>IF(ISERROR(VLOOKUP($B50, DataH!$E$85:$H$155, 4, FALSE)), "", VLOOKUP($B50, DataH!$E$85:$H$155, 4, FALSE))</f>
        <v>-0.04</v>
      </c>
      <c r="L50" s="102">
        <f t="shared" si="1"/>
        <v>-4.2194092827003704E-3</v>
      </c>
      <c r="M50" s="216"/>
      <c r="N50" s="322">
        <f>IF(ISERROR(VLOOKUP($B50, DataH!$I$85:$L$155, 2, FALSE)), "", VLOOKUP($B50, DataH!$I$85:$L$155, 2, FALSE))</f>
        <v>42204</v>
      </c>
      <c r="O50" s="126">
        <f>IF(ISERROR(VLOOKUP($B50, DataH!$I$85:$L$155, 3, FALSE)), "", VLOOKUP($B50, DataH!$I$85:$L$155, 3, FALSE))</f>
        <v>11.19</v>
      </c>
      <c r="P50" s="126">
        <f>IF(ISERROR(VLOOKUP($B50, DataH!$I$85:$L$155, 4, FALSE)), "", VLOOKUP($B50, DataH!$I$85:$L$155, 4, FALSE))</f>
        <v>0.18</v>
      </c>
      <c r="Q50" s="102">
        <f t="shared" si="2"/>
        <v>1.6348773841961872E-2</v>
      </c>
    </row>
    <row r="51" spans="2:17" ht="15" customHeight="1">
      <c r="B51" s="862" t="str">
        <f>IF(DataH!$A124="", "", DataH!$A124)</f>
        <v>Mizuho Securities USA Inc</v>
      </c>
      <c r="C51" s="768"/>
      <c r="D51" s="378">
        <f>IF(ISERROR(VLOOKUP($B51, DataH!$A$85:$D$155, 2, FALSE)), "", VLOOKUP($B51, DataH!$A$85:$D$155, 2, FALSE))</f>
        <v>42206</v>
      </c>
      <c r="E51" s="205">
        <f>IF(ISERROR(VLOOKUP($B51, DataH!$A$85:$D$155, 3, FALSE)), "", VLOOKUP($B51, DataH!$A$85:$D$155, 3, FALSE))</f>
        <v>9.14</v>
      </c>
      <c r="F51" s="205">
        <f>IF(ISERROR(VLOOKUP($B51, DataH!$A$85:$D$155, 4, FALSE)), "", VLOOKUP($B51, DataH!$A$85:$D$155, 4, FALSE))</f>
        <v>-0.18</v>
      </c>
      <c r="G51" s="103">
        <f t="shared" si="0"/>
        <v>-1.9313304721029989E-2</v>
      </c>
      <c r="H51" s="380"/>
      <c r="I51" s="318">
        <f>IF(ISERROR(VLOOKUP($B51, DataH!$E$85:$H$155, 2, FALSE)), "", VLOOKUP($B51, DataH!$E$85:$H$155, 2, FALSE))</f>
        <v>42206</v>
      </c>
      <c r="J51" s="205">
        <f>IF(ISERROR(VLOOKUP($B51, DataH!$E$85:$H$155, 3, FALSE)), "", VLOOKUP($B51, DataH!$E$85:$H$155, 3, FALSE))</f>
        <v>10.29</v>
      </c>
      <c r="K51" s="205">
        <f>IF(ISERROR(VLOOKUP($B51, DataH!$E$85:$H$155, 4, FALSE)), "", VLOOKUP($B51, DataH!$E$85:$H$155, 4, FALSE))</f>
        <v>-0.37</v>
      </c>
      <c r="L51" s="103">
        <f t="shared" si="1"/>
        <v>-3.4709193245778591E-2</v>
      </c>
      <c r="M51" s="216"/>
      <c r="N51" s="318" t="str">
        <f>IF(ISERROR(VLOOKUP($B51, DataH!$I$85:$L$155, 2, FALSE)), "", VLOOKUP($B51, DataH!$I$85:$L$155, 2, FALSE))</f>
        <v/>
      </c>
      <c r="O51" s="129" t="str">
        <f>IF(ISERROR(VLOOKUP($B51, DataH!$I$85:$L$155, 3, FALSE)), "", VLOOKUP($B51, DataH!$I$85:$L$155, 3, FALSE))</f>
        <v/>
      </c>
      <c r="P51" s="129" t="str">
        <f>IF(ISERROR(VLOOKUP($B51, DataH!$I$85:$L$155, 4, FALSE)), "", VLOOKUP($B51, DataH!$I$85:$L$155, 4, FALSE))</f>
        <v/>
      </c>
      <c r="Q51" s="103" t="str">
        <f t="shared" si="2"/>
        <v/>
      </c>
    </row>
    <row r="52" spans="2:17" ht="15" customHeight="1">
      <c r="B52" s="910" t="str">
        <f>IF(DataH!$A125="", "", DataH!$A125)</f>
        <v>Canaccord Genuity</v>
      </c>
      <c r="C52" s="765"/>
      <c r="D52" s="379">
        <f>IF(ISERROR(VLOOKUP($B52, DataH!$A$85:$D$155, 2, FALSE)), "", VLOOKUP($B52, DataH!$A$85:$D$155, 2, FALSE))</f>
        <v>42206</v>
      </c>
      <c r="E52" s="208">
        <f>IF(ISERROR(VLOOKUP($B52, DataH!$A$85:$D$155, 3, FALSE)), "", VLOOKUP($B52, DataH!$A$85:$D$155, 3, FALSE))</f>
        <v>9.15</v>
      </c>
      <c r="F52" s="208">
        <f>IF(ISERROR(VLOOKUP($B52, DataH!$A$85:$D$155, 4, FALSE)), "", VLOOKUP($B52, DataH!$A$85:$D$155, 4, FALSE))</f>
        <v>0.11</v>
      </c>
      <c r="G52" s="102">
        <f t="shared" si="0"/>
        <v>1.2168141592920234E-2</v>
      </c>
      <c r="H52" s="380"/>
      <c r="I52" s="322">
        <f>IF(ISERROR(VLOOKUP($B52, DataH!$E$85:$H$155, 2, FALSE)), "", VLOOKUP($B52, DataH!$E$85:$H$155, 2, FALSE))</f>
        <v>42206</v>
      </c>
      <c r="J52" s="208">
        <f>IF(ISERROR(VLOOKUP($B52, DataH!$E$85:$H$155, 3, FALSE)), "", VLOOKUP($B52, DataH!$E$85:$H$155, 3, FALSE))</f>
        <v>10.050000000000001</v>
      </c>
      <c r="K52" s="208">
        <f>IF(ISERROR(VLOOKUP($B52, DataH!$E$85:$H$155, 4, FALSE)), "", VLOOKUP($B52, DataH!$E$85:$H$155, 4, FALSE))</f>
        <v>0.23</v>
      </c>
      <c r="L52" s="102">
        <f t="shared" si="1"/>
        <v>2.3421588594704668E-2</v>
      </c>
      <c r="M52" s="216"/>
      <c r="N52" s="322" t="str">
        <f>IF(ISERROR(VLOOKUP($B52, DataH!$I$85:$L$155, 2, FALSE)), "", VLOOKUP($B52, DataH!$I$85:$L$155, 2, FALSE))</f>
        <v/>
      </c>
      <c r="O52" s="126" t="str">
        <f>IF(ISERROR(VLOOKUP($B52, DataH!$I$85:$L$155, 3, FALSE)), "", VLOOKUP($B52, DataH!$I$85:$L$155, 3, FALSE))</f>
        <v/>
      </c>
      <c r="P52" s="126" t="str">
        <f>IF(ISERROR(VLOOKUP($B52, DataH!$I$85:$L$155, 4, FALSE)), "", VLOOKUP($B52, DataH!$I$85:$L$155, 4, FALSE))</f>
        <v/>
      </c>
      <c r="Q52" s="102" t="str">
        <f t="shared" si="2"/>
        <v/>
      </c>
    </row>
    <row r="53" spans="2:17" ht="15" customHeight="1">
      <c r="B53" s="862" t="str">
        <f>IF(DataH!$A126="", "", DataH!$A126)</f>
        <v>William Blair &amp; Co</v>
      </c>
      <c r="C53" s="768"/>
      <c r="D53" s="378">
        <f>IF(ISERROR(VLOOKUP($B53, DataH!$A$85:$D$155, 2, FALSE)), "", VLOOKUP($B53, DataH!$A$85:$D$155, 2, FALSE))</f>
        <v>42206</v>
      </c>
      <c r="E53" s="205">
        <f>IF(ISERROR(VLOOKUP($B53, DataH!$A$85:$D$155, 3, FALSE)), "", VLOOKUP($B53, DataH!$A$85:$D$155, 3, FALSE))</f>
        <v>9.0399999999999991</v>
      </c>
      <c r="F53" s="205">
        <f>IF(ISERROR(VLOOKUP($B53, DataH!$A$85:$D$155, 4, FALSE)), "", VLOOKUP($B53, DataH!$A$85:$D$155, 4, FALSE))</f>
        <v>-0.04</v>
      </c>
      <c r="G53" s="103">
        <f t="shared" si="0"/>
        <v>-4.405286343612258E-3</v>
      </c>
      <c r="H53" s="380"/>
      <c r="I53" s="318">
        <f>IF(ISERROR(VLOOKUP($B53, DataH!$E$85:$H$155, 2, FALSE)), "", VLOOKUP($B53, DataH!$E$85:$H$155, 2, FALSE))</f>
        <v>42206</v>
      </c>
      <c r="J53" s="205">
        <f>IF(ISERROR(VLOOKUP($B53, DataH!$E$85:$H$155, 3, FALSE)), "", VLOOKUP($B53, DataH!$E$85:$H$155, 3, FALSE))</f>
        <v>10</v>
      </c>
      <c r="K53" s="205">
        <f>IF(ISERROR(VLOOKUP($B53, DataH!$E$85:$H$155, 4, FALSE)), "", VLOOKUP($B53, DataH!$E$85:$H$155, 4, FALSE))</f>
        <v>0</v>
      </c>
      <c r="L53" s="103">
        <f t="shared" si="1"/>
        <v>0</v>
      </c>
      <c r="M53" s="216"/>
      <c r="N53" s="318" t="str">
        <f>IF(ISERROR(VLOOKUP($B53, DataH!$I$85:$L$155, 2, FALSE)), "", VLOOKUP($B53, DataH!$I$85:$L$155, 2, FALSE))</f>
        <v/>
      </c>
      <c r="O53" s="129" t="str">
        <f>IF(ISERROR(VLOOKUP($B53, DataH!$I$85:$L$155, 3, FALSE)), "", VLOOKUP($B53, DataH!$I$85:$L$155, 3, FALSE))</f>
        <v/>
      </c>
      <c r="P53" s="129" t="str">
        <f>IF(ISERROR(VLOOKUP($B53, DataH!$I$85:$L$155, 4, FALSE)), "", VLOOKUP($B53, DataH!$I$85:$L$155, 4, FALSE))</f>
        <v/>
      </c>
      <c r="Q53" s="103" t="str">
        <f t="shared" si="2"/>
        <v/>
      </c>
    </row>
    <row r="54" spans="2:17" ht="15" customHeight="1">
      <c r="B54" s="910" t="str">
        <f>IF(DataH!$A127="", "", DataH!$A127)</f>
        <v>BTIG LLC</v>
      </c>
      <c r="C54" s="765"/>
      <c r="D54" s="379">
        <f>IF(ISERROR(VLOOKUP($B54, DataH!$A$85:$D$155, 2, FALSE)), "", VLOOKUP($B54, DataH!$A$85:$D$155, 2, FALSE))</f>
        <v>42206</v>
      </c>
      <c r="E54" s="208">
        <f>IF(ISERROR(VLOOKUP($B54, DataH!$A$85:$D$155, 3, FALSE)), "", VLOOKUP($B54, DataH!$A$85:$D$155, 3, FALSE))</f>
        <v>9.1</v>
      </c>
      <c r="F54" s="208">
        <f>IF(ISERROR(VLOOKUP($B54, DataH!$A$85:$D$155, 4, FALSE)), "", VLOOKUP($B54, DataH!$A$85:$D$155, 4, FALSE))</f>
        <v>0</v>
      </c>
      <c r="G54" s="102">
        <f t="shared" si="0"/>
        <v>0</v>
      </c>
      <c r="H54" s="380"/>
      <c r="I54" s="322">
        <f>IF(ISERROR(VLOOKUP($B54, DataH!$E$85:$H$155, 2, FALSE)), "", VLOOKUP($B54, DataH!$E$85:$H$155, 2, FALSE))</f>
        <v>42206</v>
      </c>
      <c r="J54" s="208">
        <f>IF(ISERROR(VLOOKUP($B54, DataH!$E$85:$H$155, 3, FALSE)), "", VLOOKUP($B54, DataH!$E$85:$H$155, 3, FALSE))</f>
        <v>9.6999999999999993</v>
      </c>
      <c r="K54" s="208">
        <f>IF(ISERROR(VLOOKUP($B54, DataH!$E$85:$H$155, 4, FALSE)), "", VLOOKUP($B54, DataH!$E$85:$H$155, 4, FALSE))</f>
        <v>0</v>
      </c>
      <c r="L54" s="102">
        <f t="shared" si="1"/>
        <v>0</v>
      </c>
      <c r="M54" s="216"/>
      <c r="N54" s="322" t="str">
        <f>IF(ISERROR(VLOOKUP($B54, DataH!$I$85:$L$155, 2, FALSE)), "", VLOOKUP($B54, DataH!$I$85:$L$155, 2, FALSE))</f>
        <v/>
      </c>
      <c r="O54" s="126" t="str">
        <f>IF(ISERROR(VLOOKUP($B54, DataH!$I$85:$L$155, 3, FALSE)), "", VLOOKUP($B54, DataH!$I$85:$L$155, 3, FALSE))</f>
        <v/>
      </c>
      <c r="P54" s="126" t="str">
        <f>IF(ISERROR(VLOOKUP($B54, DataH!$I$85:$L$155, 4, FALSE)), "", VLOOKUP($B54, DataH!$I$85:$L$155, 4, FALSE))</f>
        <v/>
      </c>
      <c r="Q54" s="102" t="str">
        <f t="shared" si="2"/>
        <v/>
      </c>
    </row>
    <row r="55" spans="2:17" ht="15" customHeight="1">
      <c r="B55" s="862" t="str">
        <f>IF(DataH!$A128="", "", DataH!$A128)</f>
        <v>Pacific Crest Securities</v>
      </c>
      <c r="C55" s="768"/>
      <c r="D55" s="378">
        <f>IF(ISERROR(VLOOKUP($B55, DataH!$A$85:$D$155, 2, FALSE)), "", VLOOKUP($B55, DataH!$A$85:$D$155, 2, FALSE))</f>
        <v>42206</v>
      </c>
      <c r="E55" s="205">
        <f>IF(ISERROR(VLOOKUP($B55, DataH!$A$85:$D$155, 3, FALSE)), "", VLOOKUP($B55, DataH!$A$85:$D$155, 3, FALSE))</f>
        <v>9.08</v>
      </c>
      <c r="F55" s="205">
        <f>IF(ISERROR(VLOOKUP($B55, DataH!$A$85:$D$155, 4, FALSE)), "", VLOOKUP($B55, DataH!$A$85:$D$155, 4, FALSE))</f>
        <v>0.2</v>
      </c>
      <c r="G55" s="103">
        <f t="shared" si="0"/>
        <v>2.2522522522522515E-2</v>
      </c>
      <c r="H55" s="380"/>
      <c r="I55" s="318">
        <f>IF(ISERROR(VLOOKUP($B55, DataH!$E$85:$H$155, 2, FALSE)), "", VLOOKUP($B55, DataH!$E$85:$H$155, 2, FALSE))</f>
        <v>42206</v>
      </c>
      <c r="J55" s="205">
        <f>IF(ISERROR(VLOOKUP($B55, DataH!$E$85:$H$155, 3, FALSE)), "", VLOOKUP($B55, DataH!$E$85:$H$155, 3, FALSE))</f>
        <v>9.25</v>
      </c>
      <c r="K55" s="205">
        <f>IF(ISERROR(VLOOKUP($B55, DataH!$E$85:$H$155, 4, FALSE)), "", VLOOKUP($B55, DataH!$E$85:$H$155, 4, FALSE))</f>
        <v>0.09</v>
      </c>
      <c r="L55" s="103">
        <f t="shared" si="1"/>
        <v>9.8253275109170257E-3</v>
      </c>
      <c r="M55" s="216"/>
      <c r="N55" s="318" t="str">
        <f>IF(ISERROR(VLOOKUP($B55, DataH!$I$85:$L$155, 2, FALSE)), "", VLOOKUP($B55, DataH!$I$85:$L$155, 2, FALSE))</f>
        <v/>
      </c>
      <c r="O55" s="129" t="str">
        <f>IF(ISERROR(VLOOKUP($B55, DataH!$I$85:$L$155, 3, FALSE)), "", VLOOKUP($B55, DataH!$I$85:$L$155, 3, FALSE))</f>
        <v/>
      </c>
      <c r="P55" s="129" t="str">
        <f>IF(ISERROR(VLOOKUP($B55, DataH!$I$85:$L$155, 4, FALSE)), "", VLOOKUP($B55, DataH!$I$85:$L$155, 4, FALSE))</f>
        <v/>
      </c>
      <c r="Q55" s="103" t="str">
        <f t="shared" si="2"/>
        <v/>
      </c>
    </row>
    <row r="56" spans="2:17" ht="15" customHeight="1">
      <c r="B56" s="910" t="str">
        <f>IF(DataH!$A129="", "", DataH!$A129)</f>
        <v>PERM DENIED</v>
      </c>
      <c r="C56" s="765"/>
      <c r="D56" s="379">
        <f>IF(ISERROR(VLOOKUP($B56, DataH!$A$85:$D$155, 2, FALSE)), "", VLOOKUP($B56, DataH!$A$85:$D$155, 2, FALSE))</f>
        <v>42223</v>
      </c>
      <c r="E56" s="208">
        <f>IF(ISERROR(VLOOKUP($B56, DataH!$A$85:$D$155, 3, FALSE)), "", VLOOKUP($B56, DataH!$A$85:$D$155, 3, FALSE))</f>
        <v>9.0399999999999991</v>
      </c>
      <c r="F56" s="208">
        <f>IF(ISERROR(VLOOKUP($B56, DataH!$A$85:$D$155, 4, FALSE)), "", VLOOKUP($B56, DataH!$A$85:$D$155, 4, FALSE))</f>
        <v>0</v>
      </c>
      <c r="G56" s="102">
        <f t="shared" si="0"/>
        <v>0</v>
      </c>
      <c r="H56" s="380"/>
      <c r="I56" s="322">
        <f>IF(ISERROR(VLOOKUP($B56, DataH!$E$85:$H$155, 2, FALSE)), "", VLOOKUP($B56, DataH!$E$85:$H$155, 2, FALSE))</f>
        <v>42223</v>
      </c>
      <c r="J56" s="208">
        <f>IF(ISERROR(VLOOKUP($B56, DataH!$E$85:$H$155, 3, FALSE)), "", VLOOKUP($B56, DataH!$E$85:$H$155, 3, FALSE))</f>
        <v>10.050000000000001</v>
      </c>
      <c r="K56" s="208">
        <f>IF(ISERROR(VLOOKUP($B56, DataH!$E$85:$H$155, 4, FALSE)), "", VLOOKUP($B56, DataH!$E$85:$H$155, 4, FALSE))</f>
        <v>0.02</v>
      </c>
      <c r="L56" s="102">
        <f t="shared" si="1"/>
        <v>1.9940179461614971E-3</v>
      </c>
      <c r="M56" s="216"/>
      <c r="N56" s="322">
        <f>IF(ISERROR(VLOOKUP($B56, DataH!$I$85:$L$155, 2, FALSE)), "", VLOOKUP($B56, DataH!$I$85:$L$155, 2, FALSE))</f>
        <v>42223</v>
      </c>
      <c r="O56" s="126">
        <f>IF(ISERROR(VLOOKUP($B56, DataH!$I$85:$L$155, 3, FALSE)), "", VLOOKUP($B56, DataH!$I$85:$L$155, 3, FALSE))</f>
        <v>10.28</v>
      </c>
      <c r="P56" s="126">
        <f>IF(ISERROR(VLOOKUP($B56, DataH!$I$85:$L$155, 4, FALSE)), "", VLOOKUP($B56, DataH!$I$85:$L$155, 4, FALSE))</f>
        <v>-0.95</v>
      </c>
      <c r="Q56" s="102">
        <f t="shared" si="2"/>
        <v>-8.4594835262689183E-2</v>
      </c>
    </row>
    <row r="57" spans="2:17" ht="15" customHeight="1">
      <c r="B57" s="862" t="str">
        <f>IF(DataH!$A130="", "", DataH!$A130)</f>
        <v>Brean Capital LLC</v>
      </c>
      <c r="C57" s="768"/>
      <c r="D57" s="378">
        <f>IF(ISERROR(VLOOKUP($B57, DataH!$A$85:$D$155, 2, FALSE)), "", VLOOKUP($B57, DataH!$A$85:$D$155, 2, FALSE))</f>
        <v>42192</v>
      </c>
      <c r="E57" s="205">
        <f>IF(ISERROR(VLOOKUP($B57, DataH!$A$85:$D$155, 3, FALSE)), "", VLOOKUP($B57, DataH!$A$85:$D$155, 3, FALSE))</f>
        <v>9.15</v>
      </c>
      <c r="F57" s="205">
        <f>IF(ISERROR(VLOOKUP($B57, DataH!$A$85:$D$155, 4, FALSE)), "", VLOOKUP($B57, DataH!$A$85:$D$155, 4, FALSE))</f>
        <v>0.15</v>
      </c>
      <c r="G57" s="103">
        <f t="shared" si="0"/>
        <v>1.6666666666666607E-2</v>
      </c>
      <c r="H57" s="380"/>
      <c r="I57" s="318">
        <f>IF(ISERROR(VLOOKUP($B57, DataH!$E$85:$H$155, 2, FALSE)), "", VLOOKUP($B57, DataH!$E$85:$H$155, 2, FALSE))</f>
        <v>42207</v>
      </c>
      <c r="J57" s="205">
        <f>IF(ISERROR(VLOOKUP($B57, DataH!$E$85:$H$155, 3, FALSE)), "", VLOOKUP($B57, DataH!$E$85:$H$155, 3, FALSE))</f>
        <v>8.4600000000000009</v>
      </c>
      <c r="K57" s="205">
        <f>IF(ISERROR(VLOOKUP($B57, DataH!$E$85:$H$155, 4, FALSE)), "", VLOOKUP($B57, DataH!$E$85:$H$155, 4, FALSE))</f>
        <v>0.53</v>
      </c>
      <c r="L57" s="103">
        <f t="shared" si="1"/>
        <v>6.6834804539722681E-2</v>
      </c>
      <c r="M57" s="216"/>
      <c r="N57" s="318">
        <f>IF(ISERROR(VLOOKUP($B57, DataH!$I$85:$L$155, 2, FALSE)), "", VLOOKUP($B57, DataH!$I$85:$L$155, 2, FALSE))</f>
        <v>42207</v>
      </c>
      <c r="O57" s="129">
        <f>IF(ISERROR(VLOOKUP($B57, DataH!$I$85:$L$155, 3, FALSE)), "", VLOOKUP($B57, DataH!$I$85:$L$155, 3, FALSE))</f>
        <v>11</v>
      </c>
      <c r="P57" s="129" t="str">
        <f>IF(ISERROR(VLOOKUP($B57, DataH!$I$85:$L$155, 4, FALSE)), "", VLOOKUP($B57, DataH!$I$85:$L$155, 4, FALSE))</f>
        <v>NA</v>
      </c>
      <c r="Q57" s="103" t="str">
        <f t="shared" si="2"/>
        <v/>
      </c>
    </row>
    <row r="58" spans="2:17" ht="15" customHeight="1">
      <c r="B58" s="910" t="str">
        <f>IF(DataH!$A131="", "", DataH!$A131)</f>
        <v>Erste Group</v>
      </c>
      <c r="C58" s="765"/>
      <c r="D58" s="379">
        <f>IF(ISERROR(VLOOKUP($B58, DataH!$A$85:$D$155, 2, FALSE)), "", VLOOKUP($B58, DataH!$A$85:$D$155, 2, FALSE))</f>
        <v>42172</v>
      </c>
      <c r="E58" s="208">
        <f>IF(ISERROR(VLOOKUP($B58, DataH!$A$85:$D$155, 3, FALSE)), "", VLOOKUP($B58, DataH!$A$85:$D$155, 3, FALSE))</f>
        <v>9.1999999999999993</v>
      </c>
      <c r="F58" s="208">
        <f>IF(ISERROR(VLOOKUP($B58, DataH!$A$85:$D$155, 4, FALSE)), "", VLOOKUP($B58, DataH!$A$85:$D$155, 4, FALSE))</f>
        <v>0.22</v>
      </c>
      <c r="G58" s="102">
        <f t="shared" si="0"/>
        <v>2.4498886414253906E-2</v>
      </c>
      <c r="H58" s="380"/>
      <c r="I58" s="322">
        <f>IF(ISERROR(VLOOKUP($B58, DataH!$E$85:$H$155, 2, FALSE)), "", VLOOKUP($B58, DataH!$E$85:$H$155, 2, FALSE))</f>
        <v>42172</v>
      </c>
      <c r="J58" s="208">
        <f>IF(ISERROR(VLOOKUP($B58, DataH!$E$85:$H$155, 3, FALSE)), "", VLOOKUP($B58, DataH!$E$85:$H$155, 3, FALSE))</f>
        <v>10</v>
      </c>
      <c r="K58" s="208">
        <f>IF(ISERROR(VLOOKUP($B58, DataH!$E$85:$H$155, 4, FALSE)), "", VLOOKUP($B58, DataH!$E$85:$H$155, 4, FALSE))</f>
        <v>0</v>
      </c>
      <c r="L58" s="102">
        <f t="shared" si="1"/>
        <v>0</v>
      </c>
      <c r="M58" s="216"/>
      <c r="N58" s="322" t="str">
        <f>IF(ISERROR(VLOOKUP($B58, DataH!$I$85:$L$155, 2, FALSE)), "", VLOOKUP($B58, DataH!$I$85:$L$155, 2, FALSE))</f>
        <v/>
      </c>
      <c r="O58" s="126" t="str">
        <f>IF(ISERROR(VLOOKUP($B58, DataH!$I$85:$L$155, 3, FALSE)), "", VLOOKUP($B58, DataH!$I$85:$L$155, 3, FALSE))</f>
        <v/>
      </c>
      <c r="P58" s="126" t="str">
        <f>IF(ISERROR(VLOOKUP($B58, DataH!$I$85:$L$155, 4, FALSE)), "", VLOOKUP($B58, DataH!$I$85:$L$155, 4, FALSE))</f>
        <v/>
      </c>
      <c r="Q58" s="102" t="str">
        <f t="shared" si="2"/>
        <v/>
      </c>
    </row>
    <row r="59" spans="2:17" ht="15" customHeight="1">
      <c r="B59" s="862" t="str">
        <f>IF(DataH!$A132="", "", DataH!$A132)</f>
        <v>Accountability Research Corp</v>
      </c>
      <c r="C59" s="768"/>
      <c r="D59" s="378">
        <f>IF(ISERROR(VLOOKUP($B59, DataH!$A$85:$D$155, 2, FALSE)), "", VLOOKUP($B59, DataH!$A$85:$D$155, 2, FALSE))</f>
        <v>42040</v>
      </c>
      <c r="E59" s="205">
        <f>IF(ISERROR(VLOOKUP($B59, DataH!$A$85:$D$155, 3, FALSE)), "", VLOOKUP($B59, DataH!$A$85:$D$155, 3, FALSE))</f>
        <v>9</v>
      </c>
      <c r="F59" s="205">
        <f>IF(ISERROR(VLOOKUP($B59, DataH!$A$85:$D$155, 4, FALSE)), "", VLOOKUP($B59, DataH!$A$85:$D$155, 4, FALSE))</f>
        <v>0</v>
      </c>
      <c r="G59" s="103">
        <f t="shared" si="0"/>
        <v>0</v>
      </c>
      <c r="H59" s="380"/>
      <c r="I59" s="318">
        <f>IF(ISERROR(VLOOKUP($B59, DataH!$E$85:$H$155, 2, FALSE)), "", VLOOKUP($B59, DataH!$E$85:$H$155, 2, FALSE))</f>
        <v>42040</v>
      </c>
      <c r="J59" s="205">
        <f>IF(ISERROR(VLOOKUP($B59, DataH!$E$85:$H$155, 3, FALSE)), "", VLOOKUP($B59, DataH!$E$85:$H$155, 3, FALSE))</f>
        <v>9.6999999999999993</v>
      </c>
      <c r="K59" s="205">
        <f>IF(ISERROR(VLOOKUP($B59, DataH!$E$85:$H$155, 4, FALSE)), "", VLOOKUP($B59, DataH!$E$85:$H$155, 4, FALSE))</f>
        <v>0.1</v>
      </c>
      <c r="L59" s="103">
        <f t="shared" si="1"/>
        <v>1.0416666666666741E-2</v>
      </c>
      <c r="M59" s="216"/>
      <c r="N59" s="318" t="str">
        <f>IF(ISERROR(VLOOKUP($B59, DataH!$I$85:$L$155, 2, FALSE)), "", VLOOKUP($B59, DataH!$I$85:$L$155, 2, FALSE))</f>
        <v/>
      </c>
      <c r="O59" s="129" t="str">
        <f>IF(ISERROR(VLOOKUP($B59, DataH!$I$85:$L$155, 3, FALSE)), "", VLOOKUP($B59, DataH!$I$85:$L$155, 3, FALSE))</f>
        <v/>
      </c>
      <c r="P59" s="129" t="str">
        <f>IF(ISERROR(VLOOKUP($B59, DataH!$I$85:$L$155, 4, FALSE)), "", VLOOKUP($B59, DataH!$I$85:$L$155, 4, FALSE))</f>
        <v/>
      </c>
      <c r="Q59" s="103" t="str">
        <f t="shared" si="2"/>
        <v/>
      </c>
    </row>
    <row r="60" spans="2:17" ht="15" customHeight="1">
      <c r="B60" s="910" t="str">
        <f>IF(DataH!$A133="", "", DataH!$A133)</f>
        <v>Scotia Capital</v>
      </c>
      <c r="C60" s="765"/>
      <c r="D60" s="379">
        <f>IF(ISERROR(VLOOKUP($B60, DataH!$A$85:$D$155, 2, FALSE)), "", VLOOKUP($B60, DataH!$A$85:$D$155, 2, FALSE))</f>
        <v>41843</v>
      </c>
      <c r="E60" s="208">
        <f>IF(ISERROR(VLOOKUP($B60, DataH!$A$85:$D$155, 3, FALSE)), "", VLOOKUP($B60, DataH!$A$85:$D$155, 3, FALSE))</f>
        <v>8.56</v>
      </c>
      <c r="F60" s="208">
        <f>IF(ISERROR(VLOOKUP($B60, DataH!$A$85:$D$155, 4, FALSE)), "", VLOOKUP($B60, DataH!$A$85:$D$155, 4, FALSE))</f>
        <v>0.88</v>
      </c>
      <c r="G60" s="102">
        <f t="shared" si="0"/>
        <v>0.11458333333333326</v>
      </c>
      <c r="H60" s="380"/>
      <c r="I60" s="322" t="str">
        <f>IF(ISERROR(VLOOKUP($B60, DataH!$E$85:$H$155, 2, FALSE)), "", VLOOKUP($B60, DataH!$E$85:$H$155, 2, FALSE))</f>
        <v/>
      </c>
      <c r="J60" s="208" t="str">
        <f>IF(ISERROR(VLOOKUP($B60, DataH!$E$85:$H$155, 3, FALSE)), "", VLOOKUP($B60, DataH!$E$85:$H$155, 3, FALSE))</f>
        <v/>
      </c>
      <c r="K60" s="208" t="str">
        <f>IF(ISERROR(VLOOKUP($B60, DataH!$E$85:$H$155, 4, FALSE)), "", VLOOKUP($B60, DataH!$E$85:$H$155, 4, FALSE))</f>
        <v/>
      </c>
      <c r="L60" s="102" t="str">
        <f t="shared" si="1"/>
        <v/>
      </c>
      <c r="M60" s="216"/>
      <c r="N60" s="322" t="str">
        <f>IF(ISERROR(VLOOKUP($B60, DataH!$I$85:$L$155, 2, FALSE)), "", VLOOKUP($B60, DataH!$I$85:$L$155, 2, FALSE))</f>
        <v/>
      </c>
      <c r="O60" s="126" t="str">
        <f>IF(ISERROR(VLOOKUP($B60, DataH!$I$85:$L$155, 3, FALSE)), "", VLOOKUP($B60, DataH!$I$85:$L$155, 3, FALSE))</f>
        <v/>
      </c>
      <c r="P60" s="126" t="str">
        <f>IF(ISERROR(VLOOKUP($B60, DataH!$I$85:$L$155, 4, FALSE)), "", VLOOKUP($B60, DataH!$I$85:$L$155, 4, FALSE))</f>
        <v/>
      </c>
      <c r="Q60" s="275"/>
    </row>
    <row r="61" spans="2:17" ht="15" customHeight="1">
      <c r="B61" s="862" t="str">
        <f>IF(DataH!$A134="", "", DataH!$A134)</f>
        <v/>
      </c>
      <c r="C61" s="768"/>
      <c r="D61" s="378" t="str">
        <f>IF(ISERROR(VLOOKUP($B61, DataH!$A$85:$D$155, 2, FALSE)), "", VLOOKUP($B61, DataH!$A$85:$D$155, 2, FALSE))</f>
        <v/>
      </c>
      <c r="E61" s="205" t="str">
        <f>IF(ISERROR(VLOOKUP($B61, DataH!$A$85:$D$155, 3, FALSE)), "", VLOOKUP($B61, DataH!$A$85:$D$155, 3, FALSE))</f>
        <v/>
      </c>
      <c r="F61" s="205" t="str">
        <f>IF(ISERROR(VLOOKUP($B61, DataH!$A$85:$D$155, 4, FALSE)), "", VLOOKUP($B61, DataH!$A$85:$D$155, 4, FALSE))</f>
        <v/>
      </c>
      <c r="G61" s="103" t="str">
        <f t="shared" si="0"/>
        <v/>
      </c>
      <c r="H61" s="380"/>
      <c r="I61" s="318" t="str">
        <f>IF(ISERROR(VLOOKUP($B61, DataH!$E$85:$H$155, 2, FALSE)), "", VLOOKUP($B61, DataH!$E$85:$H$155, 2, FALSE))</f>
        <v/>
      </c>
      <c r="J61" s="205" t="str">
        <f>IF(ISERROR(VLOOKUP($B61, DataH!$E$85:$H$155, 3, FALSE)), "", VLOOKUP($B61, DataH!$E$85:$H$155, 3, FALSE))</f>
        <v/>
      </c>
      <c r="K61" s="205" t="str">
        <f>IF(ISERROR(VLOOKUP($B61, DataH!$E$85:$H$155, 4, FALSE)), "", VLOOKUP($B61, DataH!$E$85:$H$155, 4, FALSE))</f>
        <v/>
      </c>
      <c r="L61" s="103" t="str">
        <f t="shared" si="1"/>
        <v/>
      </c>
      <c r="M61" s="216"/>
      <c r="N61" s="318" t="str">
        <f>IF(ISERROR(VLOOKUP($B61, DataH!$I$85:$L$155, 2, FALSE)), "", VLOOKUP($B61, DataH!$I$85:$L$155, 2, FALSE))</f>
        <v/>
      </c>
      <c r="O61" s="129" t="str">
        <f>IF(ISERROR(VLOOKUP($B61, DataH!$I$85:$L$155, 3, FALSE)), "", VLOOKUP($B61, DataH!$I$85:$L$155, 3, FALSE))</f>
        <v/>
      </c>
      <c r="P61" s="129" t="str">
        <f>IF(ISERROR(VLOOKUP($B61, DataH!$I$85:$L$155, 4, FALSE)), "", VLOOKUP($B61, DataH!$I$85:$L$155, 4, FALSE))</f>
        <v/>
      </c>
      <c r="Q61" s="282"/>
    </row>
    <row r="62" spans="2:17" ht="15" customHeight="1">
      <c r="B62" s="910" t="str">
        <f>IF(DataH!$A135="", "", DataH!$A135)</f>
        <v/>
      </c>
      <c r="C62" s="765"/>
      <c r="D62" s="379" t="str">
        <f>IF(ISERROR(VLOOKUP($B62, DataH!$A$85:$D$155, 2, FALSE)), "", VLOOKUP($B62, DataH!$A$85:$D$155, 2, FALSE))</f>
        <v/>
      </c>
      <c r="E62" s="208" t="str">
        <f>IF(ISERROR(VLOOKUP($B62, DataH!$A$85:$D$155, 3, FALSE)), "", VLOOKUP($B62, DataH!$A$85:$D$155, 3, FALSE))</f>
        <v/>
      </c>
      <c r="F62" s="208" t="str">
        <f>IF(ISERROR(VLOOKUP($B62, DataH!$A$85:$D$155, 4, FALSE)), "", VLOOKUP($B62, DataH!$A$85:$D$155, 4, FALSE))</f>
        <v/>
      </c>
      <c r="G62" s="102" t="str">
        <f t="shared" si="0"/>
        <v/>
      </c>
      <c r="H62" s="380"/>
      <c r="I62" s="322" t="str">
        <f>IF(ISERROR(VLOOKUP($B62, DataH!$E$85:$H$155, 2, FALSE)), "", VLOOKUP($B62, DataH!$E$85:$H$155, 2, FALSE))</f>
        <v/>
      </c>
      <c r="J62" s="208" t="str">
        <f>IF(ISERROR(VLOOKUP($B62, DataH!$E$85:$H$155, 3, FALSE)), "", VLOOKUP($B62, DataH!$E$85:$H$155, 3, FALSE))</f>
        <v/>
      </c>
      <c r="K62" s="208" t="str">
        <f>IF(ISERROR(VLOOKUP($B62, DataH!$E$85:$H$155, 4, FALSE)), "", VLOOKUP($B62, DataH!$E$85:$H$155, 4, FALSE))</f>
        <v/>
      </c>
      <c r="L62" s="102" t="str">
        <f t="shared" si="1"/>
        <v/>
      </c>
      <c r="M62" s="216"/>
      <c r="N62" s="322" t="str">
        <f>IF(ISERROR(VLOOKUP($B62, DataH!$I$85:$L$155, 2, FALSE)), "", VLOOKUP($B62, DataH!$I$85:$L$155, 2, FALSE))</f>
        <v/>
      </c>
      <c r="O62" s="126" t="str">
        <f>IF(ISERROR(VLOOKUP($B62, DataH!$I$85:$L$155, 3, FALSE)), "", VLOOKUP($B62, DataH!$I$85:$L$155, 3, FALSE))</f>
        <v/>
      </c>
      <c r="P62" s="126" t="str">
        <f>IF(ISERROR(VLOOKUP($B62, DataH!$I$85:$L$155, 4, FALSE)), "", VLOOKUP($B62, DataH!$I$85:$L$155, 4, FALSE))</f>
        <v/>
      </c>
      <c r="Q62" s="275"/>
    </row>
    <row r="63" spans="2:17" ht="15" customHeight="1">
      <c r="B63" s="862" t="str">
        <f>IF(DataH!$A136="", "", DataH!$A136)</f>
        <v/>
      </c>
      <c r="C63" s="768"/>
      <c r="D63" s="378" t="str">
        <f>IF(ISERROR(VLOOKUP($B63, DataH!$A$85:$D$155, 2, FALSE)), "", VLOOKUP($B63, DataH!$A$85:$D$155, 2, FALSE))</f>
        <v/>
      </c>
      <c r="E63" s="205" t="str">
        <f>IF(ISERROR(VLOOKUP($B63, DataH!$A$85:$D$155, 3, FALSE)), "", VLOOKUP($B63, DataH!$A$85:$D$155, 3, FALSE))</f>
        <v/>
      </c>
      <c r="F63" s="205" t="str">
        <f>IF(ISERROR(VLOOKUP($B63, DataH!$A$85:$D$155, 4, FALSE)), "", VLOOKUP($B63, DataH!$A$85:$D$155, 4, FALSE))</f>
        <v/>
      </c>
      <c r="G63" s="103" t="str">
        <f t="shared" ref="G63:G81" si="3">IF(ISERROR((E63/(E63-F63))-1), "", (E63/(E63-F63))-1)</f>
        <v/>
      </c>
      <c r="H63" s="380"/>
      <c r="I63" s="318" t="str">
        <f>IF(ISERROR(VLOOKUP($B63, DataH!$E$85:$H$155, 2, FALSE)), "", VLOOKUP($B63, DataH!$E$85:$H$155, 2, FALSE))</f>
        <v/>
      </c>
      <c r="J63" s="205" t="str">
        <f>IF(ISERROR(VLOOKUP($B63, DataH!$E$85:$H$155, 3, FALSE)), "", VLOOKUP($B63, DataH!$E$85:$H$155, 3, FALSE))</f>
        <v/>
      </c>
      <c r="K63" s="205" t="str">
        <f>IF(ISERROR(VLOOKUP($B63, DataH!$E$85:$H$155, 4, FALSE)), "", VLOOKUP($B63, DataH!$E$85:$H$155, 4, FALSE))</f>
        <v/>
      </c>
      <c r="L63" s="103" t="str">
        <f t="shared" ref="L63:L81" si="4">IF(ISERROR((J63/(J63-K63))-1), "", (J63/(J63-K63))-1)</f>
        <v/>
      </c>
      <c r="M63" s="216"/>
      <c r="N63" s="318" t="str">
        <f>IF(ISERROR(VLOOKUP($B63, DataH!$I$85:$L$155, 2, FALSE)), "", VLOOKUP($B63, DataH!$I$85:$L$155, 2, FALSE))</f>
        <v/>
      </c>
      <c r="O63" s="129" t="str">
        <f>IF(ISERROR(VLOOKUP($B63, DataH!$I$85:$L$155, 3, FALSE)), "", VLOOKUP($B63, DataH!$I$85:$L$155, 3, FALSE))</f>
        <v/>
      </c>
      <c r="P63" s="129" t="str">
        <f>IF(ISERROR(VLOOKUP($B63, DataH!$I$85:$L$155, 4, FALSE)), "", VLOOKUP($B63, DataH!$I$85:$L$155, 4, FALSE))</f>
        <v/>
      </c>
      <c r="Q63" s="282"/>
    </row>
    <row r="64" spans="2:17" ht="15" customHeight="1">
      <c r="B64" s="910" t="str">
        <f>IF(DataH!$A137="", "", DataH!$A137)</f>
        <v/>
      </c>
      <c r="C64" s="765"/>
      <c r="D64" s="379" t="str">
        <f>IF(ISERROR(VLOOKUP($B64, DataH!$A$85:$D$155, 2, FALSE)), "", VLOOKUP($B64, DataH!$A$85:$D$155, 2, FALSE))</f>
        <v/>
      </c>
      <c r="E64" s="208" t="str">
        <f>IF(ISERROR(VLOOKUP($B64, DataH!$A$85:$D$155, 3, FALSE)), "", VLOOKUP($B64, DataH!$A$85:$D$155, 3, FALSE))</f>
        <v/>
      </c>
      <c r="F64" s="208" t="str">
        <f>IF(ISERROR(VLOOKUP($B64, DataH!$A$85:$D$155, 4, FALSE)), "", VLOOKUP($B64, DataH!$A$85:$D$155, 4, FALSE))</f>
        <v/>
      </c>
      <c r="G64" s="102" t="str">
        <f t="shared" si="3"/>
        <v/>
      </c>
      <c r="H64" s="380"/>
      <c r="I64" s="322" t="str">
        <f>IF(ISERROR(VLOOKUP($B64, DataH!$E$85:$H$155, 2, FALSE)), "", VLOOKUP($B64, DataH!$E$85:$H$155, 2, FALSE))</f>
        <v/>
      </c>
      <c r="J64" s="208" t="str">
        <f>IF(ISERROR(VLOOKUP($B64, DataH!$E$85:$H$155, 3, FALSE)), "", VLOOKUP($B64, DataH!$E$85:$H$155, 3, FALSE))</f>
        <v/>
      </c>
      <c r="K64" s="208" t="str">
        <f>IF(ISERROR(VLOOKUP($B64, DataH!$E$85:$H$155, 4, FALSE)), "", VLOOKUP($B64, DataH!$E$85:$H$155, 4, FALSE))</f>
        <v/>
      </c>
      <c r="L64" s="102" t="str">
        <f t="shared" si="4"/>
        <v/>
      </c>
      <c r="M64" s="216"/>
      <c r="N64" s="322" t="str">
        <f>IF(ISERROR(VLOOKUP($B64, DataH!$I$85:$L$155, 2, FALSE)), "", VLOOKUP($B64, DataH!$I$85:$L$155, 2, FALSE))</f>
        <v/>
      </c>
      <c r="O64" s="126" t="str">
        <f>IF(ISERROR(VLOOKUP($B64, DataH!$I$85:$L$155, 3, FALSE)), "", VLOOKUP($B64, DataH!$I$85:$L$155, 3, FALSE))</f>
        <v/>
      </c>
      <c r="P64" s="126" t="str">
        <f>IF(ISERROR(VLOOKUP($B64, DataH!$I$85:$L$155, 4, FALSE)), "", VLOOKUP($B64, DataH!$I$85:$L$155, 4, FALSE))</f>
        <v/>
      </c>
      <c r="Q64" s="275"/>
    </row>
    <row r="65" spans="2:17" ht="15" customHeight="1">
      <c r="B65" s="862" t="str">
        <f>IF(DataH!$A138="", "", DataH!$A138)</f>
        <v/>
      </c>
      <c r="C65" s="768"/>
      <c r="D65" s="378" t="str">
        <f>IF(ISERROR(VLOOKUP($B65, DataH!$A$85:$D$155, 2, FALSE)), "", VLOOKUP($B65, DataH!$A$85:$D$155, 2, FALSE))</f>
        <v/>
      </c>
      <c r="E65" s="205" t="str">
        <f>IF(ISERROR(VLOOKUP($B65, DataH!$A$85:$D$155, 3, FALSE)), "", VLOOKUP($B65, DataH!$A$85:$D$155, 3, FALSE))</f>
        <v/>
      </c>
      <c r="F65" s="205" t="str">
        <f>IF(ISERROR(VLOOKUP($B65, DataH!$A$85:$D$155, 4, FALSE)), "", VLOOKUP($B65, DataH!$A$85:$D$155, 4, FALSE))</f>
        <v/>
      </c>
      <c r="G65" s="103" t="str">
        <f t="shared" si="3"/>
        <v/>
      </c>
      <c r="H65" s="380"/>
      <c r="I65" s="318" t="str">
        <f>IF(ISERROR(VLOOKUP($B65, DataH!$E$85:$H$155, 2, FALSE)), "", VLOOKUP($B65, DataH!$E$85:$H$155, 2, FALSE))</f>
        <v/>
      </c>
      <c r="J65" s="205" t="str">
        <f>IF(ISERROR(VLOOKUP($B65, DataH!$E$85:$H$155, 3, FALSE)), "", VLOOKUP($B65, DataH!$E$85:$H$155, 3, FALSE))</f>
        <v/>
      </c>
      <c r="K65" s="205" t="str">
        <f>IF(ISERROR(VLOOKUP($B65, DataH!$E$85:$H$155, 4, FALSE)), "", VLOOKUP($B65, DataH!$E$85:$H$155, 4, FALSE))</f>
        <v/>
      </c>
      <c r="L65" s="103" t="str">
        <f t="shared" si="4"/>
        <v/>
      </c>
      <c r="M65" s="216"/>
      <c r="N65" s="318" t="str">
        <f>IF(ISERROR(VLOOKUP($B65, DataH!$I$85:$L$155, 2, FALSE)), "", VLOOKUP($B65, DataH!$I$85:$L$155, 2, FALSE))</f>
        <v/>
      </c>
      <c r="O65" s="129" t="str">
        <f>IF(ISERROR(VLOOKUP($B65, DataH!$I$85:$L$155, 3, FALSE)), "", VLOOKUP($B65, DataH!$I$85:$L$155, 3, FALSE))</f>
        <v/>
      </c>
      <c r="P65" s="129" t="str">
        <f>IF(ISERROR(VLOOKUP($B65, DataH!$I$85:$L$155, 4, FALSE)), "", VLOOKUP($B65, DataH!$I$85:$L$155, 4, FALSE))</f>
        <v/>
      </c>
      <c r="Q65" s="282"/>
    </row>
    <row r="66" spans="2:17" ht="15" customHeight="1">
      <c r="B66" s="910" t="str">
        <f>IF(DataH!$A139="", "", DataH!$A139)</f>
        <v/>
      </c>
      <c r="C66" s="765"/>
      <c r="D66" s="379" t="str">
        <f>IF(ISERROR(VLOOKUP($B66, DataH!$A$85:$D$155, 2, FALSE)), "", VLOOKUP($B66, DataH!$A$85:$D$155, 2, FALSE))</f>
        <v/>
      </c>
      <c r="E66" s="208" t="str">
        <f>IF(ISERROR(VLOOKUP($B66, DataH!$A$85:$D$155, 3, FALSE)), "", VLOOKUP($B66, DataH!$A$85:$D$155, 3, FALSE))</f>
        <v/>
      </c>
      <c r="F66" s="208" t="str">
        <f>IF(ISERROR(VLOOKUP($B66, DataH!$A$85:$D$155, 4, FALSE)), "", VLOOKUP($B66, DataH!$A$85:$D$155, 4, FALSE))</f>
        <v/>
      </c>
      <c r="G66" s="102" t="str">
        <f t="shared" si="3"/>
        <v/>
      </c>
      <c r="H66" s="380"/>
      <c r="I66" s="322" t="str">
        <f>IF(ISERROR(VLOOKUP($B66, DataH!$E$85:$H$155, 2, FALSE)), "", VLOOKUP($B66, DataH!$E$85:$H$155, 2, FALSE))</f>
        <v/>
      </c>
      <c r="J66" s="208" t="str">
        <f>IF(ISERROR(VLOOKUP($B66, DataH!$E$85:$H$155, 3, FALSE)), "", VLOOKUP($B66, DataH!$E$85:$H$155, 3, FALSE))</f>
        <v/>
      </c>
      <c r="K66" s="208" t="str">
        <f>IF(ISERROR(VLOOKUP($B66, DataH!$E$85:$H$155, 4, FALSE)), "", VLOOKUP($B66, DataH!$E$85:$H$155, 4, FALSE))</f>
        <v/>
      </c>
      <c r="L66" s="102" t="str">
        <f t="shared" si="4"/>
        <v/>
      </c>
      <c r="M66" s="216"/>
      <c r="N66" s="322" t="str">
        <f>IF(ISERROR(VLOOKUP($B66, DataH!$I$85:$L$155, 2, FALSE)), "", VLOOKUP($B66, DataH!$I$85:$L$155, 2, FALSE))</f>
        <v/>
      </c>
      <c r="O66" s="126" t="str">
        <f>IF(ISERROR(VLOOKUP($B66, DataH!$I$85:$L$155, 3, FALSE)), "", VLOOKUP($B66, DataH!$I$85:$L$155, 3, FALSE))</f>
        <v/>
      </c>
      <c r="P66" s="126" t="str">
        <f>IF(ISERROR(VLOOKUP($B66, DataH!$I$85:$L$155, 4, FALSE)), "", VLOOKUP($B66, DataH!$I$85:$L$155, 4, FALSE))</f>
        <v/>
      </c>
      <c r="Q66" s="275"/>
    </row>
    <row r="67" spans="2:17" ht="15" customHeight="1">
      <c r="B67" s="862" t="str">
        <f>IF(DataH!$A140="", "", DataH!$A140)</f>
        <v/>
      </c>
      <c r="C67" s="768"/>
      <c r="D67" s="378" t="str">
        <f>IF(ISERROR(VLOOKUP($B67, DataH!$A$85:$D$155, 2, FALSE)), "", VLOOKUP($B67, DataH!$A$85:$D$155, 2, FALSE))</f>
        <v/>
      </c>
      <c r="E67" s="205" t="str">
        <f>IF(ISERROR(VLOOKUP($B67, DataH!$A$85:$D$155, 3, FALSE)), "", VLOOKUP($B67, DataH!$A$85:$D$155, 3, FALSE))</f>
        <v/>
      </c>
      <c r="F67" s="205" t="str">
        <f>IF(ISERROR(VLOOKUP($B67, DataH!$A$85:$D$155, 4, FALSE)), "", VLOOKUP($B67, DataH!$A$85:$D$155, 4, FALSE))</f>
        <v/>
      </c>
      <c r="G67" s="103" t="str">
        <f t="shared" si="3"/>
        <v/>
      </c>
      <c r="H67" s="380"/>
      <c r="I67" s="318" t="str">
        <f>IF(ISERROR(VLOOKUP($B67, DataH!$E$85:$H$155, 2, FALSE)), "", VLOOKUP($B67, DataH!$E$85:$H$155, 2, FALSE))</f>
        <v/>
      </c>
      <c r="J67" s="205" t="str">
        <f>IF(ISERROR(VLOOKUP($B67, DataH!$E$85:$H$155, 3, FALSE)), "", VLOOKUP($B67, DataH!$E$85:$H$155, 3, FALSE))</f>
        <v/>
      </c>
      <c r="K67" s="205" t="str">
        <f>IF(ISERROR(VLOOKUP($B67, DataH!$E$85:$H$155, 4, FALSE)), "", VLOOKUP($B67, DataH!$E$85:$H$155, 4, FALSE))</f>
        <v/>
      </c>
      <c r="L67" s="103" t="str">
        <f t="shared" si="4"/>
        <v/>
      </c>
      <c r="M67" s="216"/>
      <c r="N67" s="318" t="str">
        <f>IF(ISERROR(VLOOKUP($B67, DataH!$I$85:$L$155, 2, FALSE)), "", VLOOKUP($B67, DataH!$I$85:$L$155, 2, FALSE))</f>
        <v/>
      </c>
      <c r="O67" s="129" t="str">
        <f>IF(ISERROR(VLOOKUP($B67, DataH!$I$85:$L$155, 3, FALSE)), "", VLOOKUP($B67, DataH!$I$85:$L$155, 3, FALSE))</f>
        <v/>
      </c>
      <c r="P67" s="129" t="str">
        <f>IF(ISERROR(VLOOKUP($B67, DataH!$I$85:$L$155, 4, FALSE)), "", VLOOKUP($B67, DataH!$I$85:$L$155, 4, FALSE))</f>
        <v/>
      </c>
      <c r="Q67" s="282"/>
    </row>
    <row r="68" spans="2:17" ht="15" customHeight="1">
      <c r="B68" s="910" t="str">
        <f>IF(DataH!$A141="", "", DataH!$A141)</f>
        <v/>
      </c>
      <c r="C68" s="765"/>
      <c r="D68" s="379" t="str">
        <f>IF(ISERROR(VLOOKUP($B68, DataH!$A$85:$D$155, 2, FALSE)), "", VLOOKUP($B68, DataH!$A$85:$D$155, 2, FALSE))</f>
        <v/>
      </c>
      <c r="E68" s="208" t="str">
        <f>IF(ISERROR(VLOOKUP($B68, DataH!$A$85:$D$155, 3, FALSE)), "", VLOOKUP($B68, DataH!$A$85:$D$155, 3, FALSE))</f>
        <v/>
      </c>
      <c r="F68" s="208" t="str">
        <f>IF(ISERROR(VLOOKUP($B68, DataH!$A$85:$D$155, 4, FALSE)), "", VLOOKUP($B68, DataH!$A$85:$D$155, 4, FALSE))</f>
        <v/>
      </c>
      <c r="G68" s="102" t="str">
        <f t="shared" si="3"/>
        <v/>
      </c>
      <c r="H68" s="380"/>
      <c r="I68" s="322" t="str">
        <f>IF(ISERROR(VLOOKUP($B68, DataH!$E$85:$H$155, 2, FALSE)), "", VLOOKUP($B68, DataH!$E$85:$H$155, 2, FALSE))</f>
        <v/>
      </c>
      <c r="J68" s="208" t="str">
        <f>IF(ISERROR(VLOOKUP($B68, DataH!$E$85:$H$155, 3, FALSE)), "", VLOOKUP($B68, DataH!$E$85:$H$155, 3, FALSE))</f>
        <v/>
      </c>
      <c r="K68" s="208" t="str">
        <f>IF(ISERROR(VLOOKUP($B68, DataH!$E$85:$H$155, 4, FALSE)), "", VLOOKUP($B68, DataH!$E$85:$H$155, 4, FALSE))</f>
        <v/>
      </c>
      <c r="L68" s="102" t="str">
        <f t="shared" si="4"/>
        <v/>
      </c>
      <c r="M68" s="216"/>
      <c r="N68" s="322" t="str">
        <f>IF(ISERROR(VLOOKUP($B68, DataH!$I$85:$L$155, 2, FALSE)), "", VLOOKUP($B68, DataH!$I$85:$L$155, 2, FALSE))</f>
        <v/>
      </c>
      <c r="O68" s="126" t="str">
        <f>IF(ISERROR(VLOOKUP($B68, DataH!$I$85:$L$155, 3, FALSE)), "", VLOOKUP($B68, DataH!$I$85:$L$155, 3, FALSE))</f>
        <v/>
      </c>
      <c r="P68" s="126" t="str">
        <f>IF(ISERROR(VLOOKUP($B68, DataH!$I$85:$L$155, 4, FALSE)), "", VLOOKUP($B68, DataH!$I$85:$L$155, 4, FALSE))</f>
        <v/>
      </c>
      <c r="Q68" s="275"/>
    </row>
    <row r="69" spans="2:17" ht="15" customHeight="1">
      <c r="B69" s="862" t="str">
        <f>IF(DataH!$A142="", "", DataH!$A142)</f>
        <v/>
      </c>
      <c r="C69" s="768"/>
      <c r="D69" s="378" t="str">
        <f>IF(ISERROR(VLOOKUP($B69, DataH!$A$85:$D$155, 2, FALSE)), "", VLOOKUP($B69, DataH!$A$85:$D$155, 2, FALSE))</f>
        <v/>
      </c>
      <c r="E69" s="205" t="str">
        <f>IF(ISERROR(VLOOKUP($B69, DataH!$A$85:$D$155, 3, FALSE)), "", VLOOKUP($B69, DataH!$A$85:$D$155, 3, FALSE))</f>
        <v/>
      </c>
      <c r="F69" s="205" t="str">
        <f>IF(ISERROR(VLOOKUP($B69, DataH!$A$85:$D$155, 4, FALSE)), "", VLOOKUP($B69, DataH!$A$85:$D$155, 4, FALSE))</f>
        <v/>
      </c>
      <c r="G69" s="103" t="str">
        <f t="shared" si="3"/>
        <v/>
      </c>
      <c r="H69" s="380"/>
      <c r="I69" s="318" t="str">
        <f>IF(ISERROR(VLOOKUP($B69, DataH!$E$85:$H$155, 2, FALSE)), "", VLOOKUP($B69, DataH!$E$85:$H$155, 2, FALSE))</f>
        <v/>
      </c>
      <c r="J69" s="205" t="str">
        <f>IF(ISERROR(VLOOKUP($B69, DataH!$E$85:$H$155, 3, FALSE)), "", VLOOKUP($B69, DataH!$E$85:$H$155, 3, FALSE))</f>
        <v/>
      </c>
      <c r="K69" s="205" t="str">
        <f>IF(ISERROR(VLOOKUP($B69, DataH!$E$85:$H$155, 4, FALSE)), "", VLOOKUP($B69, DataH!$E$85:$H$155, 4, FALSE))</f>
        <v/>
      </c>
      <c r="L69" s="103" t="str">
        <f t="shared" si="4"/>
        <v/>
      </c>
      <c r="M69" s="216"/>
      <c r="N69" s="318" t="str">
        <f>IF(ISERROR(VLOOKUP($B69, DataH!$I$85:$L$155, 2, FALSE)), "", VLOOKUP($B69, DataH!$I$85:$L$155, 2, FALSE))</f>
        <v/>
      </c>
      <c r="O69" s="129" t="str">
        <f>IF(ISERROR(VLOOKUP($B69, DataH!$I$85:$L$155, 3, FALSE)), "", VLOOKUP($B69, DataH!$I$85:$L$155, 3, FALSE))</f>
        <v/>
      </c>
      <c r="P69" s="129" t="str">
        <f>IF(ISERROR(VLOOKUP($B69, DataH!$I$85:$L$155, 4, FALSE)), "", VLOOKUP($B69, DataH!$I$85:$L$155, 4, FALSE))</f>
        <v/>
      </c>
      <c r="Q69" s="282"/>
    </row>
    <row r="70" spans="2:17" ht="15" customHeight="1">
      <c r="B70" s="910" t="str">
        <f>IF(DataH!$A143="", "", DataH!$A143)</f>
        <v/>
      </c>
      <c r="C70" s="765"/>
      <c r="D70" s="379" t="str">
        <f>IF(ISERROR(VLOOKUP($B70, DataH!$A$85:$D$155, 2, FALSE)), "", VLOOKUP($B70, DataH!$A$85:$D$155, 2, FALSE))</f>
        <v/>
      </c>
      <c r="E70" s="208" t="str">
        <f>IF(ISERROR(VLOOKUP($B70, DataH!$A$85:$D$155, 3, FALSE)), "", VLOOKUP($B70, DataH!$A$85:$D$155, 3, FALSE))</f>
        <v/>
      </c>
      <c r="F70" s="208" t="str">
        <f>IF(ISERROR(VLOOKUP($B70, DataH!$A$85:$D$155, 4, FALSE)), "", VLOOKUP($B70, DataH!$A$85:$D$155, 4, FALSE))</f>
        <v/>
      </c>
      <c r="G70" s="102" t="str">
        <f t="shared" si="3"/>
        <v/>
      </c>
      <c r="H70" s="380"/>
      <c r="I70" s="322" t="str">
        <f>IF(ISERROR(VLOOKUP($B70, DataH!$E$85:$H$155, 2, FALSE)), "", VLOOKUP($B70, DataH!$E$85:$H$155, 2, FALSE))</f>
        <v/>
      </c>
      <c r="J70" s="208" t="str">
        <f>IF(ISERROR(VLOOKUP($B70, DataH!$E$85:$H$155, 3, FALSE)), "", VLOOKUP($B70, DataH!$E$85:$H$155, 3, FALSE))</f>
        <v/>
      </c>
      <c r="K70" s="208" t="str">
        <f>IF(ISERROR(VLOOKUP($B70, DataH!$E$85:$H$155, 4, FALSE)), "", VLOOKUP($B70, DataH!$E$85:$H$155, 4, FALSE))</f>
        <v/>
      </c>
      <c r="L70" s="102" t="str">
        <f t="shared" si="4"/>
        <v/>
      </c>
      <c r="M70" s="216"/>
      <c r="N70" s="322" t="str">
        <f>IF(ISERROR(VLOOKUP($B70, DataH!$I$85:$L$155, 2, FALSE)), "", VLOOKUP($B70, DataH!$I$85:$L$155, 2, FALSE))</f>
        <v/>
      </c>
      <c r="O70" s="126" t="str">
        <f>IF(ISERROR(VLOOKUP($B70, DataH!$I$85:$L$155, 3, FALSE)), "", VLOOKUP($B70, DataH!$I$85:$L$155, 3, FALSE))</f>
        <v/>
      </c>
      <c r="P70" s="126" t="str">
        <f>IF(ISERROR(VLOOKUP($B70, DataH!$I$85:$L$155, 4, FALSE)), "", VLOOKUP($B70, DataH!$I$85:$L$155, 4, FALSE))</f>
        <v/>
      </c>
      <c r="Q70" s="275"/>
    </row>
    <row r="71" spans="2:17" ht="15" customHeight="1">
      <c r="B71" s="862" t="str">
        <f>IF(DataH!$A144="", "", DataH!$A144)</f>
        <v/>
      </c>
      <c r="C71" s="768"/>
      <c r="D71" s="378" t="str">
        <f>IF(ISERROR(VLOOKUP($B71, DataH!$A$85:$D$155, 2, FALSE)), "", VLOOKUP($B71, DataH!$A$85:$D$155, 2, FALSE))</f>
        <v/>
      </c>
      <c r="E71" s="205" t="str">
        <f>IF(ISERROR(VLOOKUP($B71, DataH!$A$85:$D$155, 3, FALSE)), "", VLOOKUP($B71, DataH!$A$85:$D$155, 3, FALSE))</f>
        <v/>
      </c>
      <c r="F71" s="205" t="str">
        <f>IF(ISERROR(VLOOKUP($B71, DataH!$A$85:$D$155, 4, FALSE)), "", VLOOKUP($B71, DataH!$A$85:$D$155, 4, FALSE))</f>
        <v/>
      </c>
      <c r="G71" s="103" t="str">
        <f t="shared" si="3"/>
        <v/>
      </c>
      <c r="H71" s="380"/>
      <c r="I71" s="318" t="str">
        <f>IF(ISERROR(VLOOKUP($B71, DataH!$E$85:$H$155, 2, FALSE)), "", VLOOKUP($B71, DataH!$E$85:$H$155, 2, FALSE))</f>
        <v/>
      </c>
      <c r="J71" s="205" t="str">
        <f>IF(ISERROR(VLOOKUP($B71, DataH!$E$85:$H$155, 3, FALSE)), "", VLOOKUP($B71, DataH!$E$85:$H$155, 3, FALSE))</f>
        <v/>
      </c>
      <c r="K71" s="205" t="str">
        <f>IF(ISERROR(VLOOKUP($B71, DataH!$E$85:$H$155, 4, FALSE)), "", VLOOKUP($B71, DataH!$E$85:$H$155, 4, FALSE))</f>
        <v/>
      </c>
      <c r="L71" s="103" t="str">
        <f t="shared" si="4"/>
        <v/>
      </c>
      <c r="M71" s="216"/>
      <c r="N71" s="318" t="str">
        <f>IF(ISERROR(VLOOKUP($B71, DataH!$I$85:$L$155, 2, FALSE)), "", VLOOKUP($B71, DataH!$I$85:$L$155, 2, FALSE))</f>
        <v/>
      </c>
      <c r="O71" s="129" t="str">
        <f>IF(ISERROR(VLOOKUP($B71, DataH!$I$85:$L$155, 3, FALSE)), "", VLOOKUP($B71, DataH!$I$85:$L$155, 3, FALSE))</f>
        <v/>
      </c>
      <c r="P71" s="129" t="str">
        <f>IF(ISERROR(VLOOKUP($B71, DataH!$I$85:$L$155, 4, FALSE)), "", VLOOKUP($B71, DataH!$I$85:$L$155, 4, FALSE))</f>
        <v/>
      </c>
      <c r="Q71" s="282"/>
    </row>
    <row r="72" spans="2:17" ht="15" customHeight="1">
      <c r="B72" s="910" t="str">
        <f>IF(DataH!$A145="", "", DataH!$A145)</f>
        <v/>
      </c>
      <c r="C72" s="765"/>
      <c r="D72" s="379" t="str">
        <f>IF(ISERROR(VLOOKUP($B72, DataH!$A$85:$D$155, 2, FALSE)), "", VLOOKUP($B72, DataH!$A$85:$D$155, 2, FALSE))</f>
        <v/>
      </c>
      <c r="E72" s="208" t="str">
        <f>IF(ISERROR(VLOOKUP($B72, DataH!$A$85:$D$155, 3, FALSE)), "", VLOOKUP($B72, DataH!$A$85:$D$155, 3, FALSE))</f>
        <v/>
      </c>
      <c r="F72" s="208" t="str">
        <f>IF(ISERROR(VLOOKUP($B72, DataH!$A$85:$D$155, 4, FALSE)), "", VLOOKUP($B72, DataH!$A$85:$D$155, 4, FALSE))</f>
        <v/>
      </c>
      <c r="G72" s="102" t="str">
        <f t="shared" si="3"/>
        <v/>
      </c>
      <c r="H72" s="380"/>
      <c r="I72" s="322" t="str">
        <f>IF(ISERROR(VLOOKUP($B72, DataH!$E$85:$H$155, 2, FALSE)), "", VLOOKUP($B72, DataH!$E$85:$H$155, 2, FALSE))</f>
        <v/>
      </c>
      <c r="J72" s="208" t="str">
        <f>IF(ISERROR(VLOOKUP($B72, DataH!$E$85:$H$155, 3, FALSE)), "", VLOOKUP($B72, DataH!$E$85:$H$155, 3, FALSE))</f>
        <v/>
      </c>
      <c r="K72" s="208" t="str">
        <f>IF(ISERROR(VLOOKUP($B72, DataH!$E$85:$H$155, 4, FALSE)), "", VLOOKUP($B72, DataH!$E$85:$H$155, 4, FALSE))</f>
        <v/>
      </c>
      <c r="L72" s="102" t="str">
        <f t="shared" si="4"/>
        <v/>
      </c>
      <c r="M72" s="216"/>
      <c r="N72" s="322" t="str">
        <f>IF(ISERROR(VLOOKUP($B72, DataH!$I$85:$L$155, 2, FALSE)), "", VLOOKUP($B72, DataH!$I$85:$L$155, 2, FALSE))</f>
        <v/>
      </c>
      <c r="O72" s="126" t="str">
        <f>IF(ISERROR(VLOOKUP($B72, DataH!$I$85:$L$155, 3, FALSE)), "", VLOOKUP($B72, DataH!$I$85:$L$155, 3, FALSE))</f>
        <v/>
      </c>
      <c r="P72" s="126" t="str">
        <f>IF(ISERROR(VLOOKUP($B72, DataH!$I$85:$L$155, 4, FALSE)), "", VLOOKUP($B72, DataH!$I$85:$L$155, 4, FALSE))</f>
        <v/>
      </c>
      <c r="Q72" s="275"/>
    </row>
    <row r="73" spans="2:17" ht="15" customHeight="1">
      <c r="B73" s="862" t="str">
        <f>IF(DataH!$A146="", "", DataH!$A146)</f>
        <v/>
      </c>
      <c r="C73" s="768"/>
      <c r="D73" s="378" t="str">
        <f>IF(ISERROR(VLOOKUP($B73, DataH!$A$85:$D$155, 2, FALSE)), "", VLOOKUP($B73, DataH!$A$85:$D$155, 2, FALSE))</f>
        <v/>
      </c>
      <c r="E73" s="205" t="str">
        <f>IF(ISERROR(VLOOKUP($B73, DataH!$A$85:$D$155, 3, FALSE)), "", VLOOKUP($B73, DataH!$A$85:$D$155, 3, FALSE))</f>
        <v/>
      </c>
      <c r="F73" s="205" t="str">
        <f>IF(ISERROR(VLOOKUP($B73, DataH!$A$85:$D$155, 4, FALSE)), "", VLOOKUP($B73, DataH!$A$85:$D$155, 4, FALSE))</f>
        <v/>
      </c>
      <c r="G73" s="103" t="str">
        <f t="shared" si="3"/>
        <v/>
      </c>
      <c r="H73" s="380"/>
      <c r="I73" s="318" t="str">
        <f>IF(ISERROR(VLOOKUP($B73, DataH!$E$85:$H$155, 2, FALSE)), "", VLOOKUP($B73, DataH!$E$85:$H$155, 2, FALSE))</f>
        <v/>
      </c>
      <c r="J73" s="205" t="str">
        <f>IF(ISERROR(VLOOKUP($B73, DataH!$E$85:$H$155, 3, FALSE)), "", VLOOKUP($B73, DataH!$E$85:$H$155, 3, FALSE))</f>
        <v/>
      </c>
      <c r="K73" s="205" t="str">
        <f>IF(ISERROR(VLOOKUP($B73, DataH!$E$85:$H$155, 4, FALSE)), "", VLOOKUP($B73, DataH!$E$85:$H$155, 4, FALSE))</f>
        <v/>
      </c>
      <c r="L73" s="103" t="str">
        <f t="shared" si="4"/>
        <v/>
      </c>
      <c r="M73" s="216"/>
      <c r="N73" s="318" t="str">
        <f>IF(ISERROR(VLOOKUP($B73, DataH!$I$85:$L$155, 2, FALSE)), "", VLOOKUP($B73, DataH!$I$85:$L$155, 2, FALSE))</f>
        <v/>
      </c>
      <c r="O73" s="129" t="str">
        <f>IF(ISERROR(VLOOKUP($B73, DataH!$I$85:$L$155, 3, FALSE)), "", VLOOKUP($B73, DataH!$I$85:$L$155, 3, FALSE))</f>
        <v/>
      </c>
      <c r="P73" s="129" t="str">
        <f>IF(ISERROR(VLOOKUP($B73, DataH!$I$85:$L$155, 4, FALSE)), "", VLOOKUP($B73, DataH!$I$85:$L$155, 4, FALSE))</f>
        <v/>
      </c>
      <c r="Q73" s="282"/>
    </row>
    <row r="74" spans="2:17" ht="15" customHeight="1">
      <c r="B74" s="910" t="str">
        <f>IF(DataH!$A147="", "", DataH!$A147)</f>
        <v/>
      </c>
      <c r="C74" s="765"/>
      <c r="D74" s="379" t="str">
        <f>IF(ISERROR(VLOOKUP($B74, DataH!$A$85:$D$155, 2, FALSE)), "", VLOOKUP($B74, DataH!$A$85:$D$155, 2, FALSE))</f>
        <v/>
      </c>
      <c r="E74" s="208" t="str">
        <f>IF(ISERROR(VLOOKUP($B74, DataH!$A$85:$D$155, 3, FALSE)), "", VLOOKUP($B74, DataH!$A$85:$D$155, 3, FALSE))</f>
        <v/>
      </c>
      <c r="F74" s="208" t="str">
        <f>IF(ISERROR(VLOOKUP($B74, DataH!$A$85:$D$155, 4, FALSE)), "", VLOOKUP($B74, DataH!$A$85:$D$155, 4, FALSE))</f>
        <v/>
      </c>
      <c r="G74" s="102" t="str">
        <f t="shared" si="3"/>
        <v/>
      </c>
      <c r="H74" s="380"/>
      <c r="I74" s="322" t="str">
        <f>IF(ISERROR(VLOOKUP($B74, DataH!$E$85:$H$155, 2, FALSE)), "", VLOOKUP($B74, DataH!$E$85:$H$155, 2, FALSE))</f>
        <v/>
      </c>
      <c r="J74" s="208" t="str">
        <f>IF(ISERROR(VLOOKUP($B74, DataH!$E$85:$H$155, 3, FALSE)), "", VLOOKUP($B74, DataH!$E$85:$H$155, 3, FALSE))</f>
        <v/>
      </c>
      <c r="K74" s="208" t="str">
        <f>IF(ISERROR(VLOOKUP($B74, DataH!$E$85:$H$155, 4, FALSE)), "", VLOOKUP($B74, DataH!$E$85:$H$155, 4, FALSE))</f>
        <v/>
      </c>
      <c r="L74" s="102" t="str">
        <f t="shared" si="4"/>
        <v/>
      </c>
      <c r="M74" s="216"/>
      <c r="N74" s="322" t="str">
        <f>IF(ISERROR(VLOOKUP($B74, DataH!$I$85:$L$155, 2, FALSE)), "", VLOOKUP($B74, DataH!$I$85:$L$155, 2, FALSE))</f>
        <v/>
      </c>
      <c r="O74" s="126" t="str">
        <f>IF(ISERROR(VLOOKUP($B74, DataH!$I$85:$L$155, 3, FALSE)), "", VLOOKUP($B74, DataH!$I$85:$L$155, 3, FALSE))</f>
        <v/>
      </c>
      <c r="P74" s="126" t="str">
        <f>IF(ISERROR(VLOOKUP($B74, DataH!$I$85:$L$155, 4, FALSE)), "", VLOOKUP($B74, DataH!$I$85:$L$155, 4, FALSE))</f>
        <v/>
      </c>
      <c r="Q74" s="275"/>
    </row>
    <row r="75" spans="2:17" ht="15" customHeight="1">
      <c r="B75" s="862" t="str">
        <f>IF(DataH!$A148="", "", DataH!$A148)</f>
        <v/>
      </c>
      <c r="C75" s="768"/>
      <c r="D75" s="378" t="str">
        <f>IF(ISERROR(VLOOKUP($B75, DataH!$A$85:$D$155, 2, FALSE)), "", VLOOKUP($B75, DataH!$A$85:$D$155, 2, FALSE))</f>
        <v/>
      </c>
      <c r="E75" s="205" t="str">
        <f>IF(ISERROR(VLOOKUP($B75, DataH!$A$85:$D$155, 3, FALSE)), "", VLOOKUP($B75, DataH!$A$85:$D$155, 3, FALSE))</f>
        <v/>
      </c>
      <c r="F75" s="205" t="str">
        <f>IF(ISERROR(VLOOKUP($B75, DataH!$A$85:$D$155, 4, FALSE)), "", VLOOKUP($B75, DataH!$A$85:$D$155, 4, FALSE))</f>
        <v/>
      </c>
      <c r="G75" s="103" t="str">
        <f t="shared" si="3"/>
        <v/>
      </c>
      <c r="H75" s="380"/>
      <c r="I75" s="318" t="str">
        <f>IF(ISERROR(VLOOKUP($B75, DataH!$E$85:$H$155, 2, FALSE)), "", VLOOKUP($B75, DataH!$E$85:$H$155, 2, FALSE))</f>
        <v/>
      </c>
      <c r="J75" s="205" t="str">
        <f>IF(ISERROR(VLOOKUP($B75, DataH!$E$85:$H$155, 3, FALSE)), "", VLOOKUP($B75, DataH!$E$85:$H$155, 3, FALSE))</f>
        <v/>
      </c>
      <c r="K75" s="205" t="str">
        <f>IF(ISERROR(VLOOKUP($B75, DataH!$E$85:$H$155, 4, FALSE)), "", VLOOKUP($B75, DataH!$E$85:$H$155, 4, FALSE))</f>
        <v/>
      </c>
      <c r="L75" s="103" t="str">
        <f t="shared" si="4"/>
        <v/>
      </c>
      <c r="M75" s="216"/>
      <c r="N75" s="318" t="str">
        <f>IF(ISERROR(VLOOKUP($B75, DataH!$I$85:$L$155, 2, FALSE)), "", VLOOKUP($B75, DataH!$I$85:$L$155, 2, FALSE))</f>
        <v/>
      </c>
      <c r="O75" s="129" t="str">
        <f>IF(ISERROR(VLOOKUP($B75, DataH!$I$85:$L$155, 3, FALSE)), "", VLOOKUP($B75, DataH!$I$85:$L$155, 3, FALSE))</f>
        <v/>
      </c>
      <c r="P75" s="129" t="str">
        <f>IF(ISERROR(VLOOKUP($B75, DataH!$I$85:$L$155, 4, FALSE)), "", VLOOKUP($B75, DataH!$I$85:$L$155, 4, FALSE))</f>
        <v/>
      </c>
      <c r="Q75" s="282"/>
    </row>
    <row r="76" spans="2:17" ht="15" customHeight="1">
      <c r="B76" s="910" t="str">
        <f>IF(DataH!$A149="", "", DataH!$A149)</f>
        <v/>
      </c>
      <c r="C76" s="765"/>
      <c r="D76" s="379" t="str">
        <f>IF(ISERROR(VLOOKUP($B76, DataH!$A$85:$D$155, 2, FALSE)), "", VLOOKUP($B76, DataH!$A$85:$D$155, 2, FALSE))</f>
        <v/>
      </c>
      <c r="E76" s="208" t="str">
        <f>IF(ISERROR(VLOOKUP($B76, DataH!$A$85:$D$155, 3, FALSE)), "", VLOOKUP($B76, DataH!$A$85:$D$155, 3, FALSE))</f>
        <v/>
      </c>
      <c r="F76" s="208" t="str">
        <f>IF(ISERROR(VLOOKUP($B76, DataH!$A$85:$D$155, 4, FALSE)), "", VLOOKUP($B76, DataH!$A$85:$D$155, 4, FALSE))</f>
        <v/>
      </c>
      <c r="G76" s="102" t="str">
        <f t="shared" si="3"/>
        <v/>
      </c>
      <c r="H76" s="380"/>
      <c r="I76" s="322" t="str">
        <f>IF(ISERROR(VLOOKUP($B76, DataH!$E$85:$H$155, 2, FALSE)), "", VLOOKUP($B76, DataH!$E$85:$H$155, 2, FALSE))</f>
        <v/>
      </c>
      <c r="J76" s="208" t="str">
        <f>IF(ISERROR(VLOOKUP($B76, DataH!$E$85:$H$155, 3, FALSE)), "", VLOOKUP($B76, DataH!$E$85:$H$155, 3, FALSE))</f>
        <v/>
      </c>
      <c r="K76" s="208" t="str">
        <f>IF(ISERROR(VLOOKUP($B76, DataH!$E$85:$H$155, 4, FALSE)), "", VLOOKUP($B76, DataH!$E$85:$H$155, 4, FALSE))</f>
        <v/>
      </c>
      <c r="L76" s="102" t="str">
        <f t="shared" si="4"/>
        <v/>
      </c>
      <c r="M76" s="216"/>
      <c r="N76" s="322" t="str">
        <f>IF(ISERROR(VLOOKUP($B76, DataH!$I$85:$L$155, 2, FALSE)), "", VLOOKUP($B76, DataH!$I$85:$L$155, 2, FALSE))</f>
        <v/>
      </c>
      <c r="O76" s="126" t="str">
        <f>IF(ISERROR(VLOOKUP($B76, DataH!$I$85:$L$155, 3, FALSE)), "", VLOOKUP($B76, DataH!$I$85:$L$155, 3, FALSE))</f>
        <v/>
      </c>
      <c r="P76" s="126" t="str">
        <f>IF(ISERROR(VLOOKUP($B76, DataH!$I$85:$L$155, 4, FALSE)), "", VLOOKUP($B76, DataH!$I$85:$L$155, 4, FALSE))</f>
        <v/>
      </c>
      <c r="Q76" s="275"/>
    </row>
    <row r="77" spans="2:17" ht="15" customHeight="1">
      <c r="B77" s="862" t="str">
        <f>IF(DataH!$A150="", "", DataH!$A150)</f>
        <v/>
      </c>
      <c r="C77" s="768"/>
      <c r="D77" s="378" t="str">
        <f>IF(ISERROR(VLOOKUP($B77, DataH!$A$85:$D$155, 2, FALSE)), "", VLOOKUP($B77, DataH!$A$85:$D$155, 2, FALSE))</f>
        <v/>
      </c>
      <c r="E77" s="205" t="str">
        <f>IF(ISERROR(VLOOKUP($B77, DataH!$A$85:$D$155, 3, FALSE)), "", VLOOKUP($B77, DataH!$A$85:$D$155, 3, FALSE))</f>
        <v/>
      </c>
      <c r="F77" s="205" t="str">
        <f>IF(ISERROR(VLOOKUP($B77, DataH!$A$85:$D$155, 4, FALSE)), "", VLOOKUP($B77, DataH!$A$85:$D$155, 4, FALSE))</f>
        <v/>
      </c>
      <c r="G77" s="103" t="str">
        <f t="shared" si="3"/>
        <v/>
      </c>
      <c r="H77" s="380"/>
      <c r="I77" s="318" t="str">
        <f>IF(ISERROR(VLOOKUP($B77, DataH!$E$85:$H$155, 2, FALSE)), "", VLOOKUP($B77, DataH!$E$85:$H$155, 2, FALSE))</f>
        <v/>
      </c>
      <c r="J77" s="205" t="str">
        <f>IF(ISERROR(VLOOKUP($B77, DataH!$E$85:$H$155, 3, FALSE)), "", VLOOKUP($B77, DataH!$E$85:$H$155, 3, FALSE))</f>
        <v/>
      </c>
      <c r="K77" s="205" t="str">
        <f>IF(ISERROR(VLOOKUP($B77, DataH!$E$85:$H$155, 4, FALSE)), "", VLOOKUP($B77, DataH!$E$85:$H$155, 4, FALSE))</f>
        <v/>
      </c>
      <c r="L77" s="103" t="str">
        <f t="shared" si="4"/>
        <v/>
      </c>
      <c r="M77" s="216"/>
      <c r="N77" s="318" t="str">
        <f>IF(ISERROR(VLOOKUP($B77, DataH!$I$85:$L$155, 2, FALSE)), "", VLOOKUP($B77, DataH!$I$85:$L$155, 2, FALSE))</f>
        <v/>
      </c>
      <c r="O77" s="129" t="str">
        <f>IF(ISERROR(VLOOKUP($B77, DataH!$I$85:$L$155, 3, FALSE)), "", VLOOKUP($B77, DataH!$I$85:$L$155, 3, FALSE))</f>
        <v/>
      </c>
      <c r="P77" s="129" t="str">
        <f>IF(ISERROR(VLOOKUP($B77, DataH!$I$85:$L$155, 4, FALSE)), "", VLOOKUP($B77, DataH!$I$85:$L$155, 4, FALSE))</f>
        <v/>
      </c>
      <c r="Q77" s="282"/>
    </row>
    <row r="78" spans="2:17" ht="15" customHeight="1">
      <c r="B78" s="910" t="str">
        <f>IF(DataH!$A151="", "", DataH!$A151)</f>
        <v/>
      </c>
      <c r="C78" s="765"/>
      <c r="D78" s="379" t="str">
        <f>IF(ISERROR(VLOOKUP($B78, DataH!$A$85:$D$155, 2, FALSE)), "", VLOOKUP($B78, DataH!$A$85:$D$155, 2, FALSE))</f>
        <v/>
      </c>
      <c r="E78" s="208" t="str">
        <f>IF(ISERROR(VLOOKUP($B78, DataH!$A$85:$D$155, 3, FALSE)), "", VLOOKUP($B78, DataH!$A$85:$D$155, 3, FALSE))</f>
        <v/>
      </c>
      <c r="F78" s="208" t="str">
        <f>IF(ISERROR(VLOOKUP($B78, DataH!$A$85:$D$155, 4, FALSE)), "", VLOOKUP($B78, DataH!$A$85:$D$155, 4, FALSE))</f>
        <v/>
      </c>
      <c r="G78" s="102" t="str">
        <f t="shared" si="3"/>
        <v/>
      </c>
      <c r="H78" s="380"/>
      <c r="I78" s="322" t="str">
        <f>IF(ISERROR(VLOOKUP($B78, DataH!$E$85:$H$155, 2, FALSE)), "", VLOOKUP($B78, DataH!$E$85:$H$155, 2, FALSE))</f>
        <v/>
      </c>
      <c r="J78" s="208" t="str">
        <f>IF(ISERROR(VLOOKUP($B78, DataH!$E$85:$H$155, 3, FALSE)), "", VLOOKUP($B78, DataH!$E$85:$H$155, 3, FALSE))</f>
        <v/>
      </c>
      <c r="K78" s="208" t="str">
        <f>IF(ISERROR(VLOOKUP($B78, DataH!$E$85:$H$155, 4, FALSE)), "", VLOOKUP($B78, DataH!$E$85:$H$155, 4, FALSE))</f>
        <v/>
      </c>
      <c r="L78" s="102" t="str">
        <f t="shared" si="4"/>
        <v/>
      </c>
      <c r="M78" s="216"/>
      <c r="N78" s="322" t="str">
        <f>IF(ISERROR(VLOOKUP($B78, DataH!$I$85:$L$155, 2, FALSE)), "", VLOOKUP($B78, DataH!$I$85:$L$155, 2, FALSE))</f>
        <v/>
      </c>
      <c r="O78" s="126" t="str">
        <f>IF(ISERROR(VLOOKUP($B78, DataH!$I$85:$L$155, 3, FALSE)), "", VLOOKUP($B78, DataH!$I$85:$L$155, 3, FALSE))</f>
        <v/>
      </c>
      <c r="P78" s="126" t="str">
        <f>IF(ISERROR(VLOOKUP($B78, DataH!$I$85:$L$155, 4, FALSE)), "", VLOOKUP($B78, DataH!$I$85:$L$155, 4, FALSE))</f>
        <v/>
      </c>
      <c r="Q78" s="275"/>
    </row>
    <row r="79" spans="2:17" ht="15" customHeight="1">
      <c r="B79" s="862" t="str">
        <f>IF(DataH!$A152="", "", DataH!$A152)</f>
        <v/>
      </c>
      <c r="C79" s="768"/>
      <c r="D79" s="378" t="str">
        <f>IF(ISERROR(VLOOKUP($B79, DataH!$A$85:$D$155, 2, FALSE)), "", VLOOKUP($B79, DataH!$A$85:$D$155, 2, FALSE))</f>
        <v/>
      </c>
      <c r="E79" s="205" t="str">
        <f>IF(ISERROR(VLOOKUP($B79, DataH!$A$85:$D$155, 3, FALSE)), "", VLOOKUP($B79, DataH!$A$85:$D$155, 3, FALSE))</f>
        <v/>
      </c>
      <c r="F79" s="205" t="str">
        <f>IF(ISERROR(VLOOKUP($B79, DataH!$A$85:$D$155, 4, FALSE)), "", VLOOKUP($B79, DataH!$A$85:$D$155, 4, FALSE))</f>
        <v/>
      </c>
      <c r="G79" s="103" t="str">
        <f t="shared" si="3"/>
        <v/>
      </c>
      <c r="H79" s="380"/>
      <c r="I79" s="318" t="str">
        <f>IF(ISERROR(VLOOKUP($B79, DataH!$E$85:$H$155, 2, FALSE)), "", VLOOKUP($B79, DataH!$E$85:$H$155, 2, FALSE))</f>
        <v/>
      </c>
      <c r="J79" s="205" t="str">
        <f>IF(ISERROR(VLOOKUP($B79, DataH!$E$85:$H$155, 3, FALSE)), "", VLOOKUP($B79, DataH!$E$85:$H$155, 3, FALSE))</f>
        <v/>
      </c>
      <c r="K79" s="205" t="str">
        <f>IF(ISERROR(VLOOKUP($B79, DataH!$E$85:$H$155, 4, FALSE)), "", VLOOKUP($B79, DataH!$E$85:$H$155, 4, FALSE))</f>
        <v/>
      </c>
      <c r="L79" s="103" t="str">
        <f t="shared" si="4"/>
        <v/>
      </c>
      <c r="M79" s="216"/>
      <c r="N79" s="318" t="str">
        <f>IF(ISERROR(VLOOKUP($B79, DataH!$I$85:$L$155, 2, FALSE)), "", VLOOKUP($B79, DataH!$I$85:$L$155, 2, FALSE))</f>
        <v/>
      </c>
      <c r="O79" s="129" t="str">
        <f>IF(ISERROR(VLOOKUP($B79, DataH!$I$85:$L$155, 3, FALSE)), "", VLOOKUP($B79, DataH!$I$85:$L$155, 3, FALSE))</f>
        <v/>
      </c>
      <c r="P79" s="129" t="str">
        <f>IF(ISERROR(VLOOKUP($B79, DataH!$I$85:$L$155, 4, FALSE)), "", VLOOKUP($B79, DataH!$I$85:$L$155, 4, FALSE))</f>
        <v/>
      </c>
      <c r="Q79" s="282"/>
    </row>
    <row r="80" spans="2:17" ht="15" customHeight="1">
      <c r="B80" s="910" t="str">
        <f>IF(DataH!$A153="", "", DataH!$A153)</f>
        <v/>
      </c>
      <c r="C80" s="765"/>
      <c r="D80" s="379" t="str">
        <f>IF(ISERROR(VLOOKUP($B80, DataH!$A$85:$D$155, 2, FALSE)), "", VLOOKUP($B80, DataH!$A$85:$D$155, 2, FALSE))</f>
        <v/>
      </c>
      <c r="E80" s="208" t="str">
        <f>IF(ISERROR(VLOOKUP($B80, DataH!$A$85:$D$155, 3, FALSE)), "", VLOOKUP($B80, DataH!$A$85:$D$155, 3, FALSE))</f>
        <v/>
      </c>
      <c r="F80" s="208" t="str">
        <f>IF(ISERROR(VLOOKUP($B80, DataH!$A$85:$D$155, 4, FALSE)), "", VLOOKUP($B80, DataH!$A$85:$D$155, 4, FALSE))</f>
        <v/>
      </c>
      <c r="G80" s="102" t="str">
        <f t="shared" si="3"/>
        <v/>
      </c>
      <c r="H80" s="380"/>
      <c r="I80" s="322" t="str">
        <f>IF(ISERROR(VLOOKUP($B80, DataH!$E$85:$H$155, 2, FALSE)), "", VLOOKUP($B80, DataH!$E$85:$H$155, 2, FALSE))</f>
        <v/>
      </c>
      <c r="J80" s="208" t="str">
        <f>IF(ISERROR(VLOOKUP($B80, DataH!$E$85:$H$155, 3, FALSE)), "", VLOOKUP($B80, DataH!$E$85:$H$155, 3, FALSE))</f>
        <v/>
      </c>
      <c r="K80" s="208" t="str">
        <f>IF(ISERROR(VLOOKUP($B80, DataH!$E$85:$H$155, 4, FALSE)), "", VLOOKUP($B80, DataH!$E$85:$H$155, 4, FALSE))</f>
        <v/>
      </c>
      <c r="L80" s="102" t="str">
        <f t="shared" si="4"/>
        <v/>
      </c>
      <c r="M80" s="216"/>
      <c r="N80" s="322" t="str">
        <f>IF(ISERROR(VLOOKUP($B80, DataH!$I$85:$L$155, 2, FALSE)), "", VLOOKUP($B80, DataH!$I$85:$L$155, 2, FALSE))</f>
        <v/>
      </c>
      <c r="O80" s="126" t="str">
        <f>IF(ISERROR(VLOOKUP($B80, DataH!$I$85:$L$155, 3, FALSE)), "", VLOOKUP($B80, DataH!$I$85:$L$155, 3, FALSE))</f>
        <v/>
      </c>
      <c r="P80" s="126" t="str">
        <f>IF(ISERROR(VLOOKUP($B80, DataH!$I$85:$L$155, 4, FALSE)), "", VLOOKUP($B80, DataH!$I$85:$L$155, 4, FALSE))</f>
        <v/>
      </c>
      <c r="Q80" s="275"/>
    </row>
    <row r="81" spans="2:17" ht="15" customHeight="1">
      <c r="B81" s="937" t="str">
        <f>IF(DataH!$A154="", "", DataH!$A154)</f>
        <v/>
      </c>
      <c r="C81" s="788"/>
      <c r="D81" s="381" t="str">
        <f>IF(ISERROR(VLOOKUP($B81, DataH!$A$85:$D$155, 2, FALSE)), "", VLOOKUP($B81, DataH!$A$85:$D$155, 2, FALSE))</f>
        <v/>
      </c>
      <c r="E81" s="382" t="str">
        <f>IF(ISERROR(VLOOKUP($B81, DataH!$A$85:$D$155, 3, FALSE)), "", VLOOKUP($B81, DataH!$A$85:$D$155, 3, FALSE))</f>
        <v/>
      </c>
      <c r="F81" s="382" t="str">
        <f>IF(ISERROR(VLOOKUP($B81, DataH!$A$85:$D$155, 4, FALSE)), "", VLOOKUP($B81, DataH!$A$85:$D$155, 4, FALSE))</f>
        <v/>
      </c>
      <c r="G81" s="293" t="str">
        <f t="shared" si="3"/>
        <v/>
      </c>
      <c r="H81" s="380"/>
      <c r="I81" s="383" t="str">
        <f>IF(ISERROR(VLOOKUP($B81, DataH!$E$85:$H$155, 2, FALSE)), "", VLOOKUP($B81, DataH!$E$85:$H$155, 2, FALSE))</f>
        <v/>
      </c>
      <c r="J81" s="382" t="str">
        <f>IF(ISERROR(VLOOKUP($B81, DataH!$E$85:$H$155, 3, FALSE)), "", VLOOKUP($B81, DataH!$E$85:$H$155, 3, FALSE))</f>
        <v/>
      </c>
      <c r="K81" s="382" t="str">
        <f>IF(ISERROR(VLOOKUP($B81, DataH!$E$85:$H$155, 4, FALSE)), "", VLOOKUP($B81, DataH!$E$85:$H$155, 4, FALSE))</f>
        <v/>
      </c>
      <c r="L81" s="293" t="str">
        <f t="shared" si="4"/>
        <v/>
      </c>
      <c r="M81" s="216"/>
      <c r="N81" s="383" t="str">
        <f>IF(ISERROR(VLOOKUP($B81, DataH!$I$85:$L$155, 2, FALSE)), "", VLOOKUP($B81, DataH!$I$85:$L$155, 2, FALSE))</f>
        <v/>
      </c>
      <c r="O81" s="148" t="str">
        <f>IF(ISERROR(VLOOKUP($B81, DataH!$I$85:$L$155, 3, FALSE)), "", VLOOKUP($B81, DataH!$I$85:$L$155, 3, FALSE))</f>
        <v/>
      </c>
      <c r="P81" s="148" t="str">
        <f>IF(ISERROR(VLOOKUP($B81, DataH!$I$85:$L$155, 4, FALSE)), "", VLOOKUP($B81, DataH!$I$85:$L$155, 4, FALSE))</f>
        <v/>
      </c>
      <c r="Q81" s="289"/>
    </row>
    <row r="82" spans="2:17" ht="15" customHeight="1">
      <c r="B82" s="216"/>
      <c r="C82" s="216"/>
      <c r="D82" s="216"/>
      <c r="E82" s="216"/>
      <c r="F82" s="216"/>
      <c r="G82" s="216"/>
      <c r="H82" s="216"/>
      <c r="I82" s="216"/>
      <c r="J82" s="216"/>
      <c r="K82" s="216"/>
      <c r="L82" s="216"/>
      <c r="M82" s="216"/>
      <c r="N82" s="216"/>
      <c r="O82" s="216"/>
      <c r="P82" s="216"/>
      <c r="Q82" s="216"/>
    </row>
  </sheetData>
  <mergeCells count="81">
    <mergeCell ref="B8:D8"/>
    <mergeCell ref="K8:L8"/>
    <mergeCell ref="I10:J10"/>
    <mergeCell ref="K10:L10"/>
    <mergeCell ref="B23:C23"/>
    <mergeCell ref="I8:J8"/>
    <mergeCell ref="B10:C11"/>
    <mergeCell ref="E8:G8"/>
    <mergeCell ref="D10:E10"/>
    <mergeCell ref="B14:C14"/>
    <mergeCell ref="B15:C15"/>
    <mergeCell ref="B20:C20"/>
    <mergeCell ref="B21:C21"/>
    <mergeCell ref="P10:Q10"/>
    <mergeCell ref="B25:C25"/>
    <mergeCell ref="B36:C36"/>
    <mergeCell ref="B32:C32"/>
    <mergeCell ref="B33:C33"/>
    <mergeCell ref="B22:C22"/>
    <mergeCell ref="B18:C18"/>
    <mergeCell ref="B12:C12"/>
    <mergeCell ref="B13:C13"/>
    <mergeCell ref="B24:C24"/>
    <mergeCell ref="F10:G10"/>
    <mergeCell ref="B35:C35"/>
    <mergeCell ref="B16:C16"/>
    <mergeCell ref="B17:C17"/>
    <mergeCell ref="B30:C30"/>
    <mergeCell ref="B19:C19"/>
    <mergeCell ref="B66:C66"/>
    <mergeCell ref="B67:C67"/>
    <mergeCell ref="B68:C68"/>
    <mergeCell ref="B70:C70"/>
    <mergeCell ref="N10:O10"/>
    <mergeCell ref="B69:C69"/>
    <mergeCell ref="B64:C64"/>
    <mergeCell ref="B59:C59"/>
    <mergeCell ref="B49:C49"/>
    <mergeCell ref="B50:C50"/>
    <mergeCell ref="B51:C51"/>
    <mergeCell ref="B62:C62"/>
    <mergeCell ref="B52:C52"/>
    <mergeCell ref="B53:C53"/>
    <mergeCell ref="B61:C61"/>
    <mergeCell ref="B54:C54"/>
    <mergeCell ref="B71:C71"/>
    <mergeCell ref="B81:C81"/>
    <mergeCell ref="B75:C75"/>
    <mergeCell ref="B76:C76"/>
    <mergeCell ref="B77:C77"/>
    <mergeCell ref="B80:C80"/>
    <mergeCell ref="B72:C72"/>
    <mergeCell ref="B73:C73"/>
    <mergeCell ref="B78:C78"/>
    <mergeCell ref="B74:C74"/>
    <mergeCell ref="B79:C79"/>
    <mergeCell ref="B60:C60"/>
    <mergeCell ref="B65:C65"/>
    <mergeCell ref="B55:C55"/>
    <mergeCell ref="B56:C56"/>
    <mergeCell ref="B57:C57"/>
    <mergeCell ref="B63:C63"/>
    <mergeCell ref="B58:C58"/>
    <mergeCell ref="B42:C42"/>
    <mergeCell ref="B37:C37"/>
    <mergeCell ref="B38:C38"/>
    <mergeCell ref="B39:C39"/>
    <mergeCell ref="B43:C43"/>
    <mergeCell ref="B40:C40"/>
    <mergeCell ref="B41:C41"/>
    <mergeCell ref="B44:C44"/>
    <mergeCell ref="B45:C45"/>
    <mergeCell ref="B46:C46"/>
    <mergeCell ref="B47:C47"/>
    <mergeCell ref="B48:C48"/>
    <mergeCell ref="B34:C34"/>
    <mergeCell ref="B26:C26"/>
    <mergeCell ref="B27:C27"/>
    <mergeCell ref="B28:C28"/>
    <mergeCell ref="B29:C29"/>
    <mergeCell ref="B31:C31"/>
  </mergeCells>
  <phoneticPr fontId="16" type="noConversion"/>
  <dataValidations count="2">
    <dataValidation type="list" allowBlank="1" showInputMessage="1" showErrorMessage="1" sqref="E8:G8">
      <formula1>newEstBrokersItem</formula1>
    </dataValidation>
    <dataValidation type="list" allowBlank="1" showInputMessage="1" showErrorMessage="1" sqref="K8:L8">
      <formula1>newEstBrokerPeriod</formula1>
    </dataValidation>
  </dataValidation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BrokerEst"/>
  <dimension ref="B1:O47"/>
  <sheetViews>
    <sheetView showGridLines="0" showRowColHeaders="0" zoomScaleNormal="100" workbookViewId="0">
      <pane ySplit="5" topLeftCell="A6" activePane="bottomLeft" state="frozen"/>
      <selection pane="bottomLeft" activeCell="B9" sqref="B9:E9"/>
    </sheetView>
  </sheetViews>
  <sheetFormatPr defaultRowHeight="15" customHeight="1"/>
  <cols>
    <col min="1" max="1" width="1.7109375" style="5" customWidth="1"/>
    <col min="2" max="3" width="9.140625" style="5" customWidth="1"/>
    <col min="4" max="4" width="9.140625" style="5" hidden="1" customWidth="1"/>
    <col min="5" max="7" width="9.7109375" style="5" customWidth="1"/>
    <col min="8" max="8" width="1.7109375" style="5" customWidth="1"/>
    <col min="9" max="11" width="9.7109375" style="5" customWidth="1"/>
    <col min="12" max="12" width="1.7109375" style="5" customWidth="1"/>
    <col min="13" max="15" width="9.7109375" style="5" customWidth="1"/>
    <col min="16" max="16384" width="9.140625" style="5"/>
  </cols>
  <sheetData>
    <row r="1" spans="2:15" ht="5.0999999999999996" customHeight="1"/>
    <row r="5" spans="2:15" ht="5.0999999999999996" customHeight="1"/>
    <row r="6" spans="2:15" ht="5.0999999999999996" customHeight="1"/>
    <row r="7" spans="2:15" ht="15" customHeight="1">
      <c r="B7" s="212" t="str">
        <f>compNAME</f>
        <v>APPLE INC</v>
      </c>
      <c r="C7" s="302"/>
      <c r="I7" s="512" t="str">
        <f>" * "&amp;IF(Lang="English","Estimates are in "&amp;CURRENCY,IF(Lang="中文",CURRENCY&amp;"的估計","表示通貨"&amp;CURRENCY))</f>
        <v xml:space="preserve"> * Estimates are in USD</v>
      </c>
    </row>
    <row r="8" spans="2:15" ht="15" customHeight="1">
      <c r="B8" s="964" t="str">
        <f>IF(Lang="English","Broker:",IF(Lang="中文","  經紀商:","ブローカー:"))</f>
        <v>Broker:</v>
      </c>
      <c r="C8" s="965"/>
      <c r="D8" s="965"/>
      <c r="E8" s="966"/>
      <c r="I8" s="964" t="str">
        <f>IF(Lang="English","Broker:",IF(Lang="中文","  經紀商:","ブローカー:"))</f>
        <v>Broker:</v>
      </c>
      <c r="J8" s="965"/>
      <c r="K8" s="966"/>
      <c r="M8" s="964" t="str">
        <f>IF(Lang="English","Periodicity:","周期")</f>
        <v>Periodicity:</v>
      </c>
      <c r="N8" s="965"/>
      <c r="O8" s="966"/>
    </row>
    <row r="9" spans="2:15" ht="15" customHeight="1">
      <c r="B9" s="967" t="s">
        <v>618</v>
      </c>
      <c r="C9" s="968"/>
      <c r="D9" s="968"/>
      <c r="E9" s="969"/>
      <c r="I9" s="967" t="s">
        <v>617</v>
      </c>
      <c r="J9" s="968"/>
      <c r="K9" s="969"/>
      <c r="M9" s="967" t="s">
        <v>425</v>
      </c>
      <c r="N9" s="968"/>
      <c r="O9" s="969"/>
    </row>
    <row r="10" spans="2:15" ht="5.0999999999999996" customHeight="1"/>
    <row r="11" spans="2:15" ht="15" customHeight="1">
      <c r="B11" s="959" t="str">
        <f>DataH!AN3</f>
        <v>BEST Leading Indicator</v>
      </c>
      <c r="C11" s="960"/>
      <c r="D11" s="960"/>
      <c r="E11" s="960"/>
      <c r="F11" s="960"/>
      <c r="G11" s="961"/>
      <c r="H11" s="216"/>
      <c r="I11" s="959" t="s">
        <v>616</v>
      </c>
      <c r="J11" s="960"/>
      <c r="K11" s="961"/>
      <c r="L11" s="216"/>
      <c r="M11" s="959" t="str">
        <f>IF(Lang="English","% Difference", "% 差異" )</f>
        <v>% Difference</v>
      </c>
      <c r="N11" s="960"/>
      <c r="O11" s="961"/>
    </row>
    <row r="12" spans="2:15" ht="15" customHeight="1">
      <c r="B12" s="962"/>
      <c r="C12" s="963"/>
      <c r="D12" s="384"/>
      <c r="E12" s="384" t="str">
        <f>DataH!$DR$6&amp;"1 ("&amp;TEXT(DataH!$AU$8, "M/YY")&amp;")"</f>
        <v>FQ1 (#N/A Requesting Data...)</v>
      </c>
      <c r="F12" s="384" t="str">
        <f>DataH!$DR$6&amp;"2 ("&amp;TEXT(DataH!$AV$8, "M/YY")&amp;")"</f>
        <v>FQ2 (#N/A Requesting Data...)</v>
      </c>
      <c r="G12" s="385" t="str">
        <f>DataH!$DR$6&amp;"3 ("&amp;TEXT(DataH!$AX$8, "M/YY")&amp;")"</f>
        <v>FQ3 (#N/A Requesting Data...)</v>
      </c>
      <c r="H12" s="216"/>
      <c r="I12" s="386" t="str">
        <f>E12</f>
        <v>FQ1 (#N/A Requesting Data...)</v>
      </c>
      <c r="J12" s="384" t="str">
        <f>F12</f>
        <v>FQ2 (#N/A Requesting Data...)</v>
      </c>
      <c r="K12" s="385" t="str">
        <f>G12</f>
        <v>FQ3 (#N/A Requesting Data...)</v>
      </c>
      <c r="L12" s="216"/>
      <c r="M12" s="386" t="str">
        <f>E12</f>
        <v>FQ1 (#N/A Requesting Data...)</v>
      </c>
      <c r="N12" s="384" t="str">
        <f>F12</f>
        <v>FQ2 (#N/A Requesting Data...)</v>
      </c>
      <c r="O12" s="385" t="str">
        <f>G12</f>
        <v>FQ3 (#N/A Requesting Data...)</v>
      </c>
    </row>
    <row r="13" spans="2:15" ht="15" customHeight="1">
      <c r="B13" s="942" t="str">
        <f>IF(Lang="English","EPS (Adjusted)", IF(Lang="中文","EPS (已調整)","Best 予想EPS"))</f>
        <v>EPS (Adjusted)</v>
      </c>
      <c r="C13" s="943"/>
      <c r="D13" s="377" t="s">
        <v>514</v>
      </c>
      <c r="E13" s="387">
        <f>IF(ISERROR(VLOOKUP(DataH!$AN$3, DataH!$AT$3:$AV$157, 2, FALSE)*1), "", VLOOKUP(DataH!$AN$3, DataH!$AT$3:$AV$157, 2, FALSE))</f>
        <v>1.8880000000000001</v>
      </c>
      <c r="F13" s="387">
        <f>IF(ISERROR(VLOOKUP(DataH!$AN$3, DataH!$AT$3:$AV$157, 3, FALSE)*1), "", VLOOKUP(DataH!$AN$3, DataH!$AT$3:$AV$157, 3, FALSE))</f>
        <v>3.161</v>
      </c>
      <c r="G13" s="388">
        <f>IF(ISERROR(VLOOKUP(DataH!$AN$3, DataH!$AW$3:$AX$157, 2, FALSE)*1), "", VLOOKUP(DataH!$AN$3,DataH!$AW$3:$AX$157, 2, FALSE))</f>
        <v>2.4180000000000001</v>
      </c>
      <c r="H13" s="216"/>
      <c r="I13" s="389">
        <f>IF(ISERROR(VLOOKUP(DataH!$AQ$3, DataH!$AT$3:$AV$157, 2, FALSE)*1), "", VLOOKUP(DataH!$AQ$3, DataH!$AT$3:$AV$157, 2, FALSE))</f>
        <v>1.873</v>
      </c>
      <c r="J13" s="387">
        <f>IF(ISERROR(VLOOKUP(DataH!$AQ$3, DataH!$AT$3:$AV$157, 3, FALSE)*1), "", VLOOKUP(DataH!$AQ$3, DataH!$AT$3:$AV$157, 3, FALSE))</f>
        <v>3.1870000000000003</v>
      </c>
      <c r="K13" s="388">
        <f>IF(ISERROR(VLOOKUP(DataH!$AQ$3, DataH!$AW$3:$AX$157, 2, FALSE)*1), "", VLOOKUP(DataH!$AQ$3,DataH!$AW$3:$AX$157, 2, FALSE))</f>
        <v>2.4180000000000001</v>
      </c>
      <c r="L13" s="216"/>
      <c r="M13" s="390">
        <f>IF(ISERROR((E13-I13)/E13), "NA", (E13-I13)/E13)</f>
        <v>7.9449152542373537E-3</v>
      </c>
      <c r="N13" s="391">
        <f>IF(ISERROR((F13-J13)/F13), "NA", (F13-J13)/F13)</f>
        <v>-8.2252451755774267E-3</v>
      </c>
      <c r="O13" s="392">
        <f>IF(ISERROR((G13-K13)/G13), "NA", (G13-K13)/G13)</f>
        <v>0</v>
      </c>
    </row>
    <row r="14" spans="2:15" ht="15" customHeight="1">
      <c r="B14" s="862" t="str">
        <f>IF(Lang="English","EPS (GAAP)", IF(Lang="中文","EPS (GAAP)","Best 予想EPS GAAP"))</f>
        <v>EPS (GAAP)</v>
      </c>
      <c r="C14" s="768"/>
      <c r="D14" s="129" t="s">
        <v>560</v>
      </c>
      <c r="E14" s="393">
        <f>IF(ISERROR(VLOOKUP(DataH!$AN$3, DataH!$AY$3:$BA$157, 2, FALSE)*1), "", VLOOKUP(DataH!$AN$3, DataH!$AY$3:$BA$157, 2, FALSE))</f>
        <v>1.885</v>
      </c>
      <c r="F14" s="393">
        <f>IF(ISERROR(VLOOKUP(DataH!$AN$3, DataH!$AY$3:$BA$157, 3, FALSE)*1), "", VLOOKUP(DataH!$AN$3, DataH!$AY$3:$BA$157, 3, FALSE))</f>
        <v>3.1859999999999999</v>
      </c>
      <c r="G14" s="394">
        <f>IF(ISERROR(VLOOKUP(DataH!$AN$3, DataH!$BB$3:$BC$157, 2, FALSE)*1), "", VLOOKUP(DataH!$AN$3,DataH!$BB$3:$BC$157, 2, FALSE))</f>
        <v>2.4290000000000003</v>
      </c>
      <c r="H14" s="216"/>
      <c r="I14" s="395">
        <f>IF(ISERROR(VLOOKUP(DataH!$AQ$3, DataH!$AY$3:$BA$157, 2, FALSE)*1), "", VLOOKUP(DataH!$AQ$3, DataH!$AY$3:$BA$157, 2, FALSE))</f>
        <v>1.887</v>
      </c>
      <c r="J14" s="393">
        <f>IF(ISERROR(VLOOKUP(DataH!$AQ$3, DataH!$AY$3:$BA$157, 3, FALSE)*1), "", VLOOKUP(DataH!$AQ$3, DataH!$AY$3:$BA$157, 3, FALSE))</f>
        <v>3.1970000000000001</v>
      </c>
      <c r="K14" s="394">
        <f>IF(ISERROR(VLOOKUP(DataH!$AQ$3, DataH!$BB$3:$BC$157, 2, FALSE)*1), "", VLOOKUP(DataH!$AQ$3,DataH!$BB$3:$BC$157, 2, FALSE))</f>
        <v>2.44</v>
      </c>
      <c r="L14" s="216"/>
      <c r="M14" s="396">
        <f t="shared" ref="M14:M31" si="0">IF(ISERROR((E14-I14)/E14), "NA", (E14-I14)/E14)</f>
        <v>-1.0610079575596827E-3</v>
      </c>
      <c r="N14" s="397">
        <f t="shared" ref="N14:N31" si="1">IF(ISERROR((F14-J14)/F14), "NA", (F14-J14)/F14)</f>
        <v>-3.4526051475204395E-3</v>
      </c>
      <c r="O14" s="398">
        <f t="shared" ref="O14:O31" si="2">IF(ISERROR((G14-K14)/G14), "NA", (G14-K14)/G14)</f>
        <v>-4.5286125977767296E-3</v>
      </c>
    </row>
    <row r="15" spans="2:15" ht="15" customHeight="1">
      <c r="B15" s="910" t="str">
        <f>IF(Lang="English","", "" )</f>
        <v/>
      </c>
      <c r="C15" s="765"/>
      <c r="D15" s="126"/>
      <c r="E15" s="208"/>
      <c r="F15" s="208"/>
      <c r="G15" s="323"/>
      <c r="H15" s="216"/>
      <c r="I15" s="324"/>
      <c r="J15" s="208"/>
      <c r="K15" s="323"/>
      <c r="L15" s="216"/>
      <c r="M15" s="399"/>
      <c r="N15" s="400"/>
      <c r="O15" s="401"/>
    </row>
    <row r="16" spans="2:15" ht="15" customHeight="1">
      <c r="B16" s="862" t="str">
        <f>IF(Lang="English","Sales", IF(Lang="中文","銷售額","Best 予想売上高"))</f>
        <v>Sales</v>
      </c>
      <c r="C16" s="768"/>
      <c r="D16" s="129" t="s">
        <v>516</v>
      </c>
      <c r="E16" s="344">
        <f>IF(ISERROR(VLOOKUP(DataH!$AN$3, DataH!$BD$3:$BF$157, 2, FALSE)*1), "", VLOOKUP(DataH!$AN$3, DataH!$BD$3:$BF$157, 2, FALSE))</f>
        <v>51105.769</v>
      </c>
      <c r="F16" s="344">
        <f>IF(ISERROR(VLOOKUP(DataH!$AN$3, DataH!$BD$3:$BF$157, 3, FALSE)*1), "", VLOOKUP(DataH!$AN$3, DataH!$BD$3:$BF$157, 3, FALSE))</f>
        <v>76186.817999999999</v>
      </c>
      <c r="G16" s="402">
        <f>IF(ISERROR(VLOOKUP(DataH!$AN$3, DataH!$BG$3:$BH$157, 2, FALSE)*1), "", VLOOKUP(DataH!$AN$3,DataH!$BG$3:$BH$157, 2, FALSE))</f>
        <v>60613.091</v>
      </c>
      <c r="H16" s="216"/>
      <c r="I16" s="403">
        <f>IF(ISERROR(VLOOKUP(DataH!$AQ$3, DataH!$BD$3:$BF$157, 2, FALSE)*1), "", VLOOKUP(DataH!$AQ$3, DataH!$BD$3:$BF$157, 2, FALSE))</f>
        <v>50906.222000000002</v>
      </c>
      <c r="J16" s="344">
        <f>IF(ISERROR(VLOOKUP(DataH!$AQ$3, DataH!$BD$3:$BF$157, 3, FALSE)*1), "", VLOOKUP(DataH!$AQ$3, DataH!$BD$3:$BF$157, 3, FALSE))</f>
        <v>76599.5</v>
      </c>
      <c r="K16" s="402">
        <f>IF(ISERROR(VLOOKUP(DataH!$AQ$3, DataH!$BG$3:$BH$157, 2, FALSE)*1), "", VLOOKUP(DataH!$AQ$3,DataH!$BG$3:$BH$157, 2, FALSE))</f>
        <v>60505.967000000004</v>
      </c>
      <c r="L16" s="216"/>
      <c r="M16" s="396">
        <f t="shared" si="0"/>
        <v>3.9045885406792072E-3</v>
      </c>
      <c r="N16" s="397">
        <f t="shared" si="1"/>
        <v>-5.4167113266234681E-3</v>
      </c>
      <c r="O16" s="398">
        <f t="shared" si="2"/>
        <v>1.767340985794573E-3</v>
      </c>
    </row>
    <row r="17" spans="2:15" ht="15" customHeight="1">
      <c r="B17" s="910" t="str">
        <f>IF(Lang="English","Operating Income", IF(Lang="中文","營業淨利","Best 予想営業利益"))</f>
        <v>Operating Income</v>
      </c>
      <c r="C17" s="765"/>
      <c r="D17" s="126" t="s">
        <v>521</v>
      </c>
      <c r="E17" s="342">
        <f>IF(ISERROR(VLOOKUP(DataH!$AN$3, DataH!$BI$3:$BK$157, 2, FALSE)*1), "", VLOOKUP(DataH!$AN$3, DataH!$BI$3:$BK$157, 2, FALSE))</f>
        <v>14241.222</v>
      </c>
      <c r="F17" s="342">
        <f>IF(ISERROR(VLOOKUP(DataH!$AN$3, DataH!$BI$3:$BK$157, 3, FALSE)*1), "", VLOOKUP(DataH!$AN$3, DataH!$BI$3:$BK$157, 3, FALSE))</f>
        <v>23877</v>
      </c>
      <c r="G17" s="404">
        <f>IF(ISERROR(VLOOKUP(DataH!$AN$3, DataH!$BL$3:$BM$157, 2, FALSE)*1), "", VLOOKUP(DataH!$AN$3,DataH!$BL$3:$BM$157, 2, FALSE))</f>
        <v>18173.125</v>
      </c>
      <c r="H17" s="216"/>
      <c r="I17" s="405">
        <f>IF(ISERROR(VLOOKUP(DataH!$AQ$3, DataH!$BI$3:$BK$157, 2, FALSE)*1), "", VLOOKUP(DataH!$AQ$3, DataH!$BI$3:$BK$157, 2, FALSE))</f>
        <v>14084.1</v>
      </c>
      <c r="J17" s="342">
        <f>IF(ISERROR(VLOOKUP(DataH!$AQ$3, DataH!$BI$3:$BK$157, 3, FALSE)*1), "", VLOOKUP(DataH!$AQ$3, DataH!$BI$3:$BK$157, 3, FALSE))</f>
        <v>24339.25</v>
      </c>
      <c r="K17" s="404">
        <f>IF(ISERROR(VLOOKUP(DataH!$AQ$3, DataH!$BL$3:$BM$157, 2, FALSE)*1), "", VLOOKUP(DataH!$AQ$3,DataH!$BL$3:$BM$157, 2, FALSE))</f>
        <v>18113.167000000001</v>
      </c>
      <c r="L17" s="216"/>
      <c r="M17" s="399">
        <f t="shared" si="0"/>
        <v>1.1032901530500641E-2</v>
      </c>
      <c r="N17" s="400">
        <f t="shared" si="1"/>
        <v>-1.9359634794990997E-2</v>
      </c>
      <c r="O17" s="401">
        <f t="shared" si="2"/>
        <v>3.2992674622553202E-3</v>
      </c>
    </row>
    <row r="18" spans="2:15" ht="15" customHeight="1">
      <c r="B18" s="862" t="str">
        <f>IF(Lang="English","EBITDA", IF(Lang="中文","EBITDA","Best 予想EBITDA"))</f>
        <v>EBITDA</v>
      </c>
      <c r="C18" s="768"/>
      <c r="D18" s="129" t="s">
        <v>517</v>
      </c>
      <c r="E18" s="344">
        <f>IF(ISERROR(VLOOKUP(DataH!$AN$3, DataH!$BN$3:$BP$157, 2, FALSE)*1), "", VLOOKUP(DataH!$AN$3, DataH!$BN$3:$BP$157, 2, FALSE))</f>
        <v>17287.5</v>
      </c>
      <c r="F18" s="344">
        <f>IF(ISERROR(VLOOKUP(DataH!$AN$3, DataH!$BN$3:$BP$157, 3, FALSE)*1), "", VLOOKUP(DataH!$AN$3, DataH!$BN$3:$BP$157, 3, FALSE))</f>
        <v>26862.5</v>
      </c>
      <c r="G18" s="402">
        <f>IF(ISERROR(VLOOKUP(DataH!$AN$3, DataH!$BQ$3:$BR$157, 2, FALSE)*1), "", VLOOKUP(DataH!$AN$3,DataH!$BQ$3:$BR$157, 2, FALSE))</f>
        <v>21171</v>
      </c>
      <c r="H18" s="216"/>
      <c r="I18" s="403">
        <f>IF(ISERROR(VLOOKUP(DataH!$AQ$3, DataH!$BN$3:$BP$157, 2, FALSE)*1), "", VLOOKUP(DataH!$AQ$3, DataH!$BN$3:$BP$157, 2, FALSE))</f>
        <v>16882.143</v>
      </c>
      <c r="J18" s="344">
        <f>IF(ISERROR(VLOOKUP(DataH!$AQ$3, DataH!$BN$3:$BP$157, 3, FALSE)*1), "", VLOOKUP(DataH!$AQ$3, DataH!$BN$3:$BP$157, 3, FALSE))</f>
        <v>27325.429</v>
      </c>
      <c r="K18" s="402">
        <f>IF(ISERROR(VLOOKUP(DataH!$AQ$3, DataH!$BQ$3:$BR$157, 2, FALSE)*1), "", VLOOKUP(DataH!$AQ$3,DataH!$BQ$3:$BR$157, 2, FALSE))</f>
        <v>21124.5</v>
      </c>
      <c r="L18" s="216"/>
      <c r="M18" s="396">
        <f t="shared" si="0"/>
        <v>2.3447982646420822E-2</v>
      </c>
      <c r="N18" s="397">
        <f t="shared" si="1"/>
        <v>-1.7233280595625875E-2</v>
      </c>
      <c r="O18" s="398">
        <f t="shared" si="2"/>
        <v>2.1964007368570214E-3</v>
      </c>
    </row>
    <row r="19" spans="2:15" ht="15" customHeight="1">
      <c r="B19" s="910" t="str">
        <f>IF(Lang="English","EBIT", IF(Lang="中文","EBIT","Best 予想EBIT"))</f>
        <v>EBIT</v>
      </c>
      <c r="C19" s="765"/>
      <c r="D19" s="126" t="s">
        <v>561</v>
      </c>
      <c r="E19" s="342">
        <f>IF(ISERROR(VLOOKUP(DataH!$AN$3, DataH!$BS$3:$BU$157, 2, FALSE)*1), "", VLOOKUP(DataH!$AN$3, DataH!$BS$3:$BU$157, 2, FALSE))</f>
        <v>14186</v>
      </c>
      <c r="F19" s="342">
        <f>IF(ISERROR(VLOOKUP(DataH!$AN$3, DataH!$BS$3:$BU$157, 3, FALSE)*1), "", VLOOKUP(DataH!$AN$3, DataH!$BS$3:$BU$157, 3, FALSE))</f>
        <v>25007</v>
      </c>
      <c r="G19" s="404">
        <f>IF(ISERROR(VLOOKUP(DataH!$AN$3, DataH!$BV$3:$BW$157, 2, FALSE)*1), "", VLOOKUP(DataH!$AN$3,DataH!$BV$3:$BW$157, 2, FALSE))</f>
        <v>18876.332999999999</v>
      </c>
      <c r="H19" s="216"/>
      <c r="I19" s="405">
        <f>IF(ISERROR(VLOOKUP(DataH!$AQ$3, DataH!$BS$3:$BU$157, 2, FALSE)*1), "", VLOOKUP(DataH!$AQ$3, DataH!$BS$3:$BU$157, 2, FALSE))</f>
        <v>14053.6</v>
      </c>
      <c r="J19" s="342">
        <f>IF(ISERROR(VLOOKUP(DataH!$AQ$3, DataH!$BS$3:$BU$157, 3, FALSE)*1), "", VLOOKUP(DataH!$AQ$3, DataH!$BS$3:$BU$157, 3, FALSE))</f>
        <v>23956.5</v>
      </c>
      <c r="K19" s="404">
        <f>IF(ISERROR(VLOOKUP(DataH!$AQ$3, DataH!$BV$3:$BW$157, 2, FALSE)*1), "", VLOOKUP(DataH!$AQ$3,DataH!$BV$3:$BW$157, 2, FALSE))</f>
        <v>17953</v>
      </c>
      <c r="L19" s="216"/>
      <c r="M19" s="399">
        <f t="shared" si="0"/>
        <v>9.3331453545749069E-3</v>
      </c>
      <c r="N19" s="400">
        <f t="shared" si="1"/>
        <v>4.2008237693445832E-2</v>
      </c>
      <c r="O19" s="401">
        <f t="shared" si="2"/>
        <v>4.8914850145947243E-2</v>
      </c>
    </row>
    <row r="20" spans="2:15" ht="15" customHeight="1">
      <c r="B20" s="862" t="str">
        <f>IF(Lang="English","CAPEX", IF(Lang="中文","資本支出","Best 資本的支出"))</f>
        <v>CAPEX</v>
      </c>
      <c r="C20" s="768"/>
      <c r="D20" s="129" t="s">
        <v>524</v>
      </c>
      <c r="E20" s="344">
        <f>IF(ISERROR(VLOOKUP(DataH!$AN$3, DataH!$BX$3:$BZ$157, 2, FALSE)*1), "", VLOOKUP(DataH!$AN$3, DataH!$BX$3:$BZ$157, 2, FALSE))</f>
        <v>-3193.5</v>
      </c>
      <c r="F20" s="344">
        <f>IF(ISERROR(VLOOKUP(DataH!$AN$3, DataH!$BX$3:$BZ$157, 3, FALSE)*1), "", VLOOKUP(DataH!$AN$3, DataH!$BX$3:$BZ$157, 3, FALSE))</f>
        <v>-3141.5</v>
      </c>
      <c r="G20" s="402">
        <f>IF(ISERROR(VLOOKUP(DataH!$AN$3, DataH!$CA$3:$CB$157, 2, FALSE)*1), "", VLOOKUP(DataH!$AN$3,DataH!$CA$3:$CB$157, 2, FALSE))</f>
        <v>-2650.5</v>
      </c>
      <c r="H20" s="216"/>
      <c r="I20" s="403">
        <f>IF(ISERROR(VLOOKUP(DataH!$AQ$3, DataH!$BX$3:$BZ$157, 2, FALSE)*1), "", VLOOKUP(DataH!$AQ$3, DataH!$BX$3:$BZ$157, 2, FALSE))</f>
        <v>-3566.2730000000001</v>
      </c>
      <c r="J20" s="344">
        <f>IF(ISERROR(VLOOKUP(DataH!$AQ$3, DataH!$BX$3:$BZ$157, 3, FALSE)*1), "", VLOOKUP(DataH!$AQ$3, DataH!$BX$3:$BZ$157, 3, FALSE))</f>
        <v>-3481</v>
      </c>
      <c r="K20" s="402">
        <f>IF(ISERROR(VLOOKUP(DataH!$AQ$3, DataH!$CA$3:$CB$157, 2, FALSE)*1), "", VLOOKUP(DataH!$AQ$3,DataH!$CA$3:$CB$157, 2, FALSE))</f>
        <v>-2872.75</v>
      </c>
      <c r="L20" s="216"/>
      <c r="M20" s="396">
        <f t="shared" si="0"/>
        <v>-0.11672866760607488</v>
      </c>
      <c r="N20" s="397">
        <f t="shared" si="1"/>
        <v>-0.10806939360178258</v>
      </c>
      <c r="O20" s="398">
        <f t="shared" si="2"/>
        <v>-8.3852103376721374E-2</v>
      </c>
    </row>
    <row r="21" spans="2:15" ht="15" customHeight="1">
      <c r="B21" s="910" t="str">
        <f>IF(Lang="English","", "" )</f>
        <v/>
      </c>
      <c r="C21" s="765"/>
      <c r="D21" s="126"/>
      <c r="E21" s="342"/>
      <c r="F21" s="342"/>
      <c r="G21" s="404"/>
      <c r="H21" s="216"/>
      <c r="I21" s="405"/>
      <c r="J21" s="342"/>
      <c r="K21" s="404"/>
      <c r="L21" s="216"/>
      <c r="M21" s="399"/>
      <c r="N21" s="400"/>
      <c r="O21" s="401"/>
    </row>
    <row r="22" spans="2:15" ht="15" customHeight="1">
      <c r="B22" s="862" t="str">
        <f>IF(Lang="English","Net Income (Adjusted)", IF(Lang="中文","淨利 (已调整)","Best 予想純利益"))</f>
        <v>Net Income (Adjusted)</v>
      </c>
      <c r="C22" s="768"/>
      <c r="D22" s="129" t="s">
        <v>519</v>
      </c>
      <c r="E22" s="344">
        <f>IF(ISERROR(VLOOKUP(DataH!$AN$3, DataH!$CC$3:$CE$157, 2, FALSE)*1), "", VLOOKUP(DataH!$AN$3, DataH!$CC$3:$CE$157, 2, FALSE))</f>
        <v>10795.818000000001</v>
      </c>
      <c r="F22" s="344">
        <f>IF(ISERROR(VLOOKUP(DataH!$AN$3, DataH!$CC$3:$CE$157, 3, FALSE)*1), "", VLOOKUP(DataH!$AN$3, DataH!$CC$3:$CE$157, 3, FALSE))</f>
        <v>17871.3</v>
      </c>
      <c r="G22" s="402">
        <f>IF(ISERROR(VLOOKUP(DataH!$AN$3, DataH!$CF$3:$CG$157, 2, FALSE)*1), "", VLOOKUP(DataH!$AN$3,DataH!$CF$3:$CG$157, 2, FALSE))</f>
        <v>13548.4</v>
      </c>
      <c r="H22" s="216"/>
      <c r="I22" s="403">
        <f>IF(ISERROR(VLOOKUP(DataH!$AQ$3, DataH!$CC$3:$CE$157, 2, FALSE)*1), "", VLOOKUP(DataH!$AQ$3, DataH!$CC$3:$CE$157, 2, FALSE))</f>
        <v>10712</v>
      </c>
      <c r="J22" s="344">
        <f>IF(ISERROR(VLOOKUP(DataH!$AQ$3, DataH!$CC$3:$CE$157, 3, FALSE)*1), "", VLOOKUP(DataH!$AQ$3, DataH!$CC$3:$CE$157, 3, FALSE))</f>
        <v>18062.814999999999</v>
      </c>
      <c r="K22" s="402">
        <f>IF(ISERROR(VLOOKUP(DataH!$AQ$3, DataH!$CF$3:$CG$157, 2, FALSE)*1), "", VLOOKUP(DataH!$AQ$3,DataH!$CF$3:$CG$157, 2, FALSE))</f>
        <v>13462.963</v>
      </c>
      <c r="L22" s="216"/>
      <c r="M22" s="396">
        <f t="shared" si="0"/>
        <v>7.7639322930417231E-3</v>
      </c>
      <c r="N22" s="397">
        <f t="shared" si="1"/>
        <v>-1.0716344082411433E-2</v>
      </c>
      <c r="O22" s="398">
        <f t="shared" si="2"/>
        <v>6.3060582799444875E-3</v>
      </c>
    </row>
    <row r="23" spans="2:15" ht="15" customHeight="1">
      <c r="B23" s="910" t="str">
        <f>IF(Lang="English","Net Income (GAAP)", IF(Lang="中文","淨利 (GAAP)","Best 予想純益 GAAP"))</f>
        <v>Net Income (GAAP)</v>
      </c>
      <c r="C23" s="765"/>
      <c r="D23" s="126" t="s">
        <v>523</v>
      </c>
      <c r="E23" s="342">
        <f>IF(ISERROR(VLOOKUP(DataH!$AN$3, DataH!$CH$3:$CJ$157, 2, FALSE)*1), "", VLOOKUP(DataH!$AN$3, DataH!$CH$3:$CJ$157, 2, FALSE))</f>
        <v>10853.182000000001</v>
      </c>
      <c r="F23" s="342">
        <f>IF(ISERROR(VLOOKUP(DataH!$AN$3, DataH!$CH$3:$CJ$157, 3, FALSE)*1), "", VLOOKUP(DataH!$AN$3, DataH!$CH$3:$CJ$157, 3, FALSE))</f>
        <v>17942.2</v>
      </c>
      <c r="G23" s="404">
        <f>IF(ISERROR(VLOOKUP(DataH!$AN$3, DataH!$CK$3:$CL$157, 2, FALSE)*1), "", VLOOKUP(DataH!$AN$3,DataH!$CK$3:$CL$157, 2, FALSE))</f>
        <v>13619.300000000001</v>
      </c>
      <c r="H23" s="216"/>
      <c r="I23" s="405">
        <f>IF(ISERROR(VLOOKUP(DataH!$AQ$3, DataH!$CH$3:$CJ$157, 2, FALSE)*1), "", VLOOKUP(DataH!$AQ$3, DataH!$CH$3:$CJ$157, 2, FALSE))</f>
        <v>10725.485000000001</v>
      </c>
      <c r="J23" s="342">
        <f>IF(ISERROR(VLOOKUP(DataH!$AQ$3, DataH!$CH$3:$CJ$157, 3, FALSE)*1), "", VLOOKUP(DataH!$AQ$3, DataH!$CH$3:$CJ$157, 3, FALSE))</f>
        <v>18026.385000000002</v>
      </c>
      <c r="K23" s="404">
        <f>IF(ISERROR(VLOOKUP(DataH!$AQ$3, DataH!$CK$3:$CL$157, 2, FALSE)*1), "", VLOOKUP(DataH!$AQ$3,DataH!$CK$3:$CL$157, 2, FALSE))</f>
        <v>13482.308000000001</v>
      </c>
      <c r="L23" s="216"/>
      <c r="M23" s="399">
        <f t="shared" si="0"/>
        <v>1.1765858160307282E-2</v>
      </c>
      <c r="N23" s="400">
        <f t="shared" si="1"/>
        <v>-4.692011013142274E-3</v>
      </c>
      <c r="O23" s="401">
        <f t="shared" si="2"/>
        <v>1.0058666744986906E-2</v>
      </c>
    </row>
    <row r="24" spans="2:15" ht="15" customHeight="1">
      <c r="B24" s="862" t="str">
        <f>IF(Lang="English","", "" )</f>
        <v/>
      </c>
      <c r="C24" s="768"/>
      <c r="D24" s="129"/>
      <c r="E24" s="205"/>
      <c r="F24" s="205"/>
      <c r="G24" s="160"/>
      <c r="H24" s="216"/>
      <c r="I24" s="320"/>
      <c r="J24" s="205"/>
      <c r="K24" s="160"/>
      <c r="L24" s="216"/>
      <c r="M24" s="396"/>
      <c r="N24" s="397"/>
      <c r="O24" s="398"/>
    </row>
    <row r="25" spans="2:15" ht="15" customHeight="1">
      <c r="B25" s="910" t="str">
        <f>IF(Lang="English","Cash Flow Per Share", IF(Lang="中文","每股現金流量","BEst 予想1株当りｷｬｯｼｭﾌﾛｰ"))</f>
        <v>Cash Flow Per Share</v>
      </c>
      <c r="C25" s="765"/>
      <c r="D25" s="126" t="s">
        <v>562</v>
      </c>
      <c r="E25" s="406">
        <f>IF(ISERROR(VLOOKUP(DataH!$AN$3, DataH!$CM$3:$CO$157, 2, FALSE)*1), "", VLOOKUP(DataH!$AN$3, DataH!$CM$3:$CO$157, 2, FALSE))</f>
        <v>2.33</v>
      </c>
      <c r="F25" s="406">
        <f>IF(ISERROR(VLOOKUP(DataH!$AN$3, DataH!$CM$3:$CO$157, 3, FALSE)*1), "", VLOOKUP(DataH!$AN$3, DataH!$CM$3:$CO$157, 3, FALSE))</f>
        <v>5.0350000000000001</v>
      </c>
      <c r="G25" s="407">
        <f>IF(ISERROR(VLOOKUP(DataH!$AN$3, DataH!$CP$3:$CQ$157, 2, FALSE)*1), "", VLOOKUP(DataH!$AN$3,DataH!$CP$3:$CQ$157, 2, FALSE))</f>
        <v>2.86</v>
      </c>
      <c r="H25" s="216"/>
      <c r="I25" s="408">
        <f>IF(ISERROR(VLOOKUP(DataH!$AQ$3, DataH!$CM$3:$CO$157, 2, FALSE)*1), "", VLOOKUP(DataH!$AQ$3, DataH!$CM$3:$CO$157, 2, FALSE))</f>
        <v>2.427</v>
      </c>
      <c r="J25" s="406">
        <f>IF(ISERROR(VLOOKUP(DataH!$AQ$3, DataH!$CM$3:$CO$157, 3, FALSE)*1), "", VLOOKUP(DataH!$AQ$3, DataH!$CM$3:$CO$157, 3, FALSE))</f>
        <v>4.05</v>
      </c>
      <c r="K25" s="407">
        <f>IF(ISERROR(VLOOKUP(DataH!$AQ$3, DataH!$CP$3:$CQ$157, 2, FALSE)*1), "", VLOOKUP(DataH!$AQ$3,DataH!$CP$3:$CQ$157, 2, FALSE))</f>
        <v>3.637</v>
      </c>
      <c r="L25" s="216"/>
      <c r="M25" s="399">
        <f t="shared" si="0"/>
        <v>-4.1630901287553639E-2</v>
      </c>
      <c r="N25" s="400">
        <f t="shared" si="1"/>
        <v>0.1956305858987091</v>
      </c>
      <c r="O25" s="401">
        <f t="shared" si="2"/>
        <v>-0.27167832167832173</v>
      </c>
    </row>
    <row r="26" spans="2:15" ht="15" customHeight="1">
      <c r="B26" s="862" t="str">
        <f>IF(Lang="English","Dividends Per Share", IF(Lang="中文","每股股利","BEst 予想1株当り配当"))</f>
        <v>Dividends Per Share</v>
      </c>
      <c r="C26" s="768"/>
      <c r="D26" s="129" t="s">
        <v>515</v>
      </c>
      <c r="E26" s="393">
        <f>IF(ISERROR(VLOOKUP(DataH!$AN$3, DataH!$CR$3:$CT$157, 2, FALSE)*1), "", VLOOKUP(DataH!$AN$3, DataH!$CR$3:$CT$157, 2, FALSE))</f>
        <v>0.503</v>
      </c>
      <c r="F26" s="393">
        <f>IF(ISERROR(VLOOKUP(DataH!$AN$3, DataH!$CR$3:$CT$157, 3, FALSE)*1), "", VLOOKUP(DataH!$AN$3, DataH!$CR$3:$CT$157, 3, FALSE))</f>
        <v>0.503</v>
      </c>
      <c r="G26" s="394">
        <f>IF(ISERROR(VLOOKUP(DataH!$AN$3, DataH!$CU$3:$CV$157, 2, FALSE)*1), "", VLOOKUP(DataH!$AN$3,DataH!$CU$3:$CV$157, 2, FALSE))</f>
        <v>0.503</v>
      </c>
      <c r="H26" s="216"/>
      <c r="I26" s="395">
        <f>IF(ISERROR(VLOOKUP(DataH!$AQ$3, DataH!$CR$3:$CT$157, 2, FALSE)*1), "", VLOOKUP(DataH!$AQ$3, DataH!$CR$3:$CT$157, 2, FALSE))</f>
        <v>0.51400000000000001</v>
      </c>
      <c r="J26" s="393">
        <f>IF(ISERROR(VLOOKUP(DataH!$AQ$3, DataH!$CR$3:$CT$157, 3, FALSE)*1), "", VLOOKUP(DataH!$AQ$3, DataH!$CR$3:$CT$157, 3, FALSE))</f>
        <v>0.51300000000000001</v>
      </c>
      <c r="K26" s="394">
        <f>IF(ISERROR(VLOOKUP(DataH!$AQ$3, DataH!$CU$3:$CV$157, 2, FALSE)*1), "", VLOOKUP(DataH!$AQ$3,DataH!$CU$3:$CV$157, 2, FALSE))</f>
        <v>0.51300000000000001</v>
      </c>
      <c r="L26" s="216"/>
      <c r="M26" s="396">
        <f t="shared" si="0"/>
        <v>-2.1868787276341967E-2</v>
      </c>
      <c r="N26" s="397">
        <f t="shared" si="1"/>
        <v>-1.9880715705765425E-2</v>
      </c>
      <c r="O26" s="398">
        <f t="shared" si="2"/>
        <v>-1.9880715705765425E-2</v>
      </c>
    </row>
    <row r="27" spans="2:15" ht="15" customHeight="1">
      <c r="B27" s="910" t="str">
        <f>IF(Lang="English","Book Value per Share", IF(Lang="中文","每股帳面價值","BEst 予想1株当り純資産額"))</f>
        <v>Book Value per Share</v>
      </c>
      <c r="C27" s="765"/>
      <c r="D27" s="126" t="s">
        <v>522</v>
      </c>
      <c r="E27" s="406">
        <f>IF(ISERROR(VLOOKUP(DataH!$AN$3, DataH!$CW$3:$CY$157, 2, FALSE)*1), "", VLOOKUP(DataH!$AN$3, DataH!$CW$3:$CY$157, 2, FALSE))</f>
        <v>22.7</v>
      </c>
      <c r="F27" s="406">
        <f>IF(ISERROR(VLOOKUP(DataH!$AN$3, DataH!$CW$3:$CY$157, 3, FALSE)*1), "", VLOOKUP(DataH!$AN$3, DataH!$CW$3:$CY$157, 3, FALSE))</f>
        <v>25.234999999999999</v>
      </c>
      <c r="G27" s="407">
        <f>IF(ISERROR(VLOOKUP(DataH!$AN$3, DataH!$CZ$3:$DA$157, 2, FALSE)*1), "", VLOOKUP(DataH!$AN$3,DataH!$CZ$3:$DA$157, 2, FALSE))</f>
        <v>26.765000000000001</v>
      </c>
      <c r="H27" s="216"/>
      <c r="I27" s="408">
        <f>IF(ISERROR(VLOOKUP(DataH!$AQ$3, DataH!$CW$3:$CY$157, 2, FALSE)*1), "", VLOOKUP(DataH!$AQ$3, DataH!$CW$3:$CY$157, 2, FALSE))</f>
        <v>22.634</v>
      </c>
      <c r="J27" s="406">
        <f>IF(ISERROR(VLOOKUP(DataH!$AQ$3, DataH!$CW$3:$CY$157, 3, FALSE)*1), "", VLOOKUP(DataH!$AQ$3, DataH!$CW$3:$CY$157, 3, FALSE))</f>
        <v>24.66</v>
      </c>
      <c r="K27" s="407">
        <f>IF(ISERROR(VLOOKUP(DataH!$AQ$3, DataH!$CZ$3:$DA$157, 2, FALSE)*1), "", VLOOKUP(DataH!$AQ$3,DataH!$CZ$3:$DA$157, 2, FALSE))</f>
        <v>25.756</v>
      </c>
      <c r="L27" s="216"/>
      <c r="M27" s="399">
        <f t="shared" si="0"/>
        <v>2.9074889867840947E-3</v>
      </c>
      <c r="N27" s="400">
        <f t="shared" si="1"/>
        <v>2.2785813354467974E-2</v>
      </c>
      <c r="O27" s="401">
        <f t="shared" si="2"/>
        <v>3.7698486829815067E-2</v>
      </c>
    </row>
    <row r="28" spans="2:15" ht="15" customHeight="1">
      <c r="B28" s="862" t="str">
        <f>IF(Lang="English","", "" )</f>
        <v/>
      </c>
      <c r="C28" s="768"/>
      <c r="D28" s="129"/>
      <c r="E28" s="393"/>
      <c r="F28" s="393"/>
      <c r="G28" s="394"/>
      <c r="H28" s="216"/>
      <c r="I28" s="395"/>
      <c r="J28" s="393"/>
      <c r="K28" s="394"/>
      <c r="L28" s="216"/>
      <c r="M28" s="396"/>
      <c r="N28" s="397"/>
      <c r="O28" s="398"/>
    </row>
    <row r="29" spans="2:15" ht="15" customHeight="1">
      <c r="B29" s="910" t="str">
        <f>IF(Lang="English","Return on Equity", IF(Lang="中文","股本回報率","BEst 予想株主資本利益率(ROE) "))</f>
        <v>Return on Equity</v>
      </c>
      <c r="C29" s="765"/>
      <c r="D29" s="126" t="s">
        <v>412</v>
      </c>
      <c r="E29" s="406" t="str">
        <f>IF(ISERROR(VLOOKUP(DataH!$AN$3, DataH!$DB$3:$DD$157, 2, FALSE)*1), "", VLOOKUP(DataH!$AN$3, DataH!$DB$3:$DD$157, 2, FALSE))</f>
        <v/>
      </c>
      <c r="F29" s="406" t="str">
        <f>IF(ISERROR(VLOOKUP(DataH!$AN$3, DataH!$DB$3:$DD$157, 3, FALSE)*1), "", VLOOKUP(DataH!$AN$3, DataH!$DB$3:$DD$157, 3, FALSE))</f>
        <v/>
      </c>
      <c r="G29" s="407" t="str">
        <f>IF(ISERROR(VLOOKUP(DataH!$AN$3, DataH!$DE$3:$DF$157, 2, FALSE)*1), "", VLOOKUP(DataH!$AN$3,DataH!$DE$3:$DF$157, 2, FALSE))</f>
        <v/>
      </c>
      <c r="H29" s="216"/>
      <c r="I29" s="408">
        <f>IF(ISERROR(VLOOKUP(DataH!$AQ$3, DataH!$DB$3:$DD$157, 2, FALSE)*1), "", VLOOKUP(DataH!$AQ$3, DataH!$DB$3:$DD$157, 2, FALSE))</f>
        <v>33.1</v>
      </c>
      <c r="J29" s="406">
        <f>IF(ISERROR(VLOOKUP(DataH!$AQ$3, DataH!$DB$3:$DD$157, 3, FALSE)*1), "", VLOOKUP(DataH!$AQ$3, DataH!$DB$3:$DD$157, 3, FALSE))</f>
        <v>50.1</v>
      </c>
      <c r="K29" s="407">
        <f>IF(ISERROR(VLOOKUP(DataH!$AQ$3, DataH!$DE$3:$DF$157, 2, FALSE)*1), "", VLOOKUP(DataH!$AQ$3,DataH!$DE$3:$DF$157, 2, FALSE))</f>
        <v>36.9</v>
      </c>
      <c r="L29" s="216"/>
      <c r="M29" s="399" t="str">
        <f t="shared" si="0"/>
        <v>NA</v>
      </c>
      <c r="N29" s="400" t="str">
        <f t="shared" si="1"/>
        <v>NA</v>
      </c>
      <c r="O29" s="401" t="str">
        <f t="shared" si="2"/>
        <v>NA</v>
      </c>
    </row>
    <row r="30" spans="2:15" ht="15" customHeight="1">
      <c r="B30" s="862" t="str">
        <f>IF(Lang="English","Return on Assets", IF(Lang="中文","資產報酬率","BEst 予想総資産利益率"))</f>
        <v>Return on Assets</v>
      </c>
      <c r="C30" s="768"/>
      <c r="D30" s="129" t="s">
        <v>411</v>
      </c>
      <c r="E30" s="393" t="str">
        <f>IF(ISERROR(VLOOKUP(DataH!$AN$3, DataH!$DG$3:$DI$157, 2, FALSE)*1), "", VLOOKUP(DataH!$AN$3, DataH!$DG$3:$DI$157, 2, FALSE))</f>
        <v/>
      </c>
      <c r="F30" s="393" t="str">
        <f>IF(ISERROR(VLOOKUP(DataH!$AN$3, DataH!$DG$3:$DI$157, 3, FALSE)*1), "", VLOOKUP(DataH!$AN$3, DataH!$DG$3:$DI$157, 3, FALSE))</f>
        <v/>
      </c>
      <c r="G30" s="394" t="str">
        <f>IF(ISERROR(VLOOKUP(DataH!$AN$3, DataH!$DJ$3:$DK$157, 2, FALSE)*1), "", VLOOKUP(DataH!$AN$3,DataH!$DJ$3:$DK$157, 2, FALSE))</f>
        <v/>
      </c>
      <c r="H30" s="216"/>
      <c r="I30" s="395">
        <f>IF(ISERROR(VLOOKUP(DataH!$AQ$3, DataH!$DG$3:$DI$157, 2, FALSE)*1), "", VLOOKUP(DataH!$AQ$3, DataH!$DG$3:$DI$157, 2, FALSE))</f>
        <v>15.167</v>
      </c>
      <c r="J30" s="393">
        <f>IF(ISERROR(VLOOKUP(DataH!$AQ$3, DataH!$DG$3:$DI$157, 3, FALSE)*1), "", VLOOKUP(DataH!$AQ$3, DataH!$DG$3:$DI$157, 3, FALSE))</f>
        <v>21</v>
      </c>
      <c r="K30" s="394">
        <f>IF(ISERROR(VLOOKUP(DataH!$AQ$3, DataH!$DJ$3:$DK$157, 2, FALSE)*1), "", VLOOKUP(DataH!$AQ$3,DataH!$DJ$3:$DK$157, 2, FALSE))</f>
        <v>15.4</v>
      </c>
      <c r="L30" s="216"/>
      <c r="M30" s="396" t="str">
        <f t="shared" si="0"/>
        <v>NA</v>
      </c>
      <c r="N30" s="397" t="str">
        <f t="shared" si="1"/>
        <v>NA</v>
      </c>
      <c r="O30" s="398" t="str">
        <f t="shared" si="2"/>
        <v>NA</v>
      </c>
    </row>
    <row r="31" spans="2:15" ht="15" customHeight="1">
      <c r="B31" s="910" t="str">
        <f>IF(Lang="English","Net Debt", IF(Lang="中文","淨債務","純債務"))</f>
        <v>Net Debt</v>
      </c>
      <c r="C31" s="765"/>
      <c r="D31" s="126" t="s">
        <v>563</v>
      </c>
      <c r="E31" s="342">
        <f>IF(ISERROR(VLOOKUP(DataH!$AN$3, DataH!$DL$3:$DN$157, 2, FALSE)*1), "", VLOOKUP(DataH!$AN$3, DataH!$DL$3:$DN$157, 2, FALSE))</f>
        <v>-150871</v>
      </c>
      <c r="F31" s="342">
        <f>IF(ISERROR(VLOOKUP(DataH!$AN$3, DataH!$DL$3:$DN$157, 3, FALSE)*1), "", VLOOKUP(DataH!$AN$3, DataH!$DL$3:$DN$157, 3, FALSE))</f>
        <v>-161173</v>
      </c>
      <c r="G31" s="404">
        <f>IF(ISERROR(VLOOKUP(DataH!$AN$3, DataH!$DO$3:$DP$157, 2, FALSE)*1), "", VLOOKUP(DataH!$AN$3,DataH!$DO$3:$DP$157, 2, FALSE))</f>
        <v>-172724</v>
      </c>
      <c r="H31" s="216"/>
      <c r="I31" s="405">
        <f>IF(ISERROR(VLOOKUP(DataH!$AQ$3, DataH!$DL$3:$DN$157, 2, FALSE)*1), "", VLOOKUP(DataH!$AQ$3, DataH!$DL$3:$DN$157, 2, FALSE))</f>
        <v>-149091.80000000002</v>
      </c>
      <c r="J31" s="342">
        <f>IF(ISERROR(VLOOKUP(DataH!$AQ$3, DataH!$DL$3:$DN$157, 3, FALSE)*1), "", VLOOKUP(DataH!$AQ$3, DataH!$DL$3:$DN$157, 3, FALSE))</f>
        <v>-168768.4</v>
      </c>
      <c r="K31" s="404">
        <f>IF(ISERROR(VLOOKUP(DataH!$AQ$3, DataH!$DO$3:$DP$157, 2, FALSE)*1), "", VLOOKUP(DataH!$AQ$3,DataH!$DO$3:$DP$157, 2, FALSE))</f>
        <v>-170173</v>
      </c>
      <c r="L31" s="216"/>
      <c r="M31" s="399">
        <f t="shared" si="0"/>
        <v>1.1792856148630172E-2</v>
      </c>
      <c r="N31" s="400">
        <f t="shared" si="1"/>
        <v>-4.7125759277298271E-2</v>
      </c>
      <c r="O31" s="401">
        <f t="shared" si="2"/>
        <v>1.4769227206410227E-2</v>
      </c>
    </row>
    <row r="32" spans="2:15" ht="15" customHeight="1">
      <c r="B32" s="862"/>
      <c r="C32" s="768"/>
      <c r="D32" s="129"/>
      <c r="E32" s="129"/>
      <c r="F32" s="129"/>
      <c r="G32" s="282"/>
      <c r="H32" s="216"/>
      <c r="I32" s="409"/>
      <c r="J32" s="129"/>
      <c r="K32" s="282"/>
      <c r="L32" s="216"/>
      <c r="M32" s="409"/>
      <c r="N32" s="129"/>
      <c r="O32" s="282"/>
    </row>
    <row r="33" spans="2:15" ht="15" customHeight="1">
      <c r="B33" s="910"/>
      <c r="C33" s="765"/>
      <c r="D33" s="126"/>
      <c r="E33" s="126"/>
      <c r="F33" s="126"/>
      <c r="G33" s="275"/>
      <c r="H33" s="216"/>
      <c r="I33" s="410"/>
      <c r="J33" s="126"/>
      <c r="K33" s="275"/>
      <c r="L33" s="216"/>
      <c r="M33" s="410"/>
      <c r="N33" s="126"/>
      <c r="O33" s="275"/>
    </row>
    <row r="34" spans="2:15" ht="15" customHeight="1">
      <c r="B34" s="862"/>
      <c r="C34" s="768"/>
      <c r="D34" s="129"/>
      <c r="E34" s="129"/>
      <c r="F34" s="129"/>
      <c r="G34" s="282"/>
      <c r="H34" s="216"/>
      <c r="I34" s="409"/>
      <c r="J34" s="129"/>
      <c r="K34" s="282"/>
      <c r="L34" s="216"/>
      <c r="M34" s="409"/>
      <c r="N34" s="129"/>
      <c r="O34" s="282"/>
    </row>
    <row r="35" spans="2:15" ht="15" customHeight="1">
      <c r="B35" s="910"/>
      <c r="C35" s="765"/>
      <c r="D35" s="126"/>
      <c r="E35" s="126"/>
      <c r="F35" s="126"/>
      <c r="G35" s="275"/>
      <c r="H35" s="216"/>
      <c r="I35" s="410"/>
      <c r="J35" s="126"/>
      <c r="K35" s="275"/>
      <c r="L35" s="216"/>
      <c r="M35" s="410"/>
      <c r="N35" s="126"/>
      <c r="O35" s="275"/>
    </row>
    <row r="36" spans="2:15" ht="15" customHeight="1">
      <c r="B36" s="862"/>
      <c r="C36" s="768"/>
      <c r="D36" s="129"/>
      <c r="E36" s="129"/>
      <c r="F36" s="129"/>
      <c r="G36" s="282"/>
      <c r="H36" s="216"/>
      <c r="I36" s="409"/>
      <c r="J36" s="129"/>
      <c r="K36" s="282"/>
      <c r="L36" s="216"/>
      <c r="M36" s="409"/>
      <c r="N36" s="129"/>
      <c r="O36" s="282"/>
    </row>
    <row r="37" spans="2:15" ht="15" customHeight="1">
      <c r="B37" s="910"/>
      <c r="C37" s="765"/>
      <c r="D37" s="126"/>
      <c r="E37" s="126"/>
      <c r="F37" s="126"/>
      <c r="G37" s="275"/>
      <c r="H37" s="216"/>
      <c r="I37" s="410"/>
      <c r="J37" s="126"/>
      <c r="K37" s="275"/>
      <c r="L37" s="216"/>
      <c r="M37" s="410"/>
      <c r="N37" s="126"/>
      <c r="O37" s="275"/>
    </row>
    <row r="38" spans="2:15" ht="15" customHeight="1">
      <c r="B38" s="862"/>
      <c r="C38" s="768"/>
      <c r="D38" s="129"/>
      <c r="E38" s="129"/>
      <c r="F38" s="129"/>
      <c r="G38" s="282"/>
      <c r="H38" s="216"/>
      <c r="I38" s="409"/>
      <c r="J38" s="129"/>
      <c r="K38" s="282"/>
      <c r="L38" s="216"/>
      <c r="M38" s="409"/>
      <c r="N38" s="129"/>
      <c r="O38" s="282"/>
    </row>
    <row r="39" spans="2:15" ht="15" customHeight="1">
      <c r="B39" s="915"/>
      <c r="C39" s="917"/>
      <c r="D39" s="175"/>
      <c r="E39" s="175"/>
      <c r="F39" s="175"/>
      <c r="G39" s="187"/>
      <c r="I39" s="190"/>
      <c r="J39" s="175"/>
      <c r="K39" s="187"/>
      <c r="M39" s="190"/>
      <c r="N39" s="175"/>
      <c r="O39" s="187"/>
    </row>
    <row r="40" spans="2:15" ht="15" customHeight="1">
      <c r="B40" s="921"/>
      <c r="C40" s="923"/>
      <c r="D40" s="176"/>
      <c r="E40" s="176"/>
      <c r="F40" s="176"/>
      <c r="G40" s="186"/>
      <c r="I40" s="189"/>
      <c r="J40" s="176"/>
      <c r="K40" s="186"/>
      <c r="M40" s="189"/>
      <c r="N40" s="176"/>
      <c r="O40" s="186"/>
    </row>
    <row r="41" spans="2:15" ht="15" customHeight="1">
      <c r="B41" s="915"/>
      <c r="C41" s="917"/>
      <c r="D41" s="175"/>
      <c r="E41" s="175"/>
      <c r="F41" s="175"/>
      <c r="G41" s="187"/>
      <c r="I41" s="190"/>
      <c r="J41" s="175"/>
      <c r="K41" s="187"/>
      <c r="M41" s="190"/>
      <c r="N41" s="175"/>
      <c r="O41" s="187"/>
    </row>
    <row r="42" spans="2:15" ht="15" customHeight="1">
      <c r="B42" s="921"/>
      <c r="C42" s="923"/>
      <c r="D42" s="176"/>
      <c r="E42" s="176"/>
      <c r="F42" s="176"/>
      <c r="G42" s="186"/>
      <c r="I42" s="189"/>
      <c r="J42" s="176"/>
      <c r="K42" s="186"/>
      <c r="M42" s="189"/>
      <c r="N42" s="176"/>
      <c r="O42" s="186"/>
    </row>
    <row r="43" spans="2:15" ht="15" customHeight="1">
      <c r="B43" s="915"/>
      <c r="C43" s="917"/>
      <c r="D43" s="175"/>
      <c r="E43" s="175"/>
      <c r="F43" s="175"/>
      <c r="G43" s="187"/>
      <c r="I43" s="190"/>
      <c r="J43" s="175"/>
      <c r="K43" s="187"/>
      <c r="M43" s="190"/>
      <c r="N43" s="175"/>
      <c r="O43" s="187"/>
    </row>
    <row r="44" spans="2:15" ht="15" customHeight="1">
      <c r="B44" s="921"/>
      <c r="C44" s="923"/>
      <c r="D44" s="176"/>
      <c r="E44" s="176"/>
      <c r="F44" s="176"/>
      <c r="G44" s="186"/>
      <c r="I44" s="189"/>
      <c r="J44" s="176"/>
      <c r="K44" s="186"/>
      <c r="M44" s="189"/>
      <c r="N44" s="176"/>
      <c r="O44" s="186"/>
    </row>
    <row r="45" spans="2:15" ht="15" customHeight="1">
      <c r="B45" s="915"/>
      <c r="C45" s="917"/>
      <c r="D45" s="175"/>
      <c r="E45" s="175"/>
      <c r="F45" s="175"/>
      <c r="G45" s="187"/>
      <c r="I45" s="190"/>
      <c r="J45" s="175"/>
      <c r="K45" s="187"/>
      <c r="M45" s="190"/>
      <c r="N45" s="175"/>
      <c r="O45" s="187"/>
    </row>
    <row r="46" spans="2:15" ht="15" customHeight="1">
      <c r="B46" s="921"/>
      <c r="C46" s="923"/>
      <c r="D46" s="176"/>
      <c r="E46" s="176"/>
      <c r="F46" s="176"/>
      <c r="G46" s="186"/>
      <c r="I46" s="189"/>
      <c r="J46" s="176"/>
      <c r="K46" s="186"/>
      <c r="M46" s="189"/>
      <c r="N46" s="176"/>
      <c r="O46" s="186"/>
    </row>
    <row r="47" spans="2:15" ht="15" customHeight="1">
      <c r="B47" s="918"/>
      <c r="C47" s="920"/>
      <c r="D47" s="177"/>
      <c r="E47" s="177"/>
      <c r="F47" s="177"/>
      <c r="G47" s="191"/>
      <c r="I47" s="194"/>
      <c r="J47" s="177"/>
      <c r="K47" s="191"/>
      <c r="M47" s="194"/>
      <c r="N47" s="177"/>
      <c r="O47" s="191"/>
    </row>
  </sheetData>
  <mergeCells count="45">
    <mergeCell ref="B47:C47"/>
    <mergeCell ref="B22:C22"/>
    <mergeCell ref="B23:C23"/>
    <mergeCell ref="B43:C43"/>
    <mergeCell ref="B44:C44"/>
    <mergeCell ref="B45:C45"/>
    <mergeCell ref="B46:C46"/>
    <mergeCell ref="B39:C39"/>
    <mergeCell ref="B40:C40"/>
    <mergeCell ref="B25:C25"/>
    <mergeCell ref="B26:C26"/>
    <mergeCell ref="B27:C27"/>
    <mergeCell ref="B28:C28"/>
    <mergeCell ref="B29:C29"/>
    <mergeCell ref="B30:C30"/>
    <mergeCell ref="B42:C42"/>
    <mergeCell ref="B36:C36"/>
    <mergeCell ref="B37:C37"/>
    <mergeCell ref="B38:C38"/>
    <mergeCell ref="B41:C41"/>
    <mergeCell ref="B24:C24"/>
    <mergeCell ref="B31:C31"/>
    <mergeCell ref="B32:C32"/>
    <mergeCell ref="B33:C33"/>
    <mergeCell ref="B34:C34"/>
    <mergeCell ref="B35:C35"/>
    <mergeCell ref="B18:C18"/>
    <mergeCell ref="B19:C19"/>
    <mergeCell ref="B20:C20"/>
    <mergeCell ref="B21:C21"/>
    <mergeCell ref="I11:K11"/>
    <mergeCell ref="B13:C13"/>
    <mergeCell ref="B14:C14"/>
    <mergeCell ref="B15:C15"/>
    <mergeCell ref="B16:C16"/>
    <mergeCell ref="B17:C17"/>
    <mergeCell ref="M11:O11"/>
    <mergeCell ref="B11:G11"/>
    <mergeCell ref="B12:C12"/>
    <mergeCell ref="B8:E8"/>
    <mergeCell ref="I9:K9"/>
    <mergeCell ref="I8:K8"/>
    <mergeCell ref="M9:O9"/>
    <mergeCell ref="M8:O8"/>
    <mergeCell ref="B9:E9"/>
  </mergeCells>
  <phoneticPr fontId="16" type="noConversion"/>
  <dataValidations count="3">
    <dataValidation type="list" allowBlank="1" showInputMessage="1" showErrorMessage="1" sqref="B9:E9">
      <formula1>newEstDetailBroker</formula1>
    </dataValidation>
    <dataValidation type="list" allowBlank="1" showInputMessage="1" showErrorMessage="1" sqref="I9:K9">
      <formula1>newEstDetailBroker2</formula1>
    </dataValidation>
    <dataValidation type="list" allowBlank="1" showInputMessage="1" showErrorMessage="1" sqref="M9:O9">
      <formula1>newEstDetailPeriod</formula1>
    </dataValidation>
  </dataValidations>
  <pageMargins left="0.75" right="0.75" top="1" bottom="1" header="0.5" footer="0.5"/>
  <pageSetup orientation="portrait" r:id="rId1"/>
  <headerFooter alignWithMargins="0"/>
  <ignoredErrors>
    <ignoredError sqref="E14:F14 G18" formula="1"/>
  </ignoredError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al"/>
  <dimension ref="B1:V602"/>
  <sheetViews>
    <sheetView showGridLines="0" showRowColHeaders="0" zoomScaleNormal="100" workbookViewId="0">
      <pane ySplit="5" topLeftCell="A6" activePane="bottomLeft" state="frozen"/>
      <selection pane="bottomLeft" activeCell="P8" sqref="P8:Q8"/>
    </sheetView>
  </sheetViews>
  <sheetFormatPr defaultRowHeight="15" customHeight="1"/>
  <cols>
    <col min="1" max="1" width="1.7109375" style="5" customWidth="1"/>
    <col min="2" max="2" width="11.28515625" style="5" customWidth="1"/>
    <col min="3" max="5" width="9.140625" style="5"/>
    <col min="6" max="6" width="1.7109375" style="5" customWidth="1"/>
    <col min="7" max="9" width="9.140625" style="5"/>
    <col min="10" max="10" width="1.7109375" style="5" customWidth="1"/>
    <col min="11" max="11" width="9.140625" style="5" customWidth="1"/>
    <col min="12" max="12" width="9.140625" style="5"/>
    <col min="13" max="20" width="9.140625" style="5" customWidth="1"/>
    <col min="21" max="24" width="9.140625" style="5"/>
    <col min="25" max="27" width="9.140625" style="5" customWidth="1"/>
    <col min="28" max="16384" width="9.140625" style="5"/>
  </cols>
  <sheetData>
    <row r="1" spans="2:22" ht="5.0999999999999996" customHeight="1"/>
    <row r="5" spans="2:22" ht="5.0999999999999996" customHeight="1"/>
    <row r="6" spans="2:22" ht="5.0999999999999996" customHeight="1">
      <c r="E6" s="411"/>
    </row>
    <row r="7" spans="2:22" ht="15" customHeight="1">
      <c r="B7" s="212" t="str">
        <f>compNAME</f>
        <v>APPLE INC</v>
      </c>
    </row>
    <row r="8" spans="2:22" ht="15" customHeight="1">
      <c r="B8" s="979" t="str">
        <f>IF(Lang="English","Rolling FY1, FY2, FY3",IF(Lang="中文","相對會計年度 FY1, FY2, FY3","相対会計年度 FY1, FY2, FY3"))</f>
        <v>Rolling FY1, FY2, FY3</v>
      </c>
      <c r="C8" s="980"/>
      <c r="D8" s="980"/>
      <c r="E8" s="981"/>
      <c r="G8" s="775" t="str">
        <f>IF(Lang="English","Rolling FY1, FY2, FY3",IF(Lang="中文","相對會計年度 FY1, FY2, FY3","相対会計年度 FY1, FY2, FY3"))</f>
        <v>Rolling FY1, FY2, FY3</v>
      </c>
      <c r="H8" s="800"/>
      <c r="I8" s="776"/>
      <c r="N8" s="945" t="str">
        <f>IF(Lang="English","Valuation Ratio:", "評價比率:" )</f>
        <v>Valuation Ratio:</v>
      </c>
      <c r="O8" s="970"/>
      <c r="P8" s="982" t="s">
        <v>420</v>
      </c>
      <c r="Q8" s="983"/>
    </row>
    <row r="9" spans="2:22" ht="15" customHeight="1">
      <c r="B9" s="971" t="str">
        <f>IF(Lang="English","Date",IF(Lang="中文","日期","日付"))</f>
        <v>Date</v>
      </c>
      <c r="C9" s="973" t="str">
        <f>DataH!$S$3 &amp; " FY1"</f>
        <v>P/E FY1</v>
      </c>
      <c r="D9" s="973" t="str">
        <f>DataH!$S$3 &amp; " FY2"</f>
        <v>P/E FY2</v>
      </c>
      <c r="E9" s="975" t="str">
        <f>DataH!$S$3 &amp; " FY3"</f>
        <v>P/E FY3</v>
      </c>
      <c r="F9" s="220"/>
      <c r="G9" s="977" t="str">
        <f>DataH!$S$22 &amp; " FY1"</f>
        <v>EV/EBITDA FY1</v>
      </c>
      <c r="H9" s="973" t="str">
        <f>DataH!$S$22 &amp; " FY2"</f>
        <v>EV/EBITDA FY2</v>
      </c>
      <c r="I9" s="975" t="str">
        <f>DataH!$S$22 &amp; " FY3"</f>
        <v>EV/EBITDA FY3</v>
      </c>
      <c r="J9" s="220"/>
      <c r="K9" s="220"/>
      <c r="L9" s="231"/>
      <c r="M9" s="220"/>
      <c r="N9" s="220"/>
      <c r="O9" s="220"/>
      <c r="P9" s="220"/>
      <c r="Q9" s="220"/>
      <c r="R9" s="220"/>
      <c r="S9" s="220"/>
      <c r="T9" s="220"/>
      <c r="U9" s="220"/>
    </row>
    <row r="10" spans="2:22" ht="15" customHeight="1">
      <c r="B10" s="972"/>
      <c r="C10" s="974"/>
      <c r="D10" s="974"/>
      <c r="E10" s="976"/>
      <c r="G10" s="978"/>
      <c r="H10" s="974"/>
      <c r="I10" s="976"/>
      <c r="S10" s="986" t="str">
        <f>+P8</f>
        <v>Price Earnings</v>
      </c>
      <c r="T10" s="987"/>
      <c r="U10" s="988"/>
    </row>
    <row r="11" spans="2:22" ht="15" customHeight="1">
      <c r="B11" s="412">
        <f>IF(DataH!$V3="", "", DataH!$V3)</f>
        <v>42104</v>
      </c>
      <c r="C11" s="413" t="e">
        <f>IF(DataH!$X3&lt;0, NA(), IF(ISERROR(DataH!$W3/DataH!$X3), "", DataH!$W3/DataH!$X3))</f>
        <v>#N/A</v>
      </c>
      <c r="D11" s="413" t="e">
        <f>IF(DataH!$Y3&lt;0, NA(), IF(ISERROR(DataH!$W3/DataH!$Y3), "", DataH!$W3/DataH!$Y3))</f>
        <v>#N/A</v>
      </c>
      <c r="E11" s="414" t="e">
        <f>IF(DataH!$Z3&lt;0, NA(), IF(ISERROR(DataH!$W3/DataH!$Z3), "", DataH!$W3/DataH!$Z3))</f>
        <v>#N/A</v>
      </c>
      <c r="G11" s="415" t="e">
        <f>IF(DataH!$AB3&lt;0, NA(), IF(ISERROR(DataH!$AA3/DataH!$AB3), "", DataH!$AA3/DataH!$AB3))</f>
        <v>#N/A</v>
      </c>
      <c r="H11" s="413" t="e">
        <f>IF(DataH!$AC3&lt;0, NA(), IF(ISERROR(DataH!$AA3/DataH!$AC3), "", DataH!$AA3/DataH!$AC3))</f>
        <v>#N/A</v>
      </c>
      <c r="I11" s="414" t="e">
        <f>IF(DataH!$AD3&lt;0, NA(), IF(ISERROR(DataH!$AA3/DataH!$AD3), "", DataH!$AA3/DataH!$AD3))</f>
        <v>#N/A</v>
      </c>
      <c r="J11" s="216"/>
      <c r="K11" s="216"/>
      <c r="L11" s="216"/>
      <c r="M11" s="216"/>
      <c r="N11" s="216"/>
      <c r="O11" s="216"/>
      <c r="P11" s="216"/>
      <c r="Q11" s="216"/>
      <c r="R11" s="216"/>
      <c r="S11" s="984" t="str">
        <f>$C$9 &amp; " Last:"</f>
        <v>P/E FY1 Last:</v>
      </c>
      <c r="T11" s="985"/>
      <c r="U11" s="414" t="e">
        <f>C$11</f>
        <v>#N/A</v>
      </c>
      <c r="V11" s="216"/>
    </row>
    <row r="12" spans="2:22" ht="15" customHeight="1">
      <c r="B12" s="322">
        <f>IF(DataH!$V4="", "", DataH!$V4)</f>
        <v>42097</v>
      </c>
      <c r="C12" s="416">
        <f>IF(DataH!$X4&lt;0, NA(), IF(ISERROR(DataH!$W4/DataH!$X4), "", DataH!$W4/DataH!$X4))</f>
        <v>14.518072289156626</v>
      </c>
      <c r="D12" s="416">
        <f>IF(DataH!$Y4&lt;0, NA(), IF(ISERROR(DataH!$W4/DataH!$Y4), "", DataH!$W4/DataH!$Y4))</f>
        <v>13.347534348705933</v>
      </c>
      <c r="E12" s="417">
        <f>IF(DataH!$Z4&lt;0, NA(), IF(ISERROR(DataH!$W4/DataH!$Z4), "", DataH!$W4/DataH!$Z4))</f>
        <v>12.239476511378063</v>
      </c>
      <c r="G12" s="418">
        <f>IF(DataH!$AB4&lt;0, NA(), IF(ISERROR(DataH!$AA4/DataH!$AB4), "", DataH!$AA4/DataH!$AB4))</f>
        <v>7.5550280187544656</v>
      </c>
      <c r="H12" s="416">
        <f>IF(DataH!$AC4&lt;0, NA(), IF(ISERROR(DataH!$AA4/DataH!$AC4), "", DataH!$AA4/DataH!$AC4))</f>
        <v>7.0352128847780264</v>
      </c>
      <c r="I12" s="417">
        <f>IF(DataH!$AD4&lt;0, NA(), IF(ISERROR(DataH!$AA4/DataH!$AD4), "", DataH!$AA4/DataH!$AD4))</f>
        <v>6.6727315139660766</v>
      </c>
      <c r="J12" s="216"/>
      <c r="K12" s="216"/>
      <c r="L12" s="216"/>
      <c r="M12" s="216"/>
      <c r="N12" s="216"/>
      <c r="O12" s="216"/>
      <c r="P12" s="216"/>
      <c r="Q12" s="216"/>
      <c r="R12" s="216"/>
      <c r="S12" s="910" t="str">
        <f>$C$9 &amp; " Mean:"</f>
        <v>P/E FY1 Mean:</v>
      </c>
      <c r="T12" s="765"/>
      <c r="U12" s="417" t="str">
        <f>IF(ISERROR(AVERAGE(C$11:C$602)), "", AVERAGE(C$11:C$602))</f>
        <v/>
      </c>
      <c r="V12" s="216"/>
    </row>
    <row r="13" spans="2:22" ht="15" customHeight="1">
      <c r="B13" s="318">
        <f>IF(DataH!$V5="", "", DataH!$V5)</f>
        <v>42090</v>
      </c>
      <c r="C13" s="419">
        <f>IF(DataH!$X5&lt;0, NA(), IF(ISERROR(DataH!$W5/DataH!$X5), "", DataH!$W5/DataH!$X5))</f>
        <v>14.289855072463768</v>
      </c>
      <c r="D13" s="419">
        <f>IF(DataH!$Y5&lt;0, NA(), IF(ISERROR(DataH!$W5/DataH!$Y5), "", DataH!$W5/DataH!$Y5))</f>
        <v>13.143862642636236</v>
      </c>
      <c r="E13" s="420">
        <f>IF(DataH!$Z5&lt;0, NA(), IF(ISERROR(DataH!$W5/DataH!$Z5), "", DataH!$W5/DataH!$Z5))</f>
        <v>12.126131444313263</v>
      </c>
      <c r="G13" s="421">
        <f>IF(DataH!$AB5&lt;0, NA(), IF(ISERROR(DataH!$AA5/DataH!$AB5), "", DataH!$AA5/DataH!$AB5))</f>
        <v>7.4070305030616472</v>
      </c>
      <c r="H13" s="419">
        <f>IF(DataH!$AC5&lt;0, NA(), IF(ISERROR(DataH!$AA5/DataH!$AC5), "", DataH!$AA5/DataH!$AC5))</f>
        <v>6.8884822616721406</v>
      </c>
      <c r="I13" s="420">
        <f>IF(DataH!$AD5&lt;0, NA(), IF(ISERROR(DataH!$AA5/DataH!$AD5), "", DataH!$AA5/DataH!$AD5))</f>
        <v>6.5359421575438583</v>
      </c>
      <c r="J13" s="216"/>
      <c r="K13" s="216"/>
      <c r="L13" s="216"/>
      <c r="M13" s="216"/>
      <c r="N13" s="216"/>
      <c r="O13" s="216"/>
      <c r="P13" s="216"/>
      <c r="Q13" s="216"/>
      <c r="R13" s="216"/>
      <c r="S13" s="862" t="s">
        <v>570</v>
      </c>
      <c r="T13" s="768"/>
      <c r="U13" s="420" t="str">
        <f>IF(ISERROR((U11-U12)/STDEV(C$11:C$602)), "", (U11-U12)/STDEV(C$11:C$602))</f>
        <v/>
      </c>
      <c r="V13" s="216"/>
    </row>
    <row r="14" spans="2:22" ht="15" customHeight="1">
      <c r="B14" s="322">
        <f>IF(DataH!$V6="", "", DataH!$V6)</f>
        <v>42083</v>
      </c>
      <c r="C14" s="416">
        <f>IF(DataH!$X6&lt;0, NA(), IF(ISERROR(DataH!$W6/DataH!$X6), "", DataH!$W6/DataH!$X6))</f>
        <v>14.632728963272898</v>
      </c>
      <c r="D14" s="416">
        <f>IF(DataH!$Y6&lt;0, NA(), IF(ISERROR(DataH!$W6/DataH!$Y6), "", DataH!$W6/DataH!$Y6))</f>
        <v>13.4796573875803</v>
      </c>
      <c r="E14" s="417">
        <f>IF(DataH!$Z6&lt;0, NA(), IF(ISERROR(DataH!$W6/DataH!$Z6), "", DataH!$W6/DataH!$Z6))</f>
        <v>12.386855568673752</v>
      </c>
      <c r="G14" s="418">
        <f>IF(DataH!$AB6&lt;0, NA(), IF(ISERROR(DataH!$AA6/DataH!$AB6), "", DataH!$AA6/DataH!$AB6))</f>
        <v>7.7279760793910306</v>
      </c>
      <c r="H14" s="416">
        <f>IF(DataH!$AC6&lt;0, NA(), IF(ISERROR(DataH!$AA6/DataH!$AC6), "", DataH!$AA6/DataH!$AC6))</f>
        <v>7.1997594194912597</v>
      </c>
      <c r="I14" s="417">
        <f>IF(DataH!$AD6&lt;0, NA(), IF(ISERROR(DataH!$AA6/DataH!$AD6), "", DataH!$AA6/DataH!$AD6))</f>
        <v>6.8068380703384879</v>
      </c>
      <c r="J14" s="216"/>
      <c r="K14" s="216"/>
      <c r="L14" s="216"/>
      <c r="M14" s="216"/>
      <c r="N14" s="216"/>
      <c r="O14" s="216"/>
      <c r="P14" s="216"/>
      <c r="Q14" s="216"/>
      <c r="R14" s="216"/>
      <c r="S14" s="910"/>
      <c r="T14" s="765"/>
      <c r="U14" s="417"/>
      <c r="V14" s="216"/>
    </row>
    <row r="15" spans="2:22" ht="15" customHeight="1">
      <c r="B15" s="318">
        <f>IF(DataH!$V7="", "", DataH!$V7)</f>
        <v>42076</v>
      </c>
      <c r="C15" s="419">
        <f>IF(DataH!$X7&lt;0, NA(), IF(ISERROR(DataH!$W7/DataH!$X7), "", DataH!$W7/DataH!$X7))</f>
        <v>14.364249186424921</v>
      </c>
      <c r="D15" s="419">
        <f>IF(DataH!$Y7&lt;0, NA(), IF(ISERROR(DataH!$W7/DataH!$Y7), "", DataH!$W7/DataH!$Y7))</f>
        <v>13.247936541965911</v>
      </c>
      <c r="E15" s="420">
        <f>IF(DataH!$Z7&lt;0, NA(), IF(ISERROR(DataH!$W7/DataH!$Z7), "", DataH!$W7/DataH!$Z7))</f>
        <v>12.183556782334385</v>
      </c>
      <c r="G15" s="421">
        <f>IF(DataH!$AB7&lt;0, NA(), IF(ISERROR(DataH!$AA7/DataH!$AB7), "", DataH!$AA7/DataH!$AB7))</f>
        <v>7.5522679574037639</v>
      </c>
      <c r="H15" s="419">
        <f>IF(DataH!$AC7&lt;0, NA(), IF(ISERROR(DataH!$AA7/DataH!$AC7), "", DataH!$AA7/DataH!$AC7))</f>
        <v>7.049193453343114</v>
      </c>
      <c r="I15" s="420">
        <f>IF(DataH!$AD7&lt;0, NA(), IF(ISERROR(DataH!$AA7/DataH!$AD7), "", DataH!$AA7/DataH!$AD7))</f>
        <v>6.6721345286358043</v>
      </c>
      <c r="J15" s="216"/>
      <c r="K15" s="216"/>
      <c r="L15" s="216"/>
      <c r="M15" s="216"/>
      <c r="N15" s="216"/>
      <c r="O15" s="216"/>
      <c r="P15" s="216"/>
      <c r="Q15" s="216"/>
      <c r="R15" s="216"/>
      <c r="S15" s="862" t="str">
        <f>$D$9 &amp; " Last:"</f>
        <v>P/E FY2 Last:</v>
      </c>
      <c r="T15" s="768"/>
      <c r="U15" s="420" t="e">
        <f>D$11</f>
        <v>#N/A</v>
      </c>
      <c r="V15" s="216"/>
    </row>
    <row r="16" spans="2:22" ht="15" customHeight="1">
      <c r="B16" s="322">
        <f>IF(DataH!$V8="", "", DataH!$V8)</f>
        <v>42069</v>
      </c>
      <c r="C16" s="416">
        <f>IF(DataH!$X8&lt;0, NA(), IF(ISERROR(DataH!$W8/DataH!$X8), "", DataH!$W8/DataH!$X8))</f>
        <v>14.753525230159655</v>
      </c>
      <c r="D16" s="416">
        <f>IF(DataH!$Y8&lt;0, NA(), IF(ISERROR(DataH!$W8/DataH!$Y8), "", DataH!$W8/DataH!$Y8))</f>
        <v>13.682049065168053</v>
      </c>
      <c r="E16" s="417">
        <f>IF(DataH!$Z8&lt;0, NA(), IF(ISERROR(DataH!$W8/DataH!$Z8), "", DataH!$W8/DataH!$Z8))</f>
        <v>12.642300778909528</v>
      </c>
      <c r="G16" s="418">
        <f>IF(DataH!$AB8&lt;0, NA(), IF(ISERROR(DataH!$AA8/DataH!$AB8), "", DataH!$AA8/DataH!$AB8))</f>
        <v>7.7679551428471463</v>
      </c>
      <c r="H16" s="416">
        <f>IF(DataH!$AC8&lt;0, NA(), IF(ISERROR(DataH!$AA8/DataH!$AC8), "", DataH!$AA8/DataH!$AC8))</f>
        <v>7.2803604704013694</v>
      </c>
      <c r="I16" s="417">
        <f>IF(DataH!$AD8&lt;0, NA(), IF(ISERROR(DataH!$AA8/DataH!$AD8), "", DataH!$AA8/DataH!$AD8))</f>
        <v>6.6775784910155158</v>
      </c>
      <c r="J16" s="216"/>
      <c r="K16" s="216"/>
      <c r="L16" s="216"/>
      <c r="M16" s="216"/>
      <c r="N16" s="216"/>
      <c r="O16" s="216"/>
      <c r="P16" s="216"/>
      <c r="Q16" s="216"/>
      <c r="R16" s="216"/>
      <c r="S16" s="910" t="str">
        <f>$D$9 &amp; " Mean:"</f>
        <v>P/E FY2 Mean:</v>
      </c>
      <c r="T16" s="765"/>
      <c r="U16" s="417" t="str">
        <f>IF(ISERROR(AVERAGE(D$11:D$602)), "", AVERAGE(D$11:D$602))</f>
        <v/>
      </c>
      <c r="V16" s="216"/>
    </row>
    <row r="17" spans="2:22" ht="15" customHeight="1">
      <c r="B17" s="318">
        <f>IF(DataH!$V9="", "", DataH!$V9)</f>
        <v>42062</v>
      </c>
      <c r="C17" s="419">
        <f>IF(DataH!$X9&lt;0, NA(), IF(ISERROR(DataH!$W9/DataH!$X9), "", DataH!$W9/DataH!$X9))</f>
        <v>14.984252886970722</v>
      </c>
      <c r="D17" s="419">
        <f>IF(DataH!$Y9&lt;0, NA(), IF(ISERROR(DataH!$W9/DataH!$Y9), "", DataH!$W9/DataH!$Y9))</f>
        <v>13.907112698928223</v>
      </c>
      <c r="E17" s="420">
        <f>IF(DataH!$Z9&lt;0, NA(), IF(ISERROR(DataH!$W9/DataH!$Z9), "", DataH!$W9/DataH!$Z9))</f>
        <v>12.828040742959859</v>
      </c>
      <c r="G17" s="421">
        <f>IF(DataH!$AB9&lt;0, NA(), IF(ISERROR(DataH!$AA9/DataH!$AB9), "", DataH!$AA9/DataH!$AB9))</f>
        <v>7.9158158316333838</v>
      </c>
      <c r="H17" s="419">
        <f>IF(DataH!$AC9&lt;0, NA(), IF(ISERROR(DataH!$AA9/DataH!$AC9), "", DataH!$AA9/DataH!$AC9))</f>
        <v>7.4129727685126552</v>
      </c>
      <c r="I17" s="420">
        <f>IF(DataH!$AD9&lt;0, NA(), IF(ISERROR(DataH!$AA9/DataH!$AD9), "", DataH!$AA9/DataH!$AD9))</f>
        <v>6.7991858540027481</v>
      </c>
      <c r="J17" s="216"/>
      <c r="K17" s="216"/>
      <c r="L17" s="216"/>
      <c r="M17" s="216"/>
      <c r="N17" s="216"/>
      <c r="O17" s="216"/>
      <c r="P17" s="216"/>
      <c r="Q17" s="216"/>
      <c r="R17" s="216"/>
      <c r="S17" s="862" t="s">
        <v>570</v>
      </c>
      <c r="T17" s="768"/>
      <c r="U17" s="420" t="str">
        <f>IF(ISERROR((U15-U16)/STDEV(D$11:D$602)), "", (U15-U16)/STDEV(D$11:D$602))</f>
        <v/>
      </c>
      <c r="V17" s="216"/>
    </row>
    <row r="18" spans="2:22" ht="15" customHeight="1">
      <c r="B18" s="322">
        <f>IF(DataH!$V10="", "", DataH!$V10)</f>
        <v>42055</v>
      </c>
      <c r="C18" s="416">
        <f>IF(DataH!$X10&lt;0, NA(), IF(ISERROR(DataH!$W10/DataH!$X10), "", DataH!$W10/DataH!$X10))</f>
        <v>15.106742883807748</v>
      </c>
      <c r="D18" s="416">
        <f>IF(DataH!$Y10&lt;0, NA(), IF(ISERROR(DataH!$W10/DataH!$Y10), "", DataH!$W10/DataH!$Y10))</f>
        <v>14.035876869716018</v>
      </c>
      <c r="E18" s="417">
        <f>IF(DataH!$Z10&lt;0, NA(), IF(ISERROR(DataH!$W10/DataH!$Z10), "", DataH!$W10/DataH!$Z10))</f>
        <v>12.997591087021982</v>
      </c>
      <c r="G18" s="418">
        <f>IF(DataH!$AB10&lt;0, NA(), IF(ISERROR(DataH!$AA10/DataH!$AB10), "", DataH!$AA10/DataH!$AB10))</f>
        <v>7.9972420216735003</v>
      </c>
      <c r="H18" s="416">
        <f>IF(DataH!$AC10&lt;0, NA(), IF(ISERROR(DataH!$AA10/DataH!$AC10), "", DataH!$AA10/DataH!$AC10))</f>
        <v>7.510889028384458</v>
      </c>
      <c r="I18" s="417">
        <f>IF(DataH!$AD10&lt;0, NA(), IF(ISERROR(DataH!$AA10/DataH!$AD10), "", DataH!$AA10/DataH!$AD10))</f>
        <v>6.9194837781830705</v>
      </c>
      <c r="J18" s="216"/>
      <c r="K18" s="216"/>
      <c r="L18" s="216"/>
      <c r="M18" s="216"/>
      <c r="N18" s="216"/>
      <c r="O18" s="216"/>
      <c r="P18" s="216"/>
      <c r="Q18" s="216"/>
      <c r="R18" s="216"/>
      <c r="S18" s="910"/>
      <c r="T18" s="765"/>
      <c r="U18" s="275"/>
      <c r="V18" s="216"/>
    </row>
    <row r="19" spans="2:22" ht="15" customHeight="1">
      <c r="B19" s="318">
        <f>IF(DataH!$V11="", "", DataH!$V11)</f>
        <v>42048</v>
      </c>
      <c r="C19" s="419">
        <f>IF(DataH!$X11&lt;0, NA(), IF(ISERROR(DataH!$W11/DataH!$X11), "", DataH!$W11/DataH!$X11))</f>
        <v>14.838860345632881</v>
      </c>
      <c r="D19" s="419">
        <f>IF(DataH!$Y11&lt;0, NA(), IF(ISERROR(DataH!$W11/DataH!$Y11), "", DataH!$W11/DataH!$Y11))</f>
        <v>13.808540693252201</v>
      </c>
      <c r="E19" s="420">
        <f>IF(DataH!$Z11&lt;0, NA(), IF(ISERROR(DataH!$W11/DataH!$Z11), "", DataH!$W11/DataH!$Z11))</f>
        <v>12.81694402420575</v>
      </c>
      <c r="G19" s="421">
        <f>IF(DataH!$AB11&lt;0, NA(), IF(ISERROR(DataH!$AA11/DataH!$AB11), "", DataH!$AA11/DataH!$AB11))</f>
        <v>7.8260568560288872</v>
      </c>
      <c r="H19" s="419">
        <f>IF(DataH!$AC11&lt;0, NA(), IF(ISERROR(DataH!$AA11/DataH!$AC11), "", DataH!$AA11/DataH!$AC11))</f>
        <v>7.3550079562529485</v>
      </c>
      <c r="I19" s="420">
        <f>IF(DataH!$AD11&lt;0, NA(), IF(ISERROR(DataH!$AA11/DataH!$AD11), "", DataH!$AA11/DataH!$AD11))</f>
        <v>6.7979666158041079</v>
      </c>
      <c r="J19" s="216"/>
      <c r="K19" s="216"/>
      <c r="L19" s="216"/>
      <c r="M19" s="216"/>
      <c r="N19" s="216"/>
      <c r="O19" s="216"/>
      <c r="P19" s="216"/>
      <c r="Q19" s="216"/>
      <c r="R19" s="216"/>
      <c r="S19" s="862" t="str">
        <f>$E$9 &amp; " Last:"</f>
        <v>P/E FY3 Last:</v>
      </c>
      <c r="T19" s="768"/>
      <c r="U19" s="420" t="e">
        <f>E$11</f>
        <v>#N/A</v>
      </c>
      <c r="V19" s="216"/>
    </row>
    <row r="20" spans="2:22" ht="15" customHeight="1">
      <c r="B20" s="322">
        <f>IF(DataH!$V12="", "", DataH!$V12)</f>
        <v>42041</v>
      </c>
      <c r="C20" s="416">
        <f>IF(DataH!$X12&lt;0, NA(), IF(ISERROR(DataH!$W12/DataH!$X12), "", DataH!$W12/DataH!$X12))</f>
        <v>13.896938537041367</v>
      </c>
      <c r="D20" s="416">
        <f>IF(DataH!$Y12&lt;0, NA(), IF(ISERROR(DataH!$W12/DataH!$Y12), "", DataH!$W12/DataH!$Y12))</f>
        <v>12.956749101209283</v>
      </c>
      <c r="E20" s="417">
        <f>IF(DataH!$Z12&lt;0, NA(), IF(ISERROR(DataH!$W12/DataH!$Z12), "", DataH!$W12/DataH!$Z12))</f>
        <v>11.994957135653053</v>
      </c>
      <c r="G20" s="418">
        <f>IF(DataH!$AB12&lt;0, NA(), IF(ISERROR(DataH!$AA12/DataH!$AB12), "", DataH!$AA12/DataH!$AB12))</f>
        <v>7.2126677874952643</v>
      </c>
      <c r="H20" s="416">
        <f>IF(DataH!$AC12&lt;0, NA(), IF(ISERROR(DataH!$AA12/DataH!$AC12), "", DataH!$AA12/DataH!$AC12))</f>
        <v>6.8072481442683106</v>
      </c>
      <c r="I20" s="417">
        <f>IF(DataH!$AD12&lt;0, NA(), IF(ISERROR(DataH!$AA12/DataH!$AD12), "", DataH!$AA12/DataH!$AD12))</f>
        <v>6.2589083261770906</v>
      </c>
      <c r="J20" s="216"/>
      <c r="K20" s="216"/>
      <c r="L20" s="216"/>
      <c r="M20" s="216"/>
      <c r="N20" s="216"/>
      <c r="O20" s="216"/>
      <c r="P20" s="216"/>
      <c r="Q20" s="216"/>
      <c r="R20" s="216"/>
      <c r="S20" s="910" t="str">
        <f>$E$9 &amp; " Mean:"</f>
        <v>P/E FY3 Mean:</v>
      </c>
      <c r="T20" s="765"/>
      <c r="U20" s="417" t="str">
        <f>IF(ISERROR(AVERAGE(E$11:E$602)), "", AVERAGE(E$11:E$602))</f>
        <v/>
      </c>
      <c r="V20" s="216"/>
    </row>
    <row r="21" spans="2:22" ht="15" customHeight="1">
      <c r="B21" s="318">
        <f>IF(DataH!$V13="", "", DataH!$V13)</f>
        <v>42034</v>
      </c>
      <c r="C21" s="419">
        <f>IF(DataH!$X13&lt;0, NA(), IF(ISERROR(DataH!$W13/DataH!$X13), "", DataH!$W13/DataH!$X13))</f>
        <v>13.743108504398826</v>
      </c>
      <c r="D21" s="419">
        <f>IF(DataH!$Y13&lt;0, NA(), IF(ISERROR(DataH!$W13/DataH!$Y13), "", DataH!$W13/DataH!$Y13))</f>
        <v>12.836638544976442</v>
      </c>
      <c r="E21" s="420">
        <f>IF(DataH!$Z13&lt;0, NA(), IF(ISERROR(DataH!$W13/DataH!$Z13), "", DataH!$W13/DataH!$Z13))</f>
        <v>11.93683138053999</v>
      </c>
      <c r="G21" s="421">
        <f>IF(DataH!$AB13&lt;0, NA(), IF(ISERROR(DataH!$AA13/DataH!$AB13), "", DataH!$AA13/DataH!$AB13))</f>
        <v>7.1156811212053821</v>
      </c>
      <c r="H21" s="419">
        <f>IF(DataH!$AC13&lt;0, NA(), IF(ISERROR(DataH!$AA13/DataH!$AC13), "", DataH!$AA13/DataH!$AC13))</f>
        <v>6.7191464764181248</v>
      </c>
      <c r="I21" s="420">
        <f>IF(DataH!$AD13&lt;0, NA(), IF(ISERROR(DataH!$AA13/DataH!$AD13), "", DataH!$AA13/DataH!$AD13))</f>
        <v>6.2073987329859763</v>
      </c>
      <c r="J21" s="216"/>
      <c r="K21" s="216"/>
      <c r="L21" s="216"/>
      <c r="M21" s="216"/>
      <c r="N21" s="216"/>
      <c r="O21" s="216"/>
      <c r="P21" s="216"/>
      <c r="Q21" s="216"/>
      <c r="R21" s="216"/>
      <c r="S21" s="937" t="s">
        <v>570</v>
      </c>
      <c r="T21" s="788"/>
      <c r="U21" s="422" t="str">
        <f>IF(ISERROR((U19-U20)/STDEV(E$11:E$602)), "", (U19-U20)/STDEV(E$11:E$602))</f>
        <v/>
      </c>
      <c r="V21" s="216"/>
    </row>
    <row r="22" spans="2:22" ht="15" customHeight="1">
      <c r="B22" s="322">
        <f>IF(DataH!$V14="", "", DataH!$V14)</f>
        <v>42027</v>
      </c>
      <c r="C22" s="416">
        <f>IF(DataH!$X14&lt;0, NA(), IF(ISERROR(DataH!$W14/DataH!$X14), "", DataH!$W14/DataH!$X14))</f>
        <v>14.501347708894878</v>
      </c>
      <c r="D22" s="416">
        <f>IF(DataH!$Y14&lt;0, NA(), IF(ISERROR(DataH!$W14/DataH!$Y14), "", DataH!$W14/DataH!$Y14))</f>
        <v>13.08699177574424</v>
      </c>
      <c r="E22" s="417">
        <f>IF(DataH!$Z14&lt;0, NA(), IF(ISERROR(DataH!$W14/DataH!$Z14), "", DataH!$W14/DataH!$Z14))</f>
        <v>12.016592214422465</v>
      </c>
      <c r="G22" s="418">
        <f>IF(DataH!$AB14&lt;0, NA(), IF(ISERROR(DataH!$AA14/DataH!$AB14), "", DataH!$AA14/DataH!$AB14))</f>
        <v>7.3367788371568237</v>
      </c>
      <c r="H22" s="416">
        <f>IF(DataH!$AC14&lt;0, NA(), IF(ISERROR(DataH!$AA14/DataH!$AC14), "", DataH!$AA14/DataH!$AC14))</f>
        <v>6.8339463436389032</v>
      </c>
      <c r="I22" s="417">
        <f>IF(DataH!$AD14&lt;0, NA(), IF(ISERROR(DataH!$AA14/DataH!$AD14), "", DataH!$AA14/DataH!$AD14))</f>
        <v>6.1911228372084723</v>
      </c>
      <c r="J22" s="216"/>
      <c r="K22" s="216"/>
      <c r="L22" s="216"/>
      <c r="M22" s="216"/>
      <c r="N22" s="216"/>
      <c r="O22" s="216"/>
      <c r="P22" s="216"/>
      <c r="Q22" s="216"/>
      <c r="R22" s="216"/>
      <c r="S22" s="216"/>
      <c r="T22" s="216"/>
      <c r="U22" s="216"/>
      <c r="V22" s="216"/>
    </row>
    <row r="23" spans="2:22" ht="15" customHeight="1">
      <c r="B23" s="318">
        <f>IF(DataH!$V15="", "", DataH!$V15)</f>
        <v>42020</v>
      </c>
      <c r="C23" s="419">
        <f>IF(DataH!$X15&lt;0, NA(), IF(ISERROR(DataH!$W15/DataH!$X15), "", DataH!$W15/DataH!$X15))</f>
        <v>13.6304012345679</v>
      </c>
      <c r="D23" s="419">
        <f>IF(DataH!$Y15&lt;0, NA(), IF(ISERROR(DataH!$W15/DataH!$Y15), "", DataH!$W15/DataH!$Y15))</f>
        <v>12.257430322655255</v>
      </c>
      <c r="E23" s="420">
        <f>IF(DataH!$Z15&lt;0, NA(), IF(ISERROR(DataH!$W15/DataH!$Z15), "", DataH!$W15/DataH!$Z15))</f>
        <v>11.275531914893616</v>
      </c>
      <c r="G23" s="421">
        <f>IF(DataH!$AB15&lt;0, NA(), IF(ISERROR(DataH!$AA15/DataH!$AB15), "", DataH!$AA15/DataH!$AB15))</f>
        <v>6.8365901821405526</v>
      </c>
      <c r="H23" s="419">
        <f>IF(DataH!$AC15&lt;0, NA(), IF(ISERROR(DataH!$AA15/DataH!$AC15), "", DataH!$AA15/DataH!$AC15))</f>
        <v>6.321866246875544</v>
      </c>
      <c r="I23" s="420">
        <f>IF(DataH!$AD15&lt;0, NA(), IF(ISERROR(DataH!$AA15/DataH!$AD15), "", DataH!$AA15/DataH!$AD15))</f>
        <v>5.7520842275613715</v>
      </c>
      <c r="J23" s="216"/>
      <c r="K23" s="216"/>
      <c r="L23" s="216"/>
      <c r="M23" s="216"/>
      <c r="N23" s="216"/>
      <c r="O23" s="216"/>
      <c r="P23" s="216"/>
      <c r="Q23" s="216"/>
      <c r="R23" s="216"/>
      <c r="S23" s="216"/>
      <c r="T23" s="216"/>
      <c r="U23" s="216"/>
      <c r="V23" s="216"/>
    </row>
    <row r="24" spans="2:22" ht="15" customHeight="1">
      <c r="B24" s="322">
        <f>IF(DataH!$V16="", "", DataH!$V16)</f>
        <v>42013</v>
      </c>
      <c r="C24" s="416">
        <f>IF(DataH!$X16&lt;0, NA(), IF(ISERROR(DataH!$W16/DataH!$X16), "", DataH!$W16/DataH!$X16))</f>
        <v>14.376845077653703</v>
      </c>
      <c r="D24" s="416">
        <f>IF(DataH!$Y16&lt;0, NA(), IF(ISERROR(DataH!$W16/DataH!$Y16), "", DataH!$W16/DataH!$Y16))</f>
        <v>13.000232126276696</v>
      </c>
      <c r="E24" s="417">
        <f>IF(DataH!$Z16&lt;0, NA(), IF(ISERROR(DataH!$W16/DataH!$Z16), "", DataH!$W16/DataH!$Z16))</f>
        <v>11.951557831839523</v>
      </c>
      <c r="G24" s="418">
        <f>IF(DataH!$AB16&lt;0, NA(), IF(ISERROR(DataH!$AA16/DataH!$AB16), "", DataH!$AA16/DataH!$AB16))</f>
        <v>7.408235383155807</v>
      </c>
      <c r="H24" s="416">
        <f>IF(DataH!$AC16&lt;0, NA(), IF(ISERROR(DataH!$AA16/DataH!$AC16), "", DataH!$AA16/DataH!$AC16))</f>
        <v>6.8612965391963447</v>
      </c>
      <c r="I24" s="417" t="str">
        <f>IF(DataH!$AD16&lt;0, NA(), IF(ISERROR(DataH!$AA16/DataH!$AD16), "", DataH!$AA16/DataH!$AD16))</f>
        <v/>
      </c>
      <c r="J24" s="216"/>
      <c r="K24" s="216"/>
      <c r="L24" s="216"/>
      <c r="M24" s="216"/>
      <c r="N24" s="216"/>
      <c r="O24" s="216"/>
      <c r="P24" s="216"/>
      <c r="Q24" s="216"/>
      <c r="R24" s="216"/>
      <c r="S24" s="216"/>
      <c r="T24" s="216"/>
      <c r="U24" s="216"/>
      <c r="V24" s="216"/>
    </row>
    <row r="25" spans="2:22" ht="15" customHeight="1">
      <c r="B25" s="318">
        <f>IF(DataH!$V17="", "", DataH!$V17)</f>
        <v>42006</v>
      </c>
      <c r="C25" s="419">
        <f>IF(DataH!$X17&lt;0, NA(), IF(ISERROR(DataH!$W17/DataH!$X17), "", DataH!$W17/DataH!$X17))</f>
        <v>14.038263995891114</v>
      </c>
      <c r="D25" s="419">
        <f>IF(DataH!$Y17&lt;0, NA(), IF(ISERROR(DataH!$W17/DataH!$Y17), "", DataH!$W17/DataH!$Y17))</f>
        <v>12.683294663573086</v>
      </c>
      <c r="E25" s="420" t="str">
        <f>IF(DataH!$Z17&lt;0, NA(), IF(ISERROR(DataH!$W17/DataH!$Z17), "", DataH!$W17/DataH!$Z17))</f>
        <v/>
      </c>
      <c r="G25" s="421">
        <f>IF(DataH!$AB17&lt;0, NA(), IF(ISERROR(DataH!$AA17/DataH!$AB17), "", DataH!$AA17/DataH!$AB17))</f>
        <v>7.1822982175456751</v>
      </c>
      <c r="H25" s="419">
        <f>IF(DataH!$AC17&lt;0, NA(), IF(ISERROR(DataH!$AA17/DataH!$AC17), "", DataH!$AA17/DataH!$AC17))</f>
        <v>6.65203997372579</v>
      </c>
      <c r="I25" s="420" t="str">
        <f>IF(DataH!$AD17&lt;0, NA(), IF(ISERROR(DataH!$AA17/DataH!$AD17), "", DataH!$AA17/DataH!$AD17))</f>
        <v/>
      </c>
      <c r="J25" s="216"/>
      <c r="K25" s="216"/>
      <c r="L25" s="220"/>
      <c r="M25" s="220"/>
      <c r="N25" s="945" t="str">
        <f>IF(Lang="English","Valuation Ratio:", "評價比率:" )</f>
        <v>Valuation Ratio:</v>
      </c>
      <c r="O25" s="970"/>
      <c r="P25" s="991" t="s">
        <v>421</v>
      </c>
      <c r="Q25" s="992"/>
      <c r="R25" s="216"/>
      <c r="S25" s="216"/>
      <c r="T25" s="216"/>
      <c r="U25" s="216"/>
      <c r="V25" s="216"/>
    </row>
    <row r="26" spans="2:22" ht="15" customHeight="1">
      <c r="B26" s="322" t="str">
        <f>IF(DataH!$V18="", "", DataH!$V18)</f>
        <v/>
      </c>
      <c r="C26" s="416" t="str">
        <f>IF(DataH!$X18&lt;0, NA(), IF(ISERROR(DataH!$W18/DataH!$X18), "", DataH!$W18/DataH!$X18))</f>
        <v/>
      </c>
      <c r="D26" s="416" t="str">
        <f>IF(DataH!$Y18&lt;0, NA(), IF(ISERROR(DataH!$W18/DataH!$Y18), "", DataH!$W18/DataH!$Y18))</f>
        <v/>
      </c>
      <c r="E26" s="417" t="str">
        <f>IF(DataH!$Z18&lt;0, NA(), IF(ISERROR(DataH!$W18/DataH!$Z18), "", DataH!$W18/DataH!$Z18))</f>
        <v/>
      </c>
      <c r="G26" s="418" t="str">
        <f>IF(DataH!$AB18&lt;0, NA(), IF(ISERROR(DataH!$AA18/DataH!$AB18), "", DataH!$AA18/DataH!$AB18))</f>
        <v/>
      </c>
      <c r="H26" s="416" t="str">
        <f>IF(DataH!$AC18&lt;0, NA(), IF(ISERROR(DataH!$AA18/DataH!$AC18), "", DataH!$AA18/DataH!$AC18))</f>
        <v/>
      </c>
      <c r="I26" s="417" t="str">
        <f>IF(DataH!$AD18&lt;0, NA(), IF(ISERROR(DataH!$AA18/DataH!$AD18), "", DataH!$AA18/DataH!$AD18))</f>
        <v/>
      </c>
      <c r="J26" s="216"/>
      <c r="K26" s="216"/>
      <c r="L26" s="216"/>
      <c r="M26" s="216"/>
      <c r="N26" s="216"/>
      <c r="O26" s="216"/>
      <c r="P26" s="216"/>
      <c r="Q26" s="216"/>
      <c r="R26" s="216"/>
      <c r="S26" s="216"/>
      <c r="T26" s="216"/>
      <c r="U26" s="216"/>
      <c r="V26" s="216"/>
    </row>
    <row r="27" spans="2:22" ht="15" customHeight="1">
      <c r="B27" s="318" t="str">
        <f>IF(DataH!$V19="", "", DataH!$V19)</f>
        <v/>
      </c>
      <c r="C27" s="419" t="str">
        <f>IF(DataH!$X19&lt;0, NA(), IF(ISERROR(DataH!$W19/DataH!$X19), "", DataH!$W19/DataH!$X19))</f>
        <v/>
      </c>
      <c r="D27" s="419" t="str">
        <f>IF(DataH!$Y19&lt;0, NA(), IF(ISERROR(DataH!$W19/DataH!$Y19), "", DataH!$W19/DataH!$Y19))</f>
        <v/>
      </c>
      <c r="E27" s="420" t="str">
        <f>IF(DataH!$Z19&lt;0, NA(), IF(ISERROR(DataH!$W19/DataH!$Z19), "", DataH!$W19/DataH!$Z19))</f>
        <v/>
      </c>
      <c r="G27" s="421" t="str">
        <f>IF(DataH!$AB19&lt;0, NA(), IF(ISERROR(DataH!$AA19/DataH!$AB19), "", DataH!$AA19/DataH!$AB19))</f>
        <v/>
      </c>
      <c r="H27" s="419" t="str">
        <f>IF(DataH!$AC19&lt;0, NA(), IF(ISERROR(DataH!$AA19/DataH!$AC19), "", DataH!$AA19/DataH!$AC19))</f>
        <v/>
      </c>
      <c r="I27" s="420" t="str">
        <f>IF(DataH!$AD19&lt;0, NA(), IF(ISERROR(DataH!$AA19/DataH!$AD19), "", DataH!$AA19/DataH!$AD19))</f>
        <v/>
      </c>
      <c r="J27" s="216"/>
      <c r="K27" s="216"/>
      <c r="L27" s="216"/>
      <c r="M27" s="216"/>
      <c r="N27" s="216"/>
      <c r="O27" s="216"/>
      <c r="P27" s="216"/>
      <c r="Q27" s="216"/>
      <c r="R27" s="216"/>
      <c r="S27" s="986" t="str">
        <f>+P25</f>
        <v>EV EBITDA</v>
      </c>
      <c r="T27" s="987"/>
      <c r="U27" s="988"/>
      <c r="V27" s="216"/>
    </row>
    <row r="28" spans="2:22" ht="15" customHeight="1">
      <c r="B28" s="322" t="str">
        <f>IF(DataH!$V20="", "", DataH!$V20)</f>
        <v/>
      </c>
      <c r="C28" s="416" t="str">
        <f>IF(DataH!$X20&lt;0, NA(), IF(ISERROR(DataH!$W20/DataH!$X20), "", DataH!$W20/DataH!$X20))</f>
        <v/>
      </c>
      <c r="D28" s="416" t="str">
        <f>IF(DataH!$Y20&lt;0, NA(), IF(ISERROR(DataH!$W20/DataH!$Y20), "", DataH!$W20/DataH!$Y20))</f>
        <v/>
      </c>
      <c r="E28" s="417" t="str">
        <f>IF(DataH!$Z20&lt;0, NA(), IF(ISERROR(DataH!$W20/DataH!$Z20), "", DataH!$W20/DataH!$Z20))</f>
        <v/>
      </c>
      <c r="G28" s="418" t="str">
        <f>IF(DataH!$AB20&lt;0, NA(), IF(ISERROR(DataH!$AA20/DataH!$AB20), "", DataH!$AA20/DataH!$AB20))</f>
        <v/>
      </c>
      <c r="H28" s="416" t="str">
        <f>IF(DataH!$AC20&lt;0, NA(), IF(ISERROR(DataH!$AA20/DataH!$AC20), "", DataH!$AA20/DataH!$AC20))</f>
        <v/>
      </c>
      <c r="I28" s="417" t="str">
        <f>IF(DataH!$AD20&lt;0, NA(), IF(ISERROR(DataH!$AA20/DataH!$AD20), "", DataH!$AA20/DataH!$AD20))</f>
        <v/>
      </c>
      <c r="J28" s="216"/>
      <c r="K28" s="216"/>
      <c r="L28" s="216"/>
      <c r="M28" s="216"/>
      <c r="N28" s="216"/>
      <c r="O28" s="216"/>
      <c r="P28" s="216"/>
      <c r="Q28" s="216"/>
      <c r="R28" s="216"/>
      <c r="S28" s="942" t="str">
        <f>$G$9 &amp; " Last:"</f>
        <v>EV/EBITDA FY1 Last:</v>
      </c>
      <c r="T28" s="943"/>
      <c r="U28" s="476" t="e">
        <f>G$11</f>
        <v>#N/A</v>
      </c>
      <c r="V28" s="216"/>
    </row>
    <row r="29" spans="2:22" ht="15" customHeight="1">
      <c r="B29" s="318" t="str">
        <f>IF(DataH!$V21="", "", DataH!$V21)</f>
        <v/>
      </c>
      <c r="C29" s="419" t="str">
        <f>IF(DataH!$X21&lt;0, NA(), IF(ISERROR(DataH!$W21/DataH!$X21), "", DataH!$W21/DataH!$X21))</f>
        <v/>
      </c>
      <c r="D29" s="419" t="str">
        <f>IF(DataH!$Y21&lt;0, NA(), IF(ISERROR(DataH!$W21/DataH!$Y21), "", DataH!$W21/DataH!$Y21))</f>
        <v/>
      </c>
      <c r="E29" s="420" t="str">
        <f>IF(DataH!$Z21&lt;0, NA(), IF(ISERROR(DataH!$W21/DataH!$Z21), "", DataH!$W21/DataH!$Z21))</f>
        <v/>
      </c>
      <c r="G29" s="421" t="str">
        <f>IF(DataH!$AB21&lt;0, NA(), IF(ISERROR(DataH!$AA21/DataH!$AB21), "", DataH!$AA21/DataH!$AB21))</f>
        <v/>
      </c>
      <c r="H29" s="419" t="str">
        <f>IF(DataH!$AC21&lt;0, NA(), IF(ISERROR(DataH!$AA21/DataH!$AC21), "", DataH!$AA21/DataH!$AC21))</f>
        <v/>
      </c>
      <c r="I29" s="420" t="str">
        <f>IF(DataH!$AD21&lt;0, NA(), IF(ISERROR(DataH!$AA21/DataH!$AD21), "", DataH!$AA21/DataH!$AD21))</f>
        <v/>
      </c>
      <c r="J29" s="216"/>
      <c r="K29" s="216"/>
      <c r="L29" s="216"/>
      <c r="M29" s="216"/>
      <c r="N29" s="216"/>
      <c r="O29" s="216"/>
      <c r="P29" s="216"/>
      <c r="Q29" s="216"/>
      <c r="R29" s="216"/>
      <c r="S29" s="862" t="str">
        <f>$G$9 &amp; " Mean:"</f>
        <v>EV/EBITDA FY1 Mean:</v>
      </c>
      <c r="T29" s="768"/>
      <c r="U29" s="420" t="str">
        <f>IF(ISERROR(AVERAGE(G$11:G$602)), "", AVERAGE(G$11:G$602))</f>
        <v/>
      </c>
      <c r="V29" s="216"/>
    </row>
    <row r="30" spans="2:22" ht="15" customHeight="1">
      <c r="B30" s="322" t="str">
        <f>IF(DataH!$V22="", "", DataH!$V22)</f>
        <v/>
      </c>
      <c r="C30" s="416" t="str">
        <f>IF(DataH!$X22&lt;0, NA(), IF(ISERROR(DataH!$W22/DataH!$X22), "", DataH!$W22/DataH!$X22))</f>
        <v/>
      </c>
      <c r="D30" s="416" t="str">
        <f>IF(DataH!$Y22&lt;0, NA(), IF(ISERROR(DataH!$W22/DataH!$Y22), "", DataH!$W22/DataH!$Y22))</f>
        <v/>
      </c>
      <c r="E30" s="417" t="str">
        <f>IF(DataH!$Z22&lt;0, NA(), IF(ISERROR(DataH!$W22/DataH!$Z22), "", DataH!$W22/DataH!$Z22))</f>
        <v/>
      </c>
      <c r="G30" s="418" t="str">
        <f>IF(DataH!$AB22&lt;0, NA(), IF(ISERROR(DataH!$AA22/DataH!$AB22), "", DataH!$AA22/DataH!$AB22))</f>
        <v/>
      </c>
      <c r="H30" s="416" t="str">
        <f>IF(DataH!$AC22&lt;0, NA(), IF(ISERROR(DataH!$AA22/DataH!$AC22), "", DataH!$AA22/DataH!$AC22))</f>
        <v/>
      </c>
      <c r="I30" s="417" t="str">
        <f>IF(DataH!$AD22&lt;0, NA(), IF(ISERROR(DataH!$AA22/DataH!$AD22), "", DataH!$AA22/DataH!$AD22))</f>
        <v/>
      </c>
      <c r="J30" s="216"/>
      <c r="K30" s="216"/>
      <c r="L30" s="216"/>
      <c r="M30" s="216"/>
      <c r="N30" s="216"/>
      <c r="O30" s="216"/>
      <c r="P30" s="216"/>
      <c r="Q30" s="216"/>
      <c r="R30" s="216"/>
      <c r="S30" s="910" t="s">
        <v>570</v>
      </c>
      <c r="T30" s="765"/>
      <c r="U30" s="417" t="str">
        <f>IF(ISERROR((U28-U29)/STDEV(G$11:G$602)), "", (U28-U29)/STDEV(G$11:G$602))</f>
        <v/>
      </c>
      <c r="V30" s="216"/>
    </row>
    <row r="31" spans="2:22" ht="15" customHeight="1">
      <c r="B31" s="318" t="str">
        <f>IF(DataH!$V23="", "", DataH!$V23)</f>
        <v/>
      </c>
      <c r="C31" s="419" t="str">
        <f>IF(DataH!$X23&lt;0, NA(), IF(ISERROR(DataH!$W23/DataH!$X23), "", DataH!$W23/DataH!$X23))</f>
        <v/>
      </c>
      <c r="D31" s="419" t="str">
        <f>IF(DataH!$Y23&lt;0, NA(), IF(ISERROR(DataH!$W23/DataH!$Y23), "", DataH!$W23/DataH!$Y23))</f>
        <v/>
      </c>
      <c r="E31" s="420" t="str">
        <f>IF(DataH!$Z23&lt;0, NA(), IF(ISERROR(DataH!$W23/DataH!$Z23), "", DataH!$W23/DataH!$Z23))</f>
        <v/>
      </c>
      <c r="G31" s="421" t="str">
        <f>IF(DataH!$AB23&lt;0, NA(), IF(ISERROR(DataH!$AA23/DataH!$AB23), "", DataH!$AA23/DataH!$AB23))</f>
        <v/>
      </c>
      <c r="H31" s="419" t="str">
        <f>IF(DataH!$AC23&lt;0, NA(), IF(ISERROR(DataH!$AA23/DataH!$AC23), "", DataH!$AA23/DataH!$AC23))</f>
        <v/>
      </c>
      <c r="I31" s="420" t="str">
        <f>IF(DataH!$AD23&lt;0, NA(), IF(ISERROR(DataH!$AA23/DataH!$AD23), "", DataH!$AA23/DataH!$AD23))</f>
        <v/>
      </c>
      <c r="J31" s="216"/>
      <c r="K31" s="216"/>
      <c r="L31" s="216"/>
      <c r="M31" s="216"/>
      <c r="N31" s="216"/>
      <c r="O31" s="216"/>
      <c r="P31" s="216"/>
      <c r="Q31" s="216"/>
      <c r="R31" s="216"/>
      <c r="S31" s="862"/>
      <c r="T31" s="768"/>
      <c r="U31" s="420"/>
      <c r="V31" s="216"/>
    </row>
    <row r="32" spans="2:22" ht="15" customHeight="1">
      <c r="B32" s="322" t="str">
        <f>IF(DataH!$V24="", "", DataH!$V24)</f>
        <v/>
      </c>
      <c r="C32" s="416" t="str">
        <f>IF(DataH!$X24&lt;0, NA(), IF(ISERROR(DataH!$W24/DataH!$X24), "", DataH!$W24/DataH!$X24))</f>
        <v/>
      </c>
      <c r="D32" s="416" t="str">
        <f>IF(DataH!$Y24&lt;0, NA(), IF(ISERROR(DataH!$W24/DataH!$Y24), "", DataH!$W24/DataH!$Y24))</f>
        <v/>
      </c>
      <c r="E32" s="417" t="str">
        <f>IF(DataH!$Z24&lt;0, NA(), IF(ISERROR(DataH!$W24/DataH!$Z24), "", DataH!$W24/DataH!$Z24))</f>
        <v/>
      </c>
      <c r="G32" s="418" t="str">
        <f>IF(DataH!$AB24&lt;0, NA(), IF(ISERROR(DataH!$AA24/DataH!$AB24), "", DataH!$AA24/DataH!$AB24))</f>
        <v/>
      </c>
      <c r="H32" s="416" t="str">
        <f>IF(DataH!$AC24&lt;0, NA(), IF(ISERROR(DataH!$AA24/DataH!$AC24), "", DataH!$AA24/DataH!$AC24))</f>
        <v/>
      </c>
      <c r="I32" s="417" t="str">
        <f>IF(DataH!$AD24&lt;0, NA(), IF(ISERROR(DataH!$AA24/DataH!$AD24), "", DataH!$AA24/DataH!$AD24))</f>
        <v/>
      </c>
      <c r="J32" s="216"/>
      <c r="K32" s="216"/>
      <c r="L32" s="216"/>
      <c r="M32" s="216"/>
      <c r="N32" s="216"/>
      <c r="O32" s="216"/>
      <c r="P32" s="216"/>
      <c r="Q32" s="216"/>
      <c r="R32" s="216"/>
      <c r="S32" s="910" t="str">
        <f>$H$9 &amp; " Last:"</f>
        <v>EV/EBITDA FY2 Last:</v>
      </c>
      <c r="T32" s="765"/>
      <c r="U32" s="417" t="e">
        <f>H$11</f>
        <v>#N/A</v>
      </c>
      <c r="V32" s="216"/>
    </row>
    <row r="33" spans="2:22" ht="15" customHeight="1">
      <c r="B33" s="318" t="str">
        <f>IF(DataH!$V25="", "", DataH!$V25)</f>
        <v/>
      </c>
      <c r="C33" s="419" t="str">
        <f>IF(DataH!$X25&lt;0, NA(), IF(ISERROR(DataH!$W25/DataH!$X25), "", DataH!$W25/DataH!$X25))</f>
        <v/>
      </c>
      <c r="D33" s="419" t="str">
        <f>IF(DataH!$Y25&lt;0, NA(), IF(ISERROR(DataH!$W25/DataH!$Y25), "", DataH!$W25/DataH!$Y25))</f>
        <v/>
      </c>
      <c r="E33" s="420" t="str">
        <f>IF(DataH!$Z25&lt;0, NA(), IF(ISERROR(DataH!$W25/DataH!$Z25), "", DataH!$W25/DataH!$Z25))</f>
        <v/>
      </c>
      <c r="G33" s="421" t="str">
        <f>IF(DataH!$AB25&lt;0, NA(), IF(ISERROR(DataH!$AA25/DataH!$AB25), "", DataH!$AA25/DataH!$AB25))</f>
        <v/>
      </c>
      <c r="H33" s="419" t="str">
        <f>IF(DataH!$AC25&lt;0, NA(), IF(ISERROR(DataH!$AA25/DataH!$AC25), "", DataH!$AA25/DataH!$AC25))</f>
        <v/>
      </c>
      <c r="I33" s="420" t="str">
        <f>IF(DataH!$AD25&lt;0, NA(), IF(ISERROR(DataH!$AA25/DataH!$AD25), "", DataH!$AA25/DataH!$AD25))</f>
        <v/>
      </c>
      <c r="J33" s="216"/>
      <c r="K33" s="216"/>
      <c r="L33" s="216"/>
      <c r="M33" s="216"/>
      <c r="N33" s="216"/>
      <c r="O33" s="216"/>
      <c r="P33" s="216"/>
      <c r="Q33" s="216"/>
      <c r="R33" s="216"/>
      <c r="S33" s="862" t="str">
        <f>$H$9 &amp; " Mean:"</f>
        <v>EV/EBITDA FY2 Mean:</v>
      </c>
      <c r="T33" s="768"/>
      <c r="U33" s="420" t="str">
        <f>IF(ISERROR(AVERAGE(H$11:H$602)), "", AVERAGE(H$11:H$602))</f>
        <v/>
      </c>
      <c r="V33" s="216"/>
    </row>
    <row r="34" spans="2:22" ht="15" customHeight="1">
      <c r="B34" s="322" t="str">
        <f>IF(DataH!$V26="", "", DataH!$V26)</f>
        <v/>
      </c>
      <c r="C34" s="416" t="str">
        <f>IF(DataH!$X26&lt;0, NA(), IF(ISERROR(DataH!$W26/DataH!$X26), "", DataH!$W26/DataH!$X26))</f>
        <v/>
      </c>
      <c r="D34" s="416" t="str">
        <f>IF(DataH!$Y26&lt;0, NA(), IF(ISERROR(DataH!$W26/DataH!$Y26), "", DataH!$W26/DataH!$Y26))</f>
        <v/>
      </c>
      <c r="E34" s="417" t="str">
        <f>IF(DataH!$Z26&lt;0, NA(), IF(ISERROR(DataH!$W26/DataH!$Z26), "", DataH!$W26/DataH!$Z26))</f>
        <v/>
      </c>
      <c r="G34" s="418" t="str">
        <f>IF(DataH!$AB26&lt;0, NA(), IF(ISERROR(DataH!$AA26/DataH!$AB26), "", DataH!$AA26/DataH!$AB26))</f>
        <v/>
      </c>
      <c r="H34" s="416" t="str">
        <f>IF(DataH!$AC26&lt;0, NA(), IF(ISERROR(DataH!$AA26/DataH!$AC26), "", DataH!$AA26/DataH!$AC26))</f>
        <v/>
      </c>
      <c r="I34" s="417" t="str">
        <f>IF(DataH!$AD26&lt;0, NA(), IF(ISERROR(DataH!$AA26/DataH!$AD26), "", DataH!$AA26/DataH!$AD26))</f>
        <v/>
      </c>
      <c r="J34" s="216"/>
      <c r="K34" s="216"/>
      <c r="L34" s="216"/>
      <c r="M34" s="216"/>
      <c r="N34" s="216"/>
      <c r="O34" s="216"/>
      <c r="P34" s="216"/>
      <c r="Q34" s="216"/>
      <c r="R34" s="216"/>
      <c r="S34" s="910" t="s">
        <v>570</v>
      </c>
      <c r="T34" s="765"/>
      <c r="U34" s="417" t="str">
        <f>IF(ISERROR((U32-U33)/STDEV(H$11:H$602)), "", (U32-U33)/STDEV(H$11:H$602))</f>
        <v/>
      </c>
      <c r="V34" s="216"/>
    </row>
    <row r="35" spans="2:22" ht="15" customHeight="1">
      <c r="B35" s="318" t="str">
        <f>IF(DataH!$V27="", "", DataH!$V27)</f>
        <v/>
      </c>
      <c r="C35" s="419" t="str">
        <f>IF(DataH!$X27&lt;0, NA(), IF(ISERROR(DataH!$W27/DataH!$X27), "", DataH!$W27/DataH!$X27))</f>
        <v/>
      </c>
      <c r="D35" s="419" t="str">
        <f>IF(DataH!$Y27&lt;0, NA(), IF(ISERROR(DataH!$W27/DataH!$Y27), "", DataH!$W27/DataH!$Y27))</f>
        <v/>
      </c>
      <c r="E35" s="420" t="str">
        <f>IF(DataH!$Z27&lt;0, NA(), IF(ISERROR(DataH!$W27/DataH!$Z27), "", DataH!$W27/DataH!$Z27))</f>
        <v/>
      </c>
      <c r="G35" s="421" t="str">
        <f>IF(DataH!$AB27&lt;0, NA(), IF(ISERROR(DataH!$AA27/DataH!$AB27), "", DataH!$AA27/DataH!$AB27))</f>
        <v/>
      </c>
      <c r="H35" s="419" t="str">
        <f>IF(DataH!$AC27&lt;0, NA(), IF(ISERROR(DataH!$AA27/DataH!$AC27), "", DataH!$AA27/DataH!$AC27))</f>
        <v/>
      </c>
      <c r="I35" s="420" t="str">
        <f>IF(DataH!$AD27&lt;0, NA(), IF(ISERROR(DataH!$AA27/DataH!$AD27), "", DataH!$AA27/DataH!$AD27))</f>
        <v/>
      </c>
      <c r="J35" s="216"/>
      <c r="K35" s="216"/>
      <c r="L35" s="216"/>
      <c r="M35" s="216"/>
      <c r="N35" s="216"/>
      <c r="O35" s="216"/>
      <c r="P35" s="216"/>
      <c r="Q35" s="216"/>
      <c r="R35" s="216"/>
      <c r="S35" s="862"/>
      <c r="T35" s="768"/>
      <c r="U35" s="282"/>
      <c r="V35" s="216"/>
    </row>
    <row r="36" spans="2:22" ht="15" customHeight="1">
      <c r="B36" s="322" t="str">
        <f>IF(DataH!$V28="", "", DataH!$V28)</f>
        <v/>
      </c>
      <c r="C36" s="416" t="str">
        <f>IF(DataH!$X28&lt;0, NA(), IF(ISERROR(DataH!$W28/DataH!$X28), "", DataH!$W28/DataH!$X28))</f>
        <v/>
      </c>
      <c r="D36" s="416" t="str">
        <f>IF(DataH!$Y28&lt;0, NA(), IF(ISERROR(DataH!$W28/DataH!$Y28), "", DataH!$W28/DataH!$Y28))</f>
        <v/>
      </c>
      <c r="E36" s="417" t="str">
        <f>IF(DataH!$Z28&lt;0, NA(), IF(ISERROR(DataH!$W28/DataH!$Z28), "", DataH!$W28/DataH!$Z28))</f>
        <v/>
      </c>
      <c r="G36" s="418" t="str">
        <f>IF(DataH!$AB28&lt;0, NA(), IF(ISERROR(DataH!$AA28/DataH!$AB28), "", DataH!$AA28/DataH!$AB28))</f>
        <v/>
      </c>
      <c r="H36" s="416" t="str">
        <f>IF(DataH!$AC28&lt;0, NA(), IF(ISERROR(DataH!$AA28/DataH!$AC28), "", DataH!$AA28/DataH!$AC28))</f>
        <v/>
      </c>
      <c r="I36" s="417" t="str">
        <f>IF(DataH!$AD28&lt;0, NA(), IF(ISERROR(DataH!$AA28/DataH!$AD28), "", DataH!$AA28/DataH!$AD28))</f>
        <v/>
      </c>
      <c r="J36" s="216"/>
      <c r="K36" s="216"/>
      <c r="L36" s="216"/>
      <c r="M36" s="216"/>
      <c r="N36" s="216"/>
      <c r="O36" s="216"/>
      <c r="P36" s="216"/>
      <c r="Q36" s="216"/>
      <c r="R36" s="216"/>
      <c r="S36" s="910" t="str">
        <f>$I$9 &amp; " Last:"</f>
        <v>EV/EBITDA FY3 Last:</v>
      </c>
      <c r="T36" s="765"/>
      <c r="U36" s="417" t="e">
        <f>I$11</f>
        <v>#N/A</v>
      </c>
      <c r="V36" s="216"/>
    </row>
    <row r="37" spans="2:22" ht="15" customHeight="1">
      <c r="B37" s="318" t="str">
        <f>IF(DataH!$V29="", "", DataH!$V29)</f>
        <v/>
      </c>
      <c r="C37" s="419" t="str">
        <f>IF(DataH!$X29&lt;0, NA(), IF(ISERROR(DataH!$W29/DataH!$X29), "", DataH!$W29/DataH!$X29))</f>
        <v/>
      </c>
      <c r="D37" s="419" t="str">
        <f>IF(DataH!$Y29&lt;0, NA(), IF(ISERROR(DataH!$W29/DataH!$Y29), "", DataH!$W29/DataH!$Y29))</f>
        <v/>
      </c>
      <c r="E37" s="420" t="str">
        <f>IF(DataH!$Z29&lt;0, NA(), IF(ISERROR(DataH!$W29/DataH!$Z29), "", DataH!$W29/DataH!$Z29))</f>
        <v/>
      </c>
      <c r="G37" s="421" t="str">
        <f>IF(DataH!$AB29&lt;0, NA(), IF(ISERROR(DataH!$AA29/DataH!$AB29), "", DataH!$AA29/DataH!$AB29))</f>
        <v/>
      </c>
      <c r="H37" s="419" t="str">
        <f>IF(DataH!$AC29&lt;0, NA(), IF(ISERROR(DataH!$AA29/DataH!$AC29), "", DataH!$AA29/DataH!$AC29))</f>
        <v/>
      </c>
      <c r="I37" s="420" t="str">
        <f>IF(DataH!$AD29&lt;0, NA(), IF(ISERROR(DataH!$AA29/DataH!$AD29), "", DataH!$AA29/DataH!$AD29))</f>
        <v/>
      </c>
      <c r="J37" s="216"/>
      <c r="K37" s="216"/>
      <c r="L37" s="216"/>
      <c r="M37" s="216"/>
      <c r="N37" s="216"/>
      <c r="O37" s="216"/>
      <c r="P37" s="216"/>
      <c r="Q37" s="216"/>
      <c r="R37" s="216"/>
      <c r="S37" s="862" t="str">
        <f>$I$9 &amp; " Mean:"</f>
        <v>EV/EBITDA FY3 Mean:</v>
      </c>
      <c r="T37" s="768"/>
      <c r="U37" s="420" t="str">
        <f>IF(ISERROR(AVERAGE(I$11:I$602)), "", AVERAGE(I$11:I$602))</f>
        <v/>
      </c>
      <c r="V37" s="216"/>
    </row>
    <row r="38" spans="2:22" ht="15" customHeight="1">
      <c r="B38" s="322" t="str">
        <f>IF(DataH!$V30="", "", DataH!$V30)</f>
        <v/>
      </c>
      <c r="C38" s="416" t="str">
        <f>IF(DataH!$X30&lt;0, NA(), IF(ISERROR(DataH!$W30/DataH!$X30), "", DataH!$W30/DataH!$X30))</f>
        <v/>
      </c>
      <c r="D38" s="416" t="str">
        <f>IF(DataH!$Y30&lt;0, NA(), IF(ISERROR(DataH!$W30/DataH!$Y30), "", DataH!$W30/DataH!$Y30))</f>
        <v/>
      </c>
      <c r="E38" s="417" t="str">
        <f>IF(DataH!$Z30&lt;0, NA(), IF(ISERROR(DataH!$W30/DataH!$Z30), "", DataH!$W30/DataH!$Z30))</f>
        <v/>
      </c>
      <c r="G38" s="418" t="str">
        <f>IF(DataH!$AB30&lt;0, NA(), IF(ISERROR(DataH!$AA30/DataH!$AB30), "", DataH!$AA30/DataH!$AB30))</f>
        <v/>
      </c>
      <c r="H38" s="416" t="str">
        <f>IF(DataH!$AC30&lt;0, NA(), IF(ISERROR(DataH!$AA30/DataH!$AC30), "", DataH!$AA30/DataH!$AC30))</f>
        <v/>
      </c>
      <c r="I38" s="417" t="str">
        <f>IF(DataH!$AD30&lt;0, NA(), IF(ISERROR(DataH!$AA30/DataH!$AD30), "", DataH!$AA30/DataH!$AD30))</f>
        <v/>
      </c>
      <c r="J38" s="216"/>
      <c r="K38" s="216"/>
      <c r="L38" s="216"/>
      <c r="M38" s="216"/>
      <c r="N38" s="216"/>
      <c r="O38" s="216"/>
      <c r="P38" s="216"/>
      <c r="Q38" s="216"/>
      <c r="R38" s="216"/>
      <c r="S38" s="989" t="s">
        <v>570</v>
      </c>
      <c r="T38" s="990"/>
      <c r="U38" s="423" t="str">
        <f>IF(ISERROR((U36-U37)/STDEV(I$11:I$602)), "", (U36-U37)/STDEV(I$11:I$602))</f>
        <v/>
      </c>
      <c r="V38" s="216"/>
    </row>
    <row r="39" spans="2:22" ht="15" customHeight="1">
      <c r="B39" s="318" t="str">
        <f>IF(DataH!$V31="", "", DataH!$V31)</f>
        <v/>
      </c>
      <c r="C39" s="419" t="str">
        <f>IF(DataH!$X31&lt;0, NA(), IF(ISERROR(DataH!$W31/DataH!$X31), "", DataH!$W31/DataH!$X31))</f>
        <v/>
      </c>
      <c r="D39" s="419" t="str">
        <f>IF(DataH!$Y31&lt;0, NA(), IF(ISERROR(DataH!$W31/DataH!$Y31), "", DataH!$W31/DataH!$Y31))</f>
        <v/>
      </c>
      <c r="E39" s="420" t="str">
        <f>IF(DataH!$Z31&lt;0, NA(), IF(ISERROR(DataH!$W31/DataH!$Z31), "", DataH!$W31/DataH!$Z31))</f>
        <v/>
      </c>
      <c r="G39" s="421" t="str">
        <f>IF(DataH!$AB31&lt;0, NA(), IF(ISERROR(DataH!$AA31/DataH!$AB31), "", DataH!$AA31/DataH!$AB31))</f>
        <v/>
      </c>
      <c r="H39" s="419" t="str">
        <f>IF(DataH!$AC31&lt;0, NA(), IF(ISERROR(DataH!$AA31/DataH!$AC31), "", DataH!$AA31/DataH!$AC31))</f>
        <v/>
      </c>
      <c r="I39" s="420" t="str">
        <f>IF(DataH!$AD31&lt;0, NA(), IF(ISERROR(DataH!$AA31/DataH!$AD31), "", DataH!$AA31/DataH!$AD31))</f>
        <v/>
      </c>
      <c r="J39" s="216"/>
      <c r="K39" s="216"/>
      <c r="L39" s="216"/>
      <c r="M39" s="216"/>
      <c r="N39" s="216"/>
      <c r="O39" s="216"/>
      <c r="P39" s="216"/>
      <c r="Q39" s="216"/>
      <c r="R39" s="216"/>
      <c r="S39" s="216"/>
      <c r="T39" s="216"/>
      <c r="U39" s="216"/>
      <c r="V39" s="216"/>
    </row>
    <row r="40" spans="2:22" ht="15" customHeight="1">
      <c r="B40" s="322" t="str">
        <f>IF(DataH!$V32="", "", DataH!$V32)</f>
        <v/>
      </c>
      <c r="C40" s="416" t="str">
        <f>IF(DataH!$X32&lt;0, NA(), IF(ISERROR(DataH!$W32/DataH!$X32), "", DataH!$W32/DataH!$X32))</f>
        <v/>
      </c>
      <c r="D40" s="416" t="str">
        <f>IF(DataH!$Y32&lt;0, NA(), IF(ISERROR(DataH!$W32/DataH!$Y32), "", DataH!$W32/DataH!$Y32))</f>
        <v/>
      </c>
      <c r="E40" s="417" t="str">
        <f>IF(DataH!$Z32&lt;0, NA(), IF(ISERROR(DataH!$W32/DataH!$Z32), "", DataH!$W32/DataH!$Z32))</f>
        <v/>
      </c>
      <c r="G40" s="418" t="str">
        <f>IF(DataH!$AB32&lt;0, NA(), IF(ISERROR(DataH!$AA32/DataH!$AB32), "", DataH!$AA32/DataH!$AB32))</f>
        <v/>
      </c>
      <c r="H40" s="416" t="str">
        <f>IF(DataH!$AC32&lt;0, NA(), IF(ISERROR(DataH!$AA32/DataH!$AC32), "", DataH!$AA32/DataH!$AC32))</f>
        <v/>
      </c>
      <c r="I40" s="417" t="str">
        <f>IF(DataH!$AD32&lt;0, NA(), IF(ISERROR(DataH!$AA32/DataH!$AD32), "", DataH!$AA32/DataH!$AD32))</f>
        <v/>
      </c>
      <c r="J40" s="216"/>
      <c r="K40" s="216"/>
      <c r="L40" s="216"/>
      <c r="M40" s="216"/>
      <c r="N40" s="216"/>
      <c r="O40" s="216"/>
      <c r="P40" s="216"/>
      <c r="Q40" s="216"/>
      <c r="R40" s="216"/>
      <c r="S40" s="216"/>
      <c r="T40" s="216"/>
      <c r="U40" s="216"/>
      <c r="V40" s="216"/>
    </row>
    <row r="41" spans="2:22" ht="15" customHeight="1">
      <c r="B41" s="318" t="str">
        <f>IF(DataH!$V33="", "", DataH!$V33)</f>
        <v/>
      </c>
      <c r="C41" s="419" t="str">
        <f>IF(DataH!$X33&lt;0, NA(), IF(ISERROR(DataH!$W33/DataH!$X33), "", DataH!$W33/DataH!$X33))</f>
        <v/>
      </c>
      <c r="D41" s="419" t="str">
        <f>IF(DataH!$Y33&lt;0, NA(), IF(ISERROR(DataH!$W33/DataH!$Y33), "", DataH!$W33/DataH!$Y33))</f>
        <v/>
      </c>
      <c r="E41" s="420" t="str">
        <f>IF(DataH!$Z33&lt;0, NA(), IF(ISERROR(DataH!$W33/DataH!$Z33), "", DataH!$W33/DataH!$Z33))</f>
        <v/>
      </c>
      <c r="G41" s="421" t="str">
        <f>IF(DataH!$AB33&lt;0, NA(), IF(ISERROR(DataH!$AA33/DataH!$AB33), "", DataH!$AA33/DataH!$AB33))</f>
        <v/>
      </c>
      <c r="H41" s="419" t="str">
        <f>IF(DataH!$AC33&lt;0, NA(), IF(ISERROR(DataH!$AA33/DataH!$AC33), "", DataH!$AA33/DataH!$AC33))</f>
        <v/>
      </c>
      <c r="I41" s="420" t="str">
        <f>IF(DataH!$AD33&lt;0, NA(), IF(ISERROR(DataH!$AA33/DataH!$AD33), "", DataH!$AA33/DataH!$AD33))</f>
        <v/>
      </c>
      <c r="J41" s="216"/>
      <c r="K41" s="216"/>
      <c r="L41" s="216"/>
      <c r="M41" s="216"/>
      <c r="N41" s="216"/>
      <c r="O41" s="216"/>
      <c r="P41" s="216"/>
      <c r="Q41" s="216"/>
      <c r="R41" s="216"/>
      <c r="S41" s="216"/>
      <c r="T41" s="216"/>
      <c r="U41" s="216"/>
      <c r="V41" s="216"/>
    </row>
    <row r="42" spans="2:22" ht="15" customHeight="1">
      <c r="B42" s="322" t="str">
        <f>IF(DataH!$V34="", "", DataH!$V34)</f>
        <v/>
      </c>
      <c r="C42" s="416" t="str">
        <f>IF(DataH!$X34&lt;0, NA(), IF(ISERROR(DataH!$W34/DataH!$X34), "", DataH!$W34/DataH!$X34))</f>
        <v/>
      </c>
      <c r="D42" s="416" t="str">
        <f>IF(DataH!$Y34&lt;0, NA(), IF(ISERROR(DataH!$W34/DataH!$Y34), "", DataH!$W34/DataH!$Y34))</f>
        <v/>
      </c>
      <c r="E42" s="417" t="str">
        <f>IF(DataH!$Z34&lt;0, NA(), IF(ISERROR(DataH!$W34/DataH!$Z34), "", DataH!$W34/DataH!$Z34))</f>
        <v/>
      </c>
      <c r="G42" s="418" t="str">
        <f>IF(DataH!$AB34&lt;0, NA(), IF(ISERROR(DataH!$AA34/DataH!$AB34), "", DataH!$AA34/DataH!$AB34))</f>
        <v/>
      </c>
      <c r="H42" s="416" t="str">
        <f>IF(DataH!$AC34&lt;0, NA(), IF(ISERROR(DataH!$AA34/DataH!$AC34), "", DataH!$AA34/DataH!$AC34))</f>
        <v/>
      </c>
      <c r="I42" s="417" t="str">
        <f>IF(DataH!$AD34&lt;0, NA(), IF(ISERROR(DataH!$AA34/DataH!$AD34), "", DataH!$AA34/DataH!$AD34))</f>
        <v/>
      </c>
      <c r="J42" s="216"/>
      <c r="K42" s="216"/>
      <c r="L42" s="216"/>
      <c r="M42" s="216"/>
      <c r="N42" s="216"/>
      <c r="O42" s="216"/>
      <c r="P42" s="216"/>
      <c r="Q42" s="216"/>
      <c r="R42" s="216"/>
      <c r="S42" s="216"/>
      <c r="T42" s="216"/>
      <c r="U42" s="216"/>
      <c r="V42" s="216"/>
    </row>
    <row r="43" spans="2:22" ht="15" customHeight="1">
      <c r="B43" s="318" t="str">
        <f>IF(DataH!$V35="", "", DataH!$V35)</f>
        <v/>
      </c>
      <c r="C43" s="419" t="str">
        <f>IF(DataH!$X35&lt;0, NA(), IF(ISERROR(DataH!$W35/DataH!$X35), "", DataH!$W35/DataH!$X35))</f>
        <v/>
      </c>
      <c r="D43" s="419" t="str">
        <f>IF(DataH!$Y35&lt;0, NA(), IF(ISERROR(DataH!$W35/DataH!$Y35), "", DataH!$W35/DataH!$Y35))</f>
        <v/>
      </c>
      <c r="E43" s="420" t="str">
        <f>IF(DataH!$Z35&lt;0, NA(), IF(ISERROR(DataH!$W35/DataH!$Z35), "", DataH!$W35/DataH!$Z35))</f>
        <v/>
      </c>
      <c r="G43" s="421" t="str">
        <f>IF(DataH!$AB35&lt;0, NA(), IF(ISERROR(DataH!$AA35/DataH!$AB35), "", DataH!$AA35/DataH!$AB35))</f>
        <v/>
      </c>
      <c r="H43" s="419" t="str">
        <f>IF(DataH!$AC35&lt;0, NA(), IF(ISERROR(DataH!$AA35/DataH!$AC35), "", DataH!$AA35/DataH!$AC35))</f>
        <v/>
      </c>
      <c r="I43" s="420" t="str">
        <f>IF(DataH!$AD35&lt;0, NA(), IF(ISERROR(DataH!$AA35/DataH!$AD35), "", DataH!$AA35/DataH!$AD35))</f>
        <v/>
      </c>
      <c r="J43" s="216"/>
      <c r="K43" s="216"/>
      <c r="L43" s="216"/>
      <c r="M43" s="216"/>
      <c r="N43" s="216"/>
      <c r="O43" s="216"/>
      <c r="P43" s="216"/>
      <c r="Q43" s="216"/>
      <c r="R43" s="216"/>
      <c r="S43" s="216"/>
      <c r="T43" s="216"/>
      <c r="U43" s="216"/>
      <c r="V43" s="216"/>
    </row>
    <row r="44" spans="2:22" ht="15" customHeight="1">
      <c r="B44" s="322" t="str">
        <f>IF(DataH!$V36="", "", DataH!$V36)</f>
        <v/>
      </c>
      <c r="C44" s="416" t="str">
        <f>IF(DataH!$X36&lt;0, NA(), IF(ISERROR(DataH!$W36/DataH!$X36), "", DataH!$W36/DataH!$X36))</f>
        <v/>
      </c>
      <c r="D44" s="416" t="str">
        <f>IF(DataH!$Y36&lt;0, NA(), IF(ISERROR(DataH!$W36/DataH!$Y36), "", DataH!$W36/DataH!$Y36))</f>
        <v/>
      </c>
      <c r="E44" s="417" t="str">
        <f>IF(DataH!$Z36&lt;0, NA(), IF(ISERROR(DataH!$W36/DataH!$Z36), "", DataH!$W36/DataH!$Z36))</f>
        <v/>
      </c>
      <c r="G44" s="418" t="str">
        <f>IF(DataH!$AB36&lt;0, NA(), IF(ISERROR(DataH!$AA36/DataH!$AB36), "", DataH!$AA36/DataH!$AB36))</f>
        <v/>
      </c>
      <c r="H44" s="416" t="str">
        <f>IF(DataH!$AC36&lt;0, NA(), IF(ISERROR(DataH!$AA36/DataH!$AC36), "", DataH!$AA36/DataH!$AC36))</f>
        <v/>
      </c>
      <c r="I44" s="417" t="str">
        <f>IF(DataH!$AD36&lt;0, NA(), IF(ISERROR(DataH!$AA36/DataH!$AD36), "", DataH!$AA36/DataH!$AD36))</f>
        <v/>
      </c>
      <c r="J44" s="216"/>
      <c r="K44" s="216"/>
      <c r="L44" s="216"/>
      <c r="M44" s="216"/>
      <c r="N44" s="216"/>
      <c r="O44" s="216"/>
      <c r="P44" s="216"/>
      <c r="Q44" s="216"/>
      <c r="R44" s="216"/>
      <c r="S44" s="216"/>
      <c r="T44" s="216"/>
      <c r="U44" s="216"/>
      <c r="V44" s="216"/>
    </row>
    <row r="45" spans="2:22" ht="15" customHeight="1">
      <c r="B45" s="318" t="str">
        <f>IF(DataH!$V37="", "", DataH!$V37)</f>
        <v/>
      </c>
      <c r="C45" s="419" t="str">
        <f>IF(DataH!$X37&lt;0, NA(), IF(ISERROR(DataH!$W37/DataH!$X37), "", DataH!$W37/DataH!$X37))</f>
        <v/>
      </c>
      <c r="D45" s="419" t="str">
        <f>IF(DataH!$Y37&lt;0, NA(), IF(ISERROR(DataH!$W37/DataH!$Y37), "", DataH!$W37/DataH!$Y37))</f>
        <v/>
      </c>
      <c r="E45" s="420" t="str">
        <f>IF(DataH!$Z37&lt;0, NA(), IF(ISERROR(DataH!$W37/DataH!$Z37), "", DataH!$W37/DataH!$Z37))</f>
        <v/>
      </c>
      <c r="G45" s="421" t="str">
        <f>IF(DataH!$AB37&lt;0, NA(), IF(ISERROR(DataH!$AA37/DataH!$AB37), "", DataH!$AA37/DataH!$AB37))</f>
        <v/>
      </c>
      <c r="H45" s="419" t="str">
        <f>IF(DataH!$AC37&lt;0, NA(), IF(ISERROR(DataH!$AA37/DataH!$AC37), "", DataH!$AA37/DataH!$AC37))</f>
        <v/>
      </c>
      <c r="I45" s="420" t="str">
        <f>IF(DataH!$AD37&lt;0, NA(), IF(ISERROR(DataH!$AA37/DataH!$AD37), "", DataH!$AA37/DataH!$AD37))</f>
        <v/>
      </c>
      <c r="J45" s="216"/>
      <c r="K45" s="216"/>
      <c r="L45" s="216"/>
      <c r="M45" s="216"/>
      <c r="N45" s="216"/>
      <c r="O45" s="216"/>
      <c r="P45" s="216"/>
      <c r="Q45" s="216"/>
      <c r="R45" s="216"/>
      <c r="S45" s="216"/>
      <c r="T45" s="216"/>
      <c r="U45" s="216"/>
      <c r="V45" s="216"/>
    </row>
    <row r="46" spans="2:22" ht="15" customHeight="1">
      <c r="B46" s="322" t="str">
        <f>IF(DataH!$V38="", "", DataH!$V38)</f>
        <v/>
      </c>
      <c r="C46" s="416" t="str">
        <f>IF(DataH!$X38&lt;0, NA(), IF(ISERROR(DataH!$W38/DataH!$X38), "", DataH!$W38/DataH!$X38))</f>
        <v/>
      </c>
      <c r="D46" s="416" t="str">
        <f>IF(DataH!$Y38&lt;0, NA(), IF(ISERROR(DataH!$W38/DataH!$Y38), "", DataH!$W38/DataH!$Y38))</f>
        <v/>
      </c>
      <c r="E46" s="417" t="str">
        <f>IF(DataH!$Z38&lt;0, NA(), IF(ISERROR(DataH!$W38/DataH!$Z38), "", DataH!$W38/DataH!$Z38))</f>
        <v/>
      </c>
      <c r="G46" s="418" t="str">
        <f>IF(DataH!$AB38&lt;0, NA(), IF(ISERROR(DataH!$AA38/DataH!$AB38), "", DataH!$AA38/DataH!$AB38))</f>
        <v/>
      </c>
      <c r="H46" s="416" t="str">
        <f>IF(DataH!$AC38&lt;0, NA(), IF(ISERROR(DataH!$AA38/DataH!$AC38), "", DataH!$AA38/DataH!$AC38))</f>
        <v/>
      </c>
      <c r="I46" s="417" t="str">
        <f>IF(DataH!$AD38&lt;0, NA(), IF(ISERROR(DataH!$AA38/DataH!$AD38), "", DataH!$AA38/DataH!$AD38))</f>
        <v/>
      </c>
      <c r="J46" s="216"/>
      <c r="K46" s="216"/>
      <c r="L46" s="216"/>
      <c r="M46" s="216"/>
      <c r="N46" s="216"/>
      <c r="O46" s="216"/>
      <c r="P46" s="216"/>
      <c r="Q46" s="216"/>
      <c r="R46" s="216"/>
      <c r="S46" s="216"/>
      <c r="T46" s="216"/>
      <c r="U46" s="216"/>
      <c r="V46" s="216"/>
    </row>
    <row r="47" spans="2:22" ht="15" customHeight="1">
      <c r="B47" s="318" t="str">
        <f>IF(DataH!$V39="", "", DataH!$V39)</f>
        <v/>
      </c>
      <c r="C47" s="419" t="str">
        <f>IF(DataH!$X39&lt;0, NA(), IF(ISERROR(DataH!$W39/DataH!$X39), "", DataH!$W39/DataH!$X39))</f>
        <v/>
      </c>
      <c r="D47" s="419" t="str">
        <f>IF(DataH!$Y39&lt;0, NA(), IF(ISERROR(DataH!$W39/DataH!$Y39), "", DataH!$W39/DataH!$Y39))</f>
        <v/>
      </c>
      <c r="E47" s="420" t="str">
        <f>IF(DataH!$Z39&lt;0, NA(), IF(ISERROR(DataH!$W39/DataH!$Z39), "", DataH!$W39/DataH!$Z39))</f>
        <v/>
      </c>
      <c r="G47" s="421" t="str">
        <f>IF(DataH!$AB39&lt;0, NA(), IF(ISERROR(DataH!$AA39/DataH!$AB39), "", DataH!$AA39/DataH!$AB39))</f>
        <v/>
      </c>
      <c r="H47" s="419" t="str">
        <f>IF(DataH!$AC39&lt;0, NA(), IF(ISERROR(DataH!$AA39/DataH!$AC39), "", DataH!$AA39/DataH!$AC39))</f>
        <v/>
      </c>
      <c r="I47" s="420" t="str">
        <f>IF(DataH!$AD39&lt;0, NA(), IF(ISERROR(DataH!$AA39/DataH!$AD39), "", DataH!$AA39/DataH!$AD39))</f>
        <v/>
      </c>
      <c r="J47" s="216"/>
      <c r="K47" s="216"/>
      <c r="L47" s="216"/>
      <c r="M47" s="216"/>
      <c r="N47" s="216"/>
      <c r="O47" s="216"/>
      <c r="P47" s="216"/>
      <c r="Q47" s="216"/>
      <c r="R47" s="216"/>
      <c r="S47" s="216"/>
      <c r="T47" s="216"/>
      <c r="U47" s="216"/>
      <c r="V47" s="216"/>
    </row>
    <row r="48" spans="2:22" ht="15" customHeight="1">
      <c r="B48" s="322" t="str">
        <f>IF(DataH!$V40="", "", DataH!$V40)</f>
        <v/>
      </c>
      <c r="C48" s="416" t="str">
        <f>IF(DataH!$X40&lt;0, NA(), IF(ISERROR(DataH!$W40/DataH!$X40), "", DataH!$W40/DataH!$X40))</f>
        <v/>
      </c>
      <c r="D48" s="416" t="str">
        <f>IF(DataH!$Y40&lt;0, NA(), IF(ISERROR(DataH!$W40/DataH!$Y40), "", DataH!$W40/DataH!$Y40))</f>
        <v/>
      </c>
      <c r="E48" s="417" t="str">
        <f>IF(DataH!$Z40&lt;0, NA(), IF(ISERROR(DataH!$W40/DataH!$Z40), "", DataH!$W40/DataH!$Z40))</f>
        <v/>
      </c>
      <c r="G48" s="418" t="str">
        <f>IF(DataH!$AB40&lt;0, NA(), IF(ISERROR(DataH!$AA40/DataH!$AB40), "", DataH!$AA40/DataH!$AB40))</f>
        <v/>
      </c>
      <c r="H48" s="416" t="str">
        <f>IF(DataH!$AC40&lt;0, NA(), IF(ISERROR(DataH!$AA40/DataH!$AC40), "", DataH!$AA40/DataH!$AC40))</f>
        <v/>
      </c>
      <c r="I48" s="417" t="str">
        <f>IF(DataH!$AD40&lt;0, NA(), IF(ISERROR(DataH!$AA40/DataH!$AD40), "", DataH!$AA40/DataH!$AD40))</f>
        <v/>
      </c>
      <c r="J48" s="216"/>
      <c r="K48" s="216"/>
      <c r="L48" s="216"/>
      <c r="M48" s="216"/>
      <c r="N48" s="216"/>
      <c r="O48" s="216"/>
      <c r="P48" s="216"/>
      <c r="Q48" s="216"/>
      <c r="R48" s="216"/>
      <c r="S48" s="216"/>
      <c r="T48" s="216"/>
      <c r="U48" s="216"/>
      <c r="V48" s="216"/>
    </row>
    <row r="49" spans="2:22" ht="15" customHeight="1">
      <c r="B49" s="318" t="str">
        <f>IF(DataH!$V41="", "", DataH!$V41)</f>
        <v/>
      </c>
      <c r="C49" s="419" t="str">
        <f>IF(DataH!$X41&lt;0, NA(), IF(ISERROR(DataH!$W41/DataH!$X41), "", DataH!$W41/DataH!$X41))</f>
        <v/>
      </c>
      <c r="D49" s="419" t="str">
        <f>IF(DataH!$Y41&lt;0, NA(), IF(ISERROR(DataH!$W41/DataH!$Y41), "", DataH!$W41/DataH!$Y41))</f>
        <v/>
      </c>
      <c r="E49" s="420" t="str">
        <f>IF(DataH!$Z41&lt;0, NA(), IF(ISERROR(DataH!$W41/DataH!$Z41), "", DataH!$W41/DataH!$Z41))</f>
        <v/>
      </c>
      <c r="G49" s="421" t="str">
        <f>IF(DataH!$AB41&lt;0, NA(), IF(ISERROR(DataH!$AA41/DataH!$AB41), "", DataH!$AA41/DataH!$AB41))</f>
        <v/>
      </c>
      <c r="H49" s="419" t="str">
        <f>IF(DataH!$AC41&lt;0, NA(), IF(ISERROR(DataH!$AA41/DataH!$AC41), "", DataH!$AA41/DataH!$AC41))</f>
        <v/>
      </c>
      <c r="I49" s="420" t="str">
        <f>IF(DataH!$AD41&lt;0, NA(), IF(ISERROR(DataH!$AA41/DataH!$AD41), "", DataH!$AA41/DataH!$AD41))</f>
        <v/>
      </c>
      <c r="J49" s="216"/>
      <c r="K49" s="216"/>
      <c r="L49" s="216"/>
      <c r="M49" s="216"/>
      <c r="N49" s="216"/>
      <c r="O49" s="216"/>
      <c r="P49" s="216"/>
      <c r="Q49" s="216"/>
      <c r="R49" s="216"/>
      <c r="S49" s="216"/>
      <c r="T49" s="216"/>
      <c r="U49" s="216"/>
      <c r="V49" s="216"/>
    </row>
    <row r="50" spans="2:22" ht="15" customHeight="1">
      <c r="B50" s="322" t="str">
        <f>IF(DataH!$V42="", "", DataH!$V42)</f>
        <v/>
      </c>
      <c r="C50" s="416" t="str">
        <f>IF(DataH!$X42&lt;0, NA(), IF(ISERROR(DataH!$W42/DataH!$X42), "", DataH!$W42/DataH!$X42))</f>
        <v/>
      </c>
      <c r="D50" s="416" t="str">
        <f>IF(DataH!$Y42&lt;0, NA(), IF(ISERROR(DataH!$W42/DataH!$Y42), "", DataH!$W42/DataH!$Y42))</f>
        <v/>
      </c>
      <c r="E50" s="417" t="str">
        <f>IF(DataH!$Z42&lt;0, NA(), IF(ISERROR(DataH!$W42/DataH!$Z42), "", DataH!$W42/DataH!$Z42))</f>
        <v/>
      </c>
      <c r="G50" s="418" t="str">
        <f>IF(DataH!$AB42&lt;0, NA(), IF(ISERROR(DataH!$AA42/DataH!$AB42), "", DataH!$AA42/DataH!$AB42))</f>
        <v/>
      </c>
      <c r="H50" s="416" t="str">
        <f>IF(DataH!$AC42&lt;0, NA(), IF(ISERROR(DataH!$AA42/DataH!$AC42), "", DataH!$AA42/DataH!$AC42))</f>
        <v/>
      </c>
      <c r="I50" s="417" t="str">
        <f>IF(DataH!$AD42&lt;0, NA(), IF(ISERROR(DataH!$AA42/DataH!$AD42), "", DataH!$AA42/DataH!$AD42))</f>
        <v/>
      </c>
      <c r="J50" s="216"/>
      <c r="K50" s="216"/>
      <c r="L50" s="216"/>
      <c r="M50" s="216"/>
      <c r="N50" s="216"/>
      <c r="O50" s="216"/>
      <c r="P50" s="216"/>
      <c r="Q50" s="216"/>
      <c r="R50" s="216"/>
      <c r="S50" s="216"/>
      <c r="T50" s="216"/>
      <c r="U50" s="216"/>
      <c r="V50" s="216"/>
    </row>
    <row r="51" spans="2:22" ht="15" customHeight="1">
      <c r="B51" s="318" t="str">
        <f>IF(DataH!$V43="", "", DataH!$V43)</f>
        <v/>
      </c>
      <c r="C51" s="419" t="str">
        <f>IF(DataH!$X43&lt;0, NA(), IF(ISERROR(DataH!$W43/DataH!$X43), "", DataH!$W43/DataH!$X43))</f>
        <v/>
      </c>
      <c r="D51" s="419" t="str">
        <f>IF(DataH!$Y43&lt;0, NA(), IF(ISERROR(DataH!$W43/DataH!$Y43), "", DataH!$W43/DataH!$Y43))</f>
        <v/>
      </c>
      <c r="E51" s="420" t="str">
        <f>IF(DataH!$Z43&lt;0, NA(), IF(ISERROR(DataH!$W43/DataH!$Z43), "", DataH!$W43/DataH!$Z43))</f>
        <v/>
      </c>
      <c r="G51" s="421" t="str">
        <f>IF(DataH!$AB43&lt;0, NA(), IF(ISERROR(DataH!$AA43/DataH!$AB43), "", DataH!$AA43/DataH!$AB43))</f>
        <v/>
      </c>
      <c r="H51" s="419" t="str">
        <f>IF(DataH!$AC43&lt;0, NA(), IF(ISERROR(DataH!$AA43/DataH!$AC43), "", DataH!$AA43/DataH!$AC43))</f>
        <v/>
      </c>
      <c r="I51" s="420" t="str">
        <f>IF(DataH!$AD43&lt;0, NA(), IF(ISERROR(DataH!$AA43/DataH!$AD43), "", DataH!$AA43/DataH!$AD43))</f>
        <v/>
      </c>
      <c r="J51" s="216"/>
      <c r="K51" s="216"/>
      <c r="L51" s="216"/>
      <c r="M51" s="216"/>
      <c r="N51" s="216"/>
      <c r="O51" s="216"/>
      <c r="P51" s="216"/>
      <c r="Q51" s="216"/>
      <c r="R51" s="216"/>
      <c r="S51" s="216"/>
      <c r="T51" s="216"/>
      <c r="U51" s="216"/>
      <c r="V51" s="216"/>
    </row>
    <row r="52" spans="2:22" ht="15" customHeight="1">
      <c r="B52" s="322" t="str">
        <f>IF(DataH!$V44="", "", DataH!$V44)</f>
        <v/>
      </c>
      <c r="C52" s="416" t="str">
        <f>IF(DataH!$X44&lt;0, NA(), IF(ISERROR(DataH!$W44/DataH!$X44), "", DataH!$W44/DataH!$X44))</f>
        <v/>
      </c>
      <c r="D52" s="416" t="str">
        <f>IF(DataH!$Y44&lt;0, NA(), IF(ISERROR(DataH!$W44/DataH!$Y44), "", DataH!$W44/DataH!$Y44))</f>
        <v/>
      </c>
      <c r="E52" s="417" t="str">
        <f>IF(DataH!$Z44&lt;0, NA(), IF(ISERROR(DataH!$W44/DataH!$Z44), "", DataH!$W44/DataH!$Z44))</f>
        <v/>
      </c>
      <c r="G52" s="418" t="str">
        <f>IF(DataH!$AB44&lt;0, NA(), IF(ISERROR(DataH!$AA44/DataH!$AB44), "", DataH!$AA44/DataH!$AB44))</f>
        <v/>
      </c>
      <c r="H52" s="416" t="str">
        <f>IF(DataH!$AC44&lt;0, NA(), IF(ISERROR(DataH!$AA44/DataH!$AC44), "", DataH!$AA44/DataH!$AC44))</f>
        <v/>
      </c>
      <c r="I52" s="417" t="str">
        <f>IF(DataH!$AD44&lt;0, NA(), IF(ISERROR(DataH!$AA44/DataH!$AD44), "", DataH!$AA44/DataH!$AD44))</f>
        <v/>
      </c>
      <c r="J52" s="216"/>
      <c r="K52" s="216"/>
      <c r="L52" s="216"/>
      <c r="M52" s="216"/>
      <c r="N52" s="216"/>
      <c r="O52" s="216"/>
      <c r="P52" s="216"/>
      <c r="Q52" s="216"/>
      <c r="R52" s="216"/>
      <c r="S52" s="216"/>
      <c r="T52" s="216"/>
      <c r="U52" s="216"/>
      <c r="V52" s="216"/>
    </row>
    <row r="53" spans="2:22" ht="15" customHeight="1">
      <c r="B53" s="318" t="str">
        <f>IF(DataH!$V45="", "", DataH!$V45)</f>
        <v/>
      </c>
      <c r="C53" s="419" t="str">
        <f>IF(DataH!$X45&lt;0, NA(), IF(ISERROR(DataH!$W45/DataH!$X45), "", DataH!$W45/DataH!$X45))</f>
        <v/>
      </c>
      <c r="D53" s="419" t="str">
        <f>IF(DataH!$Y45&lt;0, NA(), IF(ISERROR(DataH!$W45/DataH!$Y45), "", DataH!$W45/DataH!$Y45))</f>
        <v/>
      </c>
      <c r="E53" s="420" t="str">
        <f>IF(DataH!$Z45&lt;0, NA(), IF(ISERROR(DataH!$W45/DataH!$Z45), "", DataH!$W45/DataH!$Z45))</f>
        <v/>
      </c>
      <c r="G53" s="421" t="str">
        <f>IF(DataH!$AB45&lt;0, NA(), IF(ISERROR(DataH!$AA45/DataH!$AB45), "", DataH!$AA45/DataH!$AB45))</f>
        <v/>
      </c>
      <c r="H53" s="419" t="str">
        <f>IF(DataH!$AC45&lt;0, NA(), IF(ISERROR(DataH!$AA45/DataH!$AC45), "", DataH!$AA45/DataH!$AC45))</f>
        <v/>
      </c>
      <c r="I53" s="420" t="str">
        <f>IF(DataH!$AD45&lt;0, NA(), IF(ISERROR(DataH!$AA45/DataH!$AD45), "", DataH!$AA45/DataH!$AD45))</f>
        <v/>
      </c>
      <c r="J53" s="216"/>
      <c r="K53" s="216"/>
      <c r="L53" s="216"/>
      <c r="M53" s="216"/>
      <c r="N53" s="216"/>
      <c r="O53" s="216"/>
      <c r="P53" s="216"/>
      <c r="Q53" s="216"/>
      <c r="R53" s="216"/>
      <c r="S53" s="216"/>
      <c r="T53" s="216"/>
      <c r="U53" s="216"/>
      <c r="V53" s="216"/>
    </row>
    <row r="54" spans="2:22" ht="15" customHeight="1">
      <c r="B54" s="322" t="str">
        <f>IF(DataH!$V46="", "", DataH!$V46)</f>
        <v/>
      </c>
      <c r="C54" s="416" t="str">
        <f>IF(DataH!$X46&lt;0, NA(), IF(ISERROR(DataH!$W46/DataH!$X46), "", DataH!$W46/DataH!$X46))</f>
        <v/>
      </c>
      <c r="D54" s="416" t="str">
        <f>IF(DataH!$Y46&lt;0, NA(), IF(ISERROR(DataH!$W46/DataH!$Y46), "", DataH!$W46/DataH!$Y46))</f>
        <v/>
      </c>
      <c r="E54" s="417" t="str">
        <f>IF(DataH!$Z46&lt;0, NA(), IF(ISERROR(DataH!$W46/DataH!$Z46), "", DataH!$W46/DataH!$Z46))</f>
        <v/>
      </c>
      <c r="G54" s="418" t="str">
        <f>IF(DataH!$AB46&lt;0, NA(), IF(ISERROR(DataH!$AA46/DataH!$AB46), "", DataH!$AA46/DataH!$AB46))</f>
        <v/>
      </c>
      <c r="H54" s="416" t="str">
        <f>IF(DataH!$AC46&lt;0, NA(), IF(ISERROR(DataH!$AA46/DataH!$AC46), "", DataH!$AA46/DataH!$AC46))</f>
        <v/>
      </c>
      <c r="I54" s="417" t="str">
        <f>IF(DataH!$AD46&lt;0, NA(), IF(ISERROR(DataH!$AA46/DataH!$AD46), "", DataH!$AA46/DataH!$AD46))</f>
        <v/>
      </c>
      <c r="J54" s="216"/>
      <c r="K54" s="216"/>
      <c r="L54" s="216"/>
      <c r="M54" s="216"/>
      <c r="N54" s="216"/>
      <c r="O54" s="216"/>
      <c r="P54" s="216"/>
      <c r="Q54" s="216"/>
      <c r="R54" s="216"/>
      <c r="S54" s="216"/>
      <c r="T54" s="216"/>
      <c r="U54" s="216"/>
      <c r="V54" s="216"/>
    </row>
    <row r="55" spans="2:22" ht="15" customHeight="1">
      <c r="B55" s="318" t="str">
        <f>IF(DataH!$V47="", "", DataH!$V47)</f>
        <v/>
      </c>
      <c r="C55" s="419" t="str">
        <f>IF(DataH!$X47&lt;0, NA(), IF(ISERROR(DataH!$W47/DataH!$X47), "", DataH!$W47/DataH!$X47))</f>
        <v/>
      </c>
      <c r="D55" s="419" t="str">
        <f>IF(DataH!$Y47&lt;0, NA(), IF(ISERROR(DataH!$W47/DataH!$Y47), "", DataH!$W47/DataH!$Y47))</f>
        <v/>
      </c>
      <c r="E55" s="420" t="str">
        <f>IF(DataH!$Z47&lt;0, NA(), IF(ISERROR(DataH!$W47/DataH!$Z47), "", DataH!$W47/DataH!$Z47))</f>
        <v/>
      </c>
      <c r="G55" s="421" t="str">
        <f>IF(DataH!$AB47&lt;0, NA(), IF(ISERROR(DataH!$AA47/DataH!$AB47), "", DataH!$AA47/DataH!$AB47))</f>
        <v/>
      </c>
      <c r="H55" s="419" t="str">
        <f>IF(DataH!$AC47&lt;0, NA(), IF(ISERROR(DataH!$AA47/DataH!$AC47), "", DataH!$AA47/DataH!$AC47))</f>
        <v/>
      </c>
      <c r="I55" s="420" t="str">
        <f>IF(DataH!$AD47&lt;0, NA(), IF(ISERROR(DataH!$AA47/DataH!$AD47), "", DataH!$AA47/DataH!$AD47))</f>
        <v/>
      </c>
      <c r="J55" s="216"/>
      <c r="K55" s="216"/>
      <c r="L55" s="216"/>
      <c r="M55" s="216"/>
      <c r="N55" s="216"/>
      <c r="O55" s="216"/>
      <c r="P55" s="216"/>
      <c r="Q55" s="216"/>
      <c r="R55" s="216"/>
      <c r="S55" s="216"/>
      <c r="T55" s="216"/>
      <c r="U55" s="216"/>
      <c r="V55" s="216"/>
    </row>
    <row r="56" spans="2:22" ht="15" customHeight="1">
      <c r="B56" s="322" t="str">
        <f>IF(DataH!$V48="", "", DataH!$V48)</f>
        <v/>
      </c>
      <c r="C56" s="416" t="str">
        <f>IF(DataH!$X48&lt;0, NA(), IF(ISERROR(DataH!$W48/DataH!$X48), "", DataH!$W48/DataH!$X48))</f>
        <v/>
      </c>
      <c r="D56" s="416" t="str">
        <f>IF(DataH!$Y48&lt;0, NA(), IF(ISERROR(DataH!$W48/DataH!$Y48), "", DataH!$W48/DataH!$Y48))</f>
        <v/>
      </c>
      <c r="E56" s="417" t="str">
        <f>IF(DataH!$Z48&lt;0, NA(), IF(ISERROR(DataH!$W48/DataH!$Z48), "", DataH!$W48/DataH!$Z48))</f>
        <v/>
      </c>
      <c r="G56" s="418" t="str">
        <f>IF(DataH!$AB48&lt;0, NA(), IF(ISERROR(DataH!$AA48/DataH!$AB48), "", DataH!$AA48/DataH!$AB48))</f>
        <v/>
      </c>
      <c r="H56" s="416" t="str">
        <f>IF(DataH!$AC48&lt;0, NA(), IF(ISERROR(DataH!$AA48/DataH!$AC48), "", DataH!$AA48/DataH!$AC48))</f>
        <v/>
      </c>
      <c r="I56" s="417" t="str">
        <f>IF(DataH!$AD48&lt;0, NA(), IF(ISERROR(DataH!$AA48/DataH!$AD48), "", DataH!$AA48/DataH!$AD48))</f>
        <v/>
      </c>
      <c r="J56" s="216"/>
      <c r="K56" s="216"/>
      <c r="L56" s="216"/>
      <c r="M56" s="216"/>
      <c r="N56" s="216"/>
      <c r="O56" s="216"/>
      <c r="P56" s="216"/>
      <c r="Q56" s="216"/>
      <c r="R56" s="216"/>
      <c r="S56" s="216"/>
      <c r="T56" s="216"/>
      <c r="U56" s="216"/>
      <c r="V56" s="216"/>
    </row>
    <row r="57" spans="2:22" ht="15" customHeight="1">
      <c r="B57" s="318" t="str">
        <f>IF(DataH!$V49="", "", DataH!$V49)</f>
        <v/>
      </c>
      <c r="C57" s="419" t="str">
        <f>IF(DataH!$X49&lt;0, NA(), IF(ISERROR(DataH!$W49/DataH!$X49), "", DataH!$W49/DataH!$X49))</f>
        <v/>
      </c>
      <c r="D57" s="419" t="str">
        <f>IF(DataH!$Y49&lt;0, NA(), IF(ISERROR(DataH!$W49/DataH!$Y49), "", DataH!$W49/DataH!$Y49))</f>
        <v/>
      </c>
      <c r="E57" s="420" t="str">
        <f>IF(DataH!$Z49&lt;0, NA(), IF(ISERROR(DataH!$W49/DataH!$Z49), "", DataH!$W49/DataH!$Z49))</f>
        <v/>
      </c>
      <c r="G57" s="421" t="str">
        <f>IF(DataH!$AB49&lt;0, NA(), IF(ISERROR(DataH!$AA49/DataH!$AB49), "", DataH!$AA49/DataH!$AB49))</f>
        <v/>
      </c>
      <c r="H57" s="419" t="str">
        <f>IF(DataH!$AC49&lt;0, NA(), IF(ISERROR(DataH!$AA49/DataH!$AC49), "", DataH!$AA49/DataH!$AC49))</f>
        <v/>
      </c>
      <c r="I57" s="420" t="str">
        <f>IF(DataH!$AD49&lt;0, NA(), IF(ISERROR(DataH!$AA49/DataH!$AD49), "", DataH!$AA49/DataH!$AD49))</f>
        <v/>
      </c>
      <c r="J57" s="216"/>
      <c r="K57" s="216"/>
      <c r="L57" s="216"/>
      <c r="M57" s="216"/>
      <c r="N57" s="216"/>
      <c r="O57" s="216"/>
      <c r="P57" s="216"/>
      <c r="Q57" s="216"/>
      <c r="R57" s="216"/>
      <c r="S57" s="216"/>
      <c r="T57" s="216"/>
      <c r="U57" s="216"/>
      <c r="V57" s="216"/>
    </row>
    <row r="58" spans="2:22" ht="15" customHeight="1">
      <c r="B58" s="322" t="str">
        <f>IF(DataH!$V50="", "", DataH!$V50)</f>
        <v/>
      </c>
      <c r="C58" s="416" t="str">
        <f>IF(DataH!$X50&lt;0, NA(), IF(ISERROR(DataH!$W50/DataH!$X50), "", DataH!$W50/DataH!$X50))</f>
        <v/>
      </c>
      <c r="D58" s="416" t="str">
        <f>IF(DataH!$Y50&lt;0, NA(), IF(ISERROR(DataH!$W50/DataH!$Y50), "", DataH!$W50/DataH!$Y50))</f>
        <v/>
      </c>
      <c r="E58" s="417" t="str">
        <f>IF(DataH!$Z50&lt;0, NA(), IF(ISERROR(DataH!$W50/DataH!$Z50), "", DataH!$W50/DataH!$Z50))</f>
        <v/>
      </c>
      <c r="G58" s="418" t="str">
        <f>IF(DataH!$AB50&lt;0, NA(), IF(ISERROR(DataH!$AA50/DataH!$AB50), "", DataH!$AA50/DataH!$AB50))</f>
        <v/>
      </c>
      <c r="H58" s="416" t="str">
        <f>IF(DataH!$AC50&lt;0, NA(), IF(ISERROR(DataH!$AA50/DataH!$AC50), "", DataH!$AA50/DataH!$AC50))</f>
        <v/>
      </c>
      <c r="I58" s="417" t="str">
        <f>IF(DataH!$AD50&lt;0, NA(), IF(ISERROR(DataH!$AA50/DataH!$AD50), "", DataH!$AA50/DataH!$AD50))</f>
        <v/>
      </c>
      <c r="J58" s="216"/>
      <c r="K58" s="216"/>
      <c r="L58" s="216"/>
      <c r="M58" s="216"/>
      <c r="N58" s="216"/>
      <c r="O58" s="216"/>
      <c r="P58" s="216"/>
      <c r="Q58" s="216"/>
      <c r="R58" s="216"/>
      <c r="S58" s="216"/>
      <c r="T58" s="216"/>
      <c r="U58" s="216"/>
      <c r="V58" s="216"/>
    </row>
    <row r="59" spans="2:22" ht="15" customHeight="1">
      <c r="B59" s="318" t="str">
        <f>IF(DataH!$V51="", "", DataH!$V51)</f>
        <v/>
      </c>
      <c r="C59" s="419" t="str">
        <f>IF(DataH!$X51&lt;0, NA(), IF(ISERROR(DataH!$W51/DataH!$X51), "", DataH!$W51/DataH!$X51))</f>
        <v/>
      </c>
      <c r="D59" s="419" t="str">
        <f>IF(DataH!$Y51&lt;0, NA(), IF(ISERROR(DataH!$W51/DataH!$Y51), "", DataH!$W51/DataH!$Y51))</f>
        <v/>
      </c>
      <c r="E59" s="420" t="str">
        <f>IF(DataH!$Z51&lt;0, NA(), IF(ISERROR(DataH!$W51/DataH!$Z51), "", DataH!$W51/DataH!$Z51))</f>
        <v/>
      </c>
      <c r="G59" s="421" t="str">
        <f>IF(DataH!$AB51&lt;0, NA(), IF(ISERROR(DataH!$AA51/DataH!$AB51), "", DataH!$AA51/DataH!$AB51))</f>
        <v/>
      </c>
      <c r="H59" s="419" t="str">
        <f>IF(DataH!$AC51&lt;0, NA(), IF(ISERROR(DataH!$AA51/DataH!$AC51), "", DataH!$AA51/DataH!$AC51))</f>
        <v/>
      </c>
      <c r="I59" s="420" t="str">
        <f>IF(DataH!$AD51&lt;0, NA(), IF(ISERROR(DataH!$AA51/DataH!$AD51), "", DataH!$AA51/DataH!$AD51))</f>
        <v/>
      </c>
      <c r="J59" s="216"/>
      <c r="K59" s="216"/>
      <c r="L59" s="216"/>
      <c r="M59" s="216"/>
      <c r="N59" s="216"/>
      <c r="O59" s="216"/>
      <c r="P59" s="216"/>
      <c r="Q59" s="216"/>
      <c r="R59" s="216"/>
      <c r="S59" s="216"/>
      <c r="T59" s="216"/>
      <c r="U59" s="216"/>
      <c r="V59" s="216"/>
    </row>
    <row r="60" spans="2:22" ht="15" customHeight="1">
      <c r="B60" s="322" t="str">
        <f>IF(DataH!$V52="", "", DataH!$V52)</f>
        <v/>
      </c>
      <c r="C60" s="416" t="str">
        <f>IF(DataH!$X52&lt;0, NA(), IF(ISERROR(DataH!$W52/DataH!$X52), "", DataH!$W52/DataH!$X52))</f>
        <v/>
      </c>
      <c r="D60" s="416" t="str">
        <f>IF(DataH!$Y52&lt;0, NA(), IF(ISERROR(DataH!$W52/DataH!$Y52), "", DataH!$W52/DataH!$Y52))</f>
        <v/>
      </c>
      <c r="E60" s="417" t="str">
        <f>IF(DataH!$Z52&lt;0, NA(), IF(ISERROR(DataH!$W52/DataH!$Z52), "", DataH!$W52/DataH!$Z52))</f>
        <v/>
      </c>
      <c r="G60" s="418" t="str">
        <f>IF(DataH!$AB52&lt;0, NA(), IF(ISERROR(DataH!$AA52/DataH!$AB52), "", DataH!$AA52/DataH!$AB52))</f>
        <v/>
      </c>
      <c r="H60" s="416" t="str">
        <f>IF(DataH!$AC52&lt;0, NA(), IF(ISERROR(DataH!$AA52/DataH!$AC52), "", DataH!$AA52/DataH!$AC52))</f>
        <v/>
      </c>
      <c r="I60" s="417" t="str">
        <f>IF(DataH!$AD52&lt;0, NA(), IF(ISERROR(DataH!$AA52/DataH!$AD52), "", DataH!$AA52/DataH!$AD52))</f>
        <v/>
      </c>
      <c r="J60" s="216"/>
      <c r="K60" s="216"/>
      <c r="L60" s="216"/>
      <c r="M60" s="216"/>
      <c r="N60" s="216"/>
      <c r="O60" s="216"/>
      <c r="P60" s="216"/>
      <c r="Q60" s="216"/>
      <c r="R60" s="216"/>
      <c r="S60" s="216"/>
      <c r="T60" s="216"/>
      <c r="U60" s="216"/>
      <c r="V60" s="216"/>
    </row>
    <row r="61" spans="2:22" ht="15" customHeight="1">
      <c r="B61" s="318" t="str">
        <f>IF(DataH!$V53="", "", DataH!$V53)</f>
        <v/>
      </c>
      <c r="C61" s="419" t="str">
        <f>IF(DataH!$X53&lt;0, NA(), IF(ISERROR(DataH!$W53/DataH!$X53), "", DataH!$W53/DataH!$X53))</f>
        <v/>
      </c>
      <c r="D61" s="419" t="str">
        <f>IF(DataH!$Y53&lt;0, NA(), IF(ISERROR(DataH!$W53/DataH!$Y53), "", DataH!$W53/DataH!$Y53))</f>
        <v/>
      </c>
      <c r="E61" s="420" t="str">
        <f>IF(DataH!$Z53&lt;0, NA(), IF(ISERROR(DataH!$W53/DataH!$Z53), "", DataH!$W53/DataH!$Z53))</f>
        <v/>
      </c>
      <c r="G61" s="421" t="str">
        <f>IF(DataH!$AB53&lt;0, NA(), IF(ISERROR(DataH!$AA53/DataH!$AB53), "", DataH!$AA53/DataH!$AB53))</f>
        <v/>
      </c>
      <c r="H61" s="419" t="str">
        <f>IF(DataH!$AC53&lt;0, NA(), IF(ISERROR(DataH!$AA53/DataH!$AC53), "", DataH!$AA53/DataH!$AC53))</f>
        <v/>
      </c>
      <c r="I61" s="420" t="str">
        <f>IF(DataH!$AD53&lt;0, NA(), IF(ISERROR(DataH!$AA53/DataH!$AD53), "", DataH!$AA53/DataH!$AD53))</f>
        <v/>
      </c>
      <c r="J61" s="216"/>
      <c r="K61" s="216"/>
      <c r="L61" s="216"/>
      <c r="M61" s="216"/>
      <c r="N61" s="216"/>
      <c r="O61" s="216"/>
      <c r="P61" s="216"/>
      <c r="Q61" s="216"/>
      <c r="R61" s="216"/>
      <c r="S61" s="216"/>
      <c r="T61" s="216"/>
      <c r="U61" s="216"/>
      <c r="V61" s="216"/>
    </row>
    <row r="62" spans="2:22" ht="15" customHeight="1">
      <c r="B62" s="322" t="str">
        <f>IF(DataH!$V54="", "", DataH!$V54)</f>
        <v/>
      </c>
      <c r="C62" s="416" t="str">
        <f>IF(DataH!$X54&lt;0, NA(), IF(ISERROR(DataH!$W54/DataH!$X54), "", DataH!$W54/DataH!$X54))</f>
        <v/>
      </c>
      <c r="D62" s="416" t="str">
        <f>IF(DataH!$Y54&lt;0, NA(), IF(ISERROR(DataH!$W54/DataH!$Y54), "", DataH!$W54/DataH!$Y54))</f>
        <v/>
      </c>
      <c r="E62" s="417" t="str">
        <f>IF(DataH!$Z54&lt;0, NA(), IF(ISERROR(DataH!$W54/DataH!$Z54), "", DataH!$W54/DataH!$Z54))</f>
        <v/>
      </c>
      <c r="G62" s="418" t="str">
        <f>IF(DataH!$AB54&lt;0, NA(), IF(ISERROR(DataH!$AA54/DataH!$AB54), "", DataH!$AA54/DataH!$AB54))</f>
        <v/>
      </c>
      <c r="H62" s="416" t="str">
        <f>IF(DataH!$AC54&lt;0, NA(), IF(ISERROR(DataH!$AA54/DataH!$AC54), "", DataH!$AA54/DataH!$AC54))</f>
        <v/>
      </c>
      <c r="I62" s="417" t="str">
        <f>IF(DataH!$AD54&lt;0, NA(), IF(ISERROR(DataH!$AA54/DataH!$AD54), "", DataH!$AA54/DataH!$AD54))</f>
        <v/>
      </c>
      <c r="J62" s="216"/>
      <c r="K62" s="216"/>
      <c r="L62" s="216"/>
      <c r="M62" s="216"/>
      <c r="N62" s="216"/>
      <c r="O62" s="216"/>
      <c r="P62" s="216"/>
      <c r="Q62" s="216"/>
      <c r="R62" s="216"/>
      <c r="S62" s="216"/>
      <c r="T62" s="216"/>
      <c r="U62" s="216"/>
      <c r="V62" s="216"/>
    </row>
    <row r="63" spans="2:22" ht="15" customHeight="1">
      <c r="B63" s="318" t="str">
        <f>IF(DataH!$V55="", "", DataH!$V55)</f>
        <v/>
      </c>
      <c r="C63" s="419" t="str">
        <f>IF(DataH!$X55&lt;0, NA(), IF(ISERROR(DataH!$W55/DataH!$X55), "", DataH!$W55/DataH!$X55))</f>
        <v/>
      </c>
      <c r="D63" s="419" t="str">
        <f>IF(DataH!$Y55&lt;0, NA(), IF(ISERROR(DataH!$W55/DataH!$Y55), "", DataH!$W55/DataH!$Y55))</f>
        <v/>
      </c>
      <c r="E63" s="420" t="str">
        <f>IF(DataH!$Z55&lt;0, NA(), IF(ISERROR(DataH!$W55/DataH!$Z55), "", DataH!$W55/DataH!$Z55))</f>
        <v/>
      </c>
      <c r="G63" s="421" t="str">
        <f>IF(DataH!$AB55&lt;0, NA(), IF(ISERROR(DataH!$AA55/DataH!$AB55), "", DataH!$AA55/DataH!$AB55))</f>
        <v/>
      </c>
      <c r="H63" s="419" t="str">
        <f>IF(DataH!$AC55&lt;0, NA(), IF(ISERROR(DataH!$AA55/DataH!$AC55), "", DataH!$AA55/DataH!$AC55))</f>
        <v/>
      </c>
      <c r="I63" s="420" t="str">
        <f>IF(DataH!$AD55&lt;0, NA(), IF(ISERROR(DataH!$AA55/DataH!$AD55), "", DataH!$AA55/DataH!$AD55))</f>
        <v/>
      </c>
      <c r="J63" s="216"/>
      <c r="K63" s="216"/>
      <c r="L63" s="216"/>
      <c r="M63" s="216"/>
      <c r="N63" s="216"/>
      <c r="O63" s="216"/>
      <c r="P63" s="216"/>
      <c r="Q63" s="216"/>
      <c r="R63" s="216"/>
      <c r="S63" s="216"/>
      <c r="T63" s="216"/>
      <c r="U63" s="216"/>
      <c r="V63" s="216"/>
    </row>
    <row r="64" spans="2:22" ht="15" customHeight="1">
      <c r="B64" s="322" t="str">
        <f>IF(DataH!$V56="", "", DataH!$V56)</f>
        <v/>
      </c>
      <c r="C64" s="416" t="str">
        <f>IF(DataH!$X56&lt;0, NA(), IF(ISERROR(DataH!$W56/DataH!$X56), "", DataH!$W56/DataH!$X56))</f>
        <v/>
      </c>
      <c r="D64" s="416" t="str">
        <f>IF(DataH!$Y56&lt;0, NA(), IF(ISERROR(DataH!$W56/DataH!$Y56), "", DataH!$W56/DataH!$Y56))</f>
        <v/>
      </c>
      <c r="E64" s="417" t="str">
        <f>IF(DataH!$Z56&lt;0, NA(), IF(ISERROR(DataH!$W56/DataH!$Z56), "", DataH!$W56/DataH!$Z56))</f>
        <v/>
      </c>
      <c r="G64" s="418" t="str">
        <f>IF(DataH!$AB56&lt;0, NA(), IF(ISERROR(DataH!$AA56/DataH!$AB56), "", DataH!$AA56/DataH!$AB56))</f>
        <v/>
      </c>
      <c r="H64" s="416" t="str">
        <f>IF(DataH!$AC56&lt;0, NA(), IF(ISERROR(DataH!$AA56/DataH!$AC56), "", DataH!$AA56/DataH!$AC56))</f>
        <v/>
      </c>
      <c r="I64" s="417" t="str">
        <f>IF(DataH!$AD56&lt;0, NA(), IF(ISERROR(DataH!$AA56/DataH!$AD56), "", DataH!$AA56/DataH!$AD56))</f>
        <v/>
      </c>
      <c r="J64" s="216"/>
      <c r="K64" s="216"/>
      <c r="L64" s="216"/>
      <c r="M64" s="216"/>
      <c r="N64" s="216"/>
      <c r="O64" s="216"/>
      <c r="P64" s="216"/>
      <c r="Q64" s="216"/>
      <c r="R64" s="216"/>
      <c r="S64" s="216"/>
      <c r="T64" s="216"/>
      <c r="U64" s="216"/>
      <c r="V64" s="216"/>
    </row>
    <row r="65" spans="2:22" ht="15" customHeight="1">
      <c r="B65" s="318" t="str">
        <f>IF(DataH!$V57="", "", DataH!$V57)</f>
        <v/>
      </c>
      <c r="C65" s="419" t="str">
        <f>IF(DataH!$X57&lt;0, NA(), IF(ISERROR(DataH!$W57/DataH!$X57), "", DataH!$W57/DataH!$X57))</f>
        <v/>
      </c>
      <c r="D65" s="419" t="str">
        <f>IF(DataH!$Y57&lt;0, NA(), IF(ISERROR(DataH!$W57/DataH!$Y57), "", DataH!$W57/DataH!$Y57))</f>
        <v/>
      </c>
      <c r="E65" s="420" t="str">
        <f>IF(DataH!$Z57&lt;0, NA(), IF(ISERROR(DataH!$W57/DataH!$Z57), "", DataH!$W57/DataH!$Z57))</f>
        <v/>
      </c>
      <c r="G65" s="421" t="str">
        <f>IF(DataH!$AB57&lt;0, NA(), IF(ISERROR(DataH!$AA57/DataH!$AB57), "", DataH!$AA57/DataH!$AB57))</f>
        <v/>
      </c>
      <c r="H65" s="419" t="str">
        <f>IF(DataH!$AC57&lt;0, NA(), IF(ISERROR(DataH!$AA57/DataH!$AC57), "", DataH!$AA57/DataH!$AC57))</f>
        <v/>
      </c>
      <c r="I65" s="420" t="str">
        <f>IF(DataH!$AD57&lt;0, NA(), IF(ISERROR(DataH!$AA57/DataH!$AD57), "", DataH!$AA57/DataH!$AD57))</f>
        <v/>
      </c>
      <c r="J65" s="216"/>
      <c r="K65" s="216"/>
      <c r="L65" s="216"/>
      <c r="M65" s="216"/>
      <c r="N65" s="216"/>
      <c r="O65" s="216"/>
      <c r="P65" s="216"/>
      <c r="Q65" s="216"/>
      <c r="R65" s="216"/>
      <c r="S65" s="216"/>
      <c r="T65" s="216"/>
      <c r="U65" s="216"/>
      <c r="V65" s="216"/>
    </row>
    <row r="66" spans="2:22" ht="15" customHeight="1">
      <c r="B66" s="322" t="str">
        <f>IF(DataH!$V58="", "", DataH!$V58)</f>
        <v/>
      </c>
      <c r="C66" s="416" t="str">
        <f>IF(DataH!$X58&lt;0, NA(), IF(ISERROR(DataH!$W58/DataH!$X58), "", DataH!$W58/DataH!$X58))</f>
        <v/>
      </c>
      <c r="D66" s="416" t="str">
        <f>IF(DataH!$Y58&lt;0, NA(), IF(ISERROR(DataH!$W58/DataH!$Y58), "", DataH!$W58/DataH!$Y58))</f>
        <v/>
      </c>
      <c r="E66" s="417" t="str">
        <f>IF(DataH!$Z58&lt;0, NA(), IF(ISERROR(DataH!$W58/DataH!$Z58), "", DataH!$W58/DataH!$Z58))</f>
        <v/>
      </c>
      <c r="G66" s="418" t="str">
        <f>IF(DataH!$AB58&lt;0, NA(), IF(ISERROR(DataH!$AA58/DataH!$AB58), "", DataH!$AA58/DataH!$AB58))</f>
        <v/>
      </c>
      <c r="H66" s="416" t="str">
        <f>IF(DataH!$AC58&lt;0, NA(), IF(ISERROR(DataH!$AA58/DataH!$AC58), "", DataH!$AA58/DataH!$AC58))</f>
        <v/>
      </c>
      <c r="I66" s="417" t="str">
        <f>IF(DataH!$AD58&lt;0, NA(), IF(ISERROR(DataH!$AA58/DataH!$AD58), "", DataH!$AA58/DataH!$AD58))</f>
        <v/>
      </c>
      <c r="J66" s="216"/>
      <c r="K66" s="216"/>
      <c r="L66" s="216"/>
      <c r="M66" s="216"/>
      <c r="N66" s="216"/>
      <c r="O66" s="216"/>
      <c r="P66" s="216"/>
      <c r="Q66" s="216"/>
      <c r="R66" s="216"/>
      <c r="S66" s="216"/>
      <c r="T66" s="216"/>
      <c r="U66" s="216"/>
      <c r="V66" s="216"/>
    </row>
    <row r="67" spans="2:22" ht="15" customHeight="1">
      <c r="B67" s="318" t="str">
        <f>IF(DataH!$V59="", "", DataH!$V59)</f>
        <v/>
      </c>
      <c r="C67" s="419" t="str">
        <f>IF(DataH!$X59&lt;0, NA(), IF(ISERROR(DataH!$W59/DataH!$X59), "", DataH!$W59/DataH!$X59))</f>
        <v/>
      </c>
      <c r="D67" s="419" t="str">
        <f>IF(DataH!$Y59&lt;0, NA(), IF(ISERROR(DataH!$W59/DataH!$Y59), "", DataH!$W59/DataH!$Y59))</f>
        <v/>
      </c>
      <c r="E67" s="420" t="str">
        <f>IF(DataH!$Z59&lt;0, NA(), IF(ISERROR(DataH!$W59/DataH!$Z59), "", DataH!$W59/DataH!$Z59))</f>
        <v/>
      </c>
      <c r="G67" s="421" t="str">
        <f>IF(DataH!$AB59&lt;0, NA(), IF(ISERROR(DataH!$AA59/DataH!$AB59), "", DataH!$AA59/DataH!$AB59))</f>
        <v/>
      </c>
      <c r="H67" s="419" t="str">
        <f>IF(DataH!$AC59&lt;0, NA(), IF(ISERROR(DataH!$AA59/DataH!$AC59), "", DataH!$AA59/DataH!$AC59))</f>
        <v/>
      </c>
      <c r="I67" s="420" t="str">
        <f>IF(DataH!$AD59&lt;0, NA(), IF(ISERROR(DataH!$AA59/DataH!$AD59), "", DataH!$AA59/DataH!$AD59))</f>
        <v/>
      </c>
      <c r="J67" s="216"/>
      <c r="K67" s="216"/>
      <c r="L67" s="216"/>
      <c r="M67" s="216"/>
      <c r="N67" s="216"/>
      <c r="O67" s="216"/>
      <c r="P67" s="216"/>
      <c r="Q67" s="216"/>
      <c r="R67" s="216"/>
      <c r="S67" s="216"/>
      <c r="T67" s="216"/>
      <c r="U67" s="216"/>
      <c r="V67" s="216"/>
    </row>
    <row r="68" spans="2:22" ht="15" customHeight="1">
      <c r="B68" s="322" t="str">
        <f>IF(DataH!$V60="", "", DataH!$V60)</f>
        <v/>
      </c>
      <c r="C68" s="416" t="str">
        <f>IF(DataH!$X60&lt;0, NA(), IF(ISERROR(DataH!$W60/DataH!$X60), "", DataH!$W60/DataH!$X60))</f>
        <v/>
      </c>
      <c r="D68" s="416" t="str">
        <f>IF(DataH!$Y60&lt;0, NA(), IF(ISERROR(DataH!$W60/DataH!$Y60), "", DataH!$W60/DataH!$Y60))</f>
        <v/>
      </c>
      <c r="E68" s="417" t="str">
        <f>IF(DataH!$Z60&lt;0, NA(), IF(ISERROR(DataH!$W60/DataH!$Z60), "", DataH!$W60/DataH!$Z60))</f>
        <v/>
      </c>
      <c r="G68" s="418" t="str">
        <f>IF(DataH!$AB60&lt;0, NA(), IF(ISERROR(DataH!$AA60/DataH!$AB60), "", DataH!$AA60/DataH!$AB60))</f>
        <v/>
      </c>
      <c r="H68" s="416" t="str">
        <f>IF(DataH!$AC60&lt;0, NA(), IF(ISERROR(DataH!$AA60/DataH!$AC60), "", DataH!$AA60/DataH!$AC60))</f>
        <v/>
      </c>
      <c r="I68" s="417" t="str">
        <f>IF(DataH!$AD60&lt;0, NA(), IF(ISERROR(DataH!$AA60/DataH!$AD60), "", DataH!$AA60/DataH!$AD60))</f>
        <v/>
      </c>
      <c r="J68" s="216"/>
      <c r="K68" s="216"/>
      <c r="L68" s="216"/>
      <c r="M68" s="216"/>
      <c r="N68" s="216"/>
      <c r="O68" s="216"/>
      <c r="P68" s="216"/>
      <c r="Q68" s="216"/>
      <c r="R68" s="216"/>
      <c r="S68" s="216"/>
      <c r="T68" s="216"/>
      <c r="U68" s="216"/>
      <c r="V68" s="216"/>
    </row>
    <row r="69" spans="2:22" ht="15" customHeight="1">
      <c r="B69" s="318" t="str">
        <f>IF(DataH!$V61="", "", DataH!$V61)</f>
        <v/>
      </c>
      <c r="C69" s="419" t="str">
        <f>IF(DataH!$X61&lt;0, NA(), IF(ISERROR(DataH!$W61/DataH!$X61), "", DataH!$W61/DataH!$X61))</f>
        <v/>
      </c>
      <c r="D69" s="419" t="str">
        <f>IF(DataH!$Y61&lt;0, NA(), IF(ISERROR(DataH!$W61/DataH!$Y61), "", DataH!$W61/DataH!$Y61))</f>
        <v/>
      </c>
      <c r="E69" s="420" t="str">
        <f>IF(DataH!$Z61&lt;0, NA(), IF(ISERROR(DataH!$W61/DataH!$Z61), "", DataH!$W61/DataH!$Z61))</f>
        <v/>
      </c>
      <c r="G69" s="421" t="str">
        <f>IF(DataH!$AB61&lt;0, NA(), IF(ISERROR(DataH!$AA61/DataH!$AB61), "", DataH!$AA61/DataH!$AB61))</f>
        <v/>
      </c>
      <c r="H69" s="419" t="str">
        <f>IF(DataH!$AC61&lt;0, NA(), IF(ISERROR(DataH!$AA61/DataH!$AC61), "", DataH!$AA61/DataH!$AC61))</f>
        <v/>
      </c>
      <c r="I69" s="420" t="str">
        <f>IF(DataH!$AD61&lt;0, NA(), IF(ISERROR(DataH!$AA61/DataH!$AD61), "", DataH!$AA61/DataH!$AD61))</f>
        <v/>
      </c>
      <c r="J69" s="216"/>
      <c r="K69" s="216"/>
      <c r="L69" s="216"/>
      <c r="M69" s="216"/>
      <c r="N69" s="216"/>
      <c r="O69" s="216"/>
      <c r="P69" s="216"/>
      <c r="Q69" s="216"/>
      <c r="R69" s="216"/>
      <c r="S69" s="216"/>
      <c r="T69" s="216"/>
      <c r="U69" s="216"/>
      <c r="V69" s="216"/>
    </row>
    <row r="70" spans="2:22" ht="15" customHeight="1">
      <c r="B70" s="322" t="str">
        <f>IF(DataH!$V62="", "", DataH!$V62)</f>
        <v/>
      </c>
      <c r="C70" s="416" t="str">
        <f>IF(DataH!$X62&lt;0, NA(), IF(ISERROR(DataH!$W62/DataH!$X62), "", DataH!$W62/DataH!$X62))</f>
        <v/>
      </c>
      <c r="D70" s="416" t="str">
        <f>IF(DataH!$Y62&lt;0, NA(), IF(ISERROR(DataH!$W62/DataH!$Y62), "", DataH!$W62/DataH!$Y62))</f>
        <v/>
      </c>
      <c r="E70" s="417" t="str">
        <f>IF(DataH!$Z62&lt;0, NA(), IF(ISERROR(DataH!$W62/DataH!$Z62), "", DataH!$W62/DataH!$Z62))</f>
        <v/>
      </c>
      <c r="G70" s="418" t="str">
        <f>IF(DataH!$AB62&lt;0, NA(), IF(ISERROR(DataH!$AA62/DataH!$AB62), "", DataH!$AA62/DataH!$AB62))</f>
        <v/>
      </c>
      <c r="H70" s="416" t="str">
        <f>IF(DataH!$AC62&lt;0, NA(), IF(ISERROR(DataH!$AA62/DataH!$AC62), "", DataH!$AA62/DataH!$AC62))</f>
        <v/>
      </c>
      <c r="I70" s="417" t="str">
        <f>IF(DataH!$AD62&lt;0, NA(), IF(ISERROR(DataH!$AA62/DataH!$AD62), "", DataH!$AA62/DataH!$AD62))</f>
        <v/>
      </c>
      <c r="J70" s="216"/>
      <c r="K70" s="216"/>
      <c r="L70" s="216"/>
      <c r="M70" s="216"/>
      <c r="N70" s="216"/>
      <c r="O70" s="216"/>
      <c r="P70" s="216"/>
      <c r="Q70" s="216"/>
      <c r="R70" s="216"/>
      <c r="S70" s="216"/>
      <c r="T70" s="216"/>
      <c r="U70" s="216"/>
      <c r="V70" s="216"/>
    </row>
    <row r="71" spans="2:22" ht="15" customHeight="1">
      <c r="B71" s="318" t="str">
        <f>IF(DataH!$V63="", "", DataH!$V63)</f>
        <v/>
      </c>
      <c r="C71" s="419" t="str">
        <f>IF(DataH!$X63&lt;0, NA(), IF(ISERROR(DataH!$W63/DataH!$X63), "", DataH!$W63/DataH!$X63))</f>
        <v/>
      </c>
      <c r="D71" s="419" t="str">
        <f>IF(DataH!$Y63&lt;0, NA(), IF(ISERROR(DataH!$W63/DataH!$Y63), "", DataH!$W63/DataH!$Y63))</f>
        <v/>
      </c>
      <c r="E71" s="420" t="str">
        <f>IF(DataH!$Z63&lt;0, NA(), IF(ISERROR(DataH!$W63/DataH!$Z63), "", DataH!$W63/DataH!$Z63))</f>
        <v/>
      </c>
      <c r="G71" s="421" t="str">
        <f>IF(DataH!$AB63&lt;0, NA(), IF(ISERROR(DataH!$AA63/DataH!$AB63), "", DataH!$AA63/DataH!$AB63))</f>
        <v/>
      </c>
      <c r="H71" s="419" t="str">
        <f>IF(DataH!$AC63&lt;0, NA(), IF(ISERROR(DataH!$AA63/DataH!$AC63), "", DataH!$AA63/DataH!$AC63))</f>
        <v/>
      </c>
      <c r="I71" s="420" t="str">
        <f>IF(DataH!$AD63&lt;0, NA(), IF(ISERROR(DataH!$AA63/DataH!$AD63), "", DataH!$AA63/DataH!$AD63))</f>
        <v/>
      </c>
      <c r="J71" s="216"/>
      <c r="K71" s="216"/>
      <c r="L71" s="216"/>
      <c r="M71" s="216"/>
      <c r="N71" s="216"/>
      <c r="O71" s="216"/>
      <c r="P71" s="216"/>
      <c r="Q71" s="216"/>
      <c r="R71" s="216"/>
      <c r="S71" s="216"/>
      <c r="T71" s="216"/>
      <c r="U71" s="216"/>
      <c r="V71" s="216"/>
    </row>
    <row r="72" spans="2:22" ht="15" customHeight="1">
      <c r="B72" s="322" t="str">
        <f>IF(DataH!$V64="", "", DataH!$V64)</f>
        <v/>
      </c>
      <c r="C72" s="416" t="str">
        <f>IF(DataH!$X64&lt;0, NA(), IF(ISERROR(DataH!$W64/DataH!$X64), "", DataH!$W64/DataH!$X64))</f>
        <v/>
      </c>
      <c r="D72" s="416" t="str">
        <f>IF(DataH!$Y64&lt;0, NA(), IF(ISERROR(DataH!$W64/DataH!$Y64), "", DataH!$W64/DataH!$Y64))</f>
        <v/>
      </c>
      <c r="E72" s="417" t="str">
        <f>IF(DataH!$Z64&lt;0, NA(), IF(ISERROR(DataH!$W64/DataH!$Z64), "", DataH!$W64/DataH!$Z64))</f>
        <v/>
      </c>
      <c r="G72" s="418" t="str">
        <f>IF(DataH!$AB64&lt;0, NA(), IF(ISERROR(DataH!$AA64/DataH!$AB64), "", DataH!$AA64/DataH!$AB64))</f>
        <v/>
      </c>
      <c r="H72" s="416" t="str">
        <f>IF(DataH!$AC64&lt;0, NA(), IF(ISERROR(DataH!$AA64/DataH!$AC64), "", DataH!$AA64/DataH!$AC64))</f>
        <v/>
      </c>
      <c r="I72" s="417" t="str">
        <f>IF(DataH!$AD64&lt;0, NA(), IF(ISERROR(DataH!$AA64/DataH!$AD64), "", DataH!$AA64/DataH!$AD64))</f>
        <v/>
      </c>
      <c r="J72" s="216"/>
      <c r="K72" s="216"/>
      <c r="L72" s="216"/>
      <c r="M72" s="216"/>
      <c r="N72" s="216"/>
      <c r="O72" s="216"/>
      <c r="P72" s="216"/>
      <c r="Q72" s="216"/>
      <c r="R72" s="216"/>
      <c r="S72" s="216"/>
      <c r="T72" s="216"/>
      <c r="U72" s="216"/>
      <c r="V72" s="216"/>
    </row>
    <row r="73" spans="2:22" ht="15" customHeight="1">
      <c r="B73" s="318" t="str">
        <f>IF(DataH!$V65="", "", DataH!$V65)</f>
        <v/>
      </c>
      <c r="C73" s="419" t="str">
        <f>IF(DataH!$X65&lt;0, NA(), IF(ISERROR(DataH!$W65/DataH!$X65), "", DataH!$W65/DataH!$X65))</f>
        <v/>
      </c>
      <c r="D73" s="419" t="str">
        <f>IF(DataH!$Y65&lt;0, NA(), IF(ISERROR(DataH!$W65/DataH!$Y65), "", DataH!$W65/DataH!$Y65))</f>
        <v/>
      </c>
      <c r="E73" s="420" t="str">
        <f>IF(DataH!$Z65&lt;0, NA(), IF(ISERROR(DataH!$W65/DataH!$Z65), "", DataH!$W65/DataH!$Z65))</f>
        <v/>
      </c>
      <c r="G73" s="421" t="str">
        <f>IF(DataH!$AB65&lt;0, NA(), IF(ISERROR(DataH!$AA65/DataH!$AB65), "", DataH!$AA65/DataH!$AB65))</f>
        <v/>
      </c>
      <c r="H73" s="419" t="str">
        <f>IF(DataH!$AC65&lt;0, NA(), IF(ISERROR(DataH!$AA65/DataH!$AC65), "", DataH!$AA65/DataH!$AC65))</f>
        <v/>
      </c>
      <c r="I73" s="420" t="str">
        <f>IF(DataH!$AD65&lt;0, NA(), IF(ISERROR(DataH!$AA65/DataH!$AD65), "", DataH!$AA65/DataH!$AD65))</f>
        <v/>
      </c>
      <c r="J73" s="216"/>
      <c r="K73" s="216"/>
      <c r="L73" s="216"/>
      <c r="M73" s="216"/>
      <c r="N73" s="216"/>
      <c r="O73" s="216"/>
      <c r="P73" s="216"/>
      <c r="Q73" s="216"/>
      <c r="R73" s="216"/>
      <c r="S73" s="216"/>
      <c r="T73" s="216"/>
      <c r="U73" s="216"/>
      <c r="V73" s="216"/>
    </row>
    <row r="74" spans="2:22" ht="15" customHeight="1">
      <c r="B74" s="322" t="str">
        <f>IF(DataH!$V66="", "", DataH!$V66)</f>
        <v/>
      </c>
      <c r="C74" s="416" t="str">
        <f>IF(DataH!$X66&lt;0, NA(), IF(ISERROR(DataH!$W66/DataH!$X66), "", DataH!$W66/DataH!$X66))</f>
        <v/>
      </c>
      <c r="D74" s="416" t="str">
        <f>IF(DataH!$Y66&lt;0, NA(), IF(ISERROR(DataH!$W66/DataH!$Y66), "", DataH!$W66/DataH!$Y66))</f>
        <v/>
      </c>
      <c r="E74" s="417" t="str">
        <f>IF(DataH!$Z66&lt;0, NA(), IF(ISERROR(DataH!$W66/DataH!$Z66), "", DataH!$W66/DataH!$Z66))</f>
        <v/>
      </c>
      <c r="G74" s="418" t="str">
        <f>IF(DataH!$AB66&lt;0, NA(), IF(ISERROR(DataH!$AA66/DataH!$AB66), "", DataH!$AA66/DataH!$AB66))</f>
        <v/>
      </c>
      <c r="H74" s="416" t="str">
        <f>IF(DataH!$AC66&lt;0, NA(), IF(ISERROR(DataH!$AA66/DataH!$AC66), "", DataH!$AA66/DataH!$AC66))</f>
        <v/>
      </c>
      <c r="I74" s="417" t="str">
        <f>IF(DataH!$AD66&lt;0, NA(), IF(ISERROR(DataH!$AA66/DataH!$AD66), "", DataH!$AA66/DataH!$AD66))</f>
        <v/>
      </c>
      <c r="J74" s="216"/>
      <c r="K74" s="216"/>
      <c r="L74" s="216"/>
      <c r="M74" s="216"/>
      <c r="N74" s="216"/>
      <c r="O74" s="216"/>
      <c r="P74" s="216"/>
      <c r="Q74" s="216"/>
      <c r="R74" s="216"/>
      <c r="S74" s="216"/>
      <c r="T74" s="216"/>
      <c r="U74" s="216"/>
      <c r="V74" s="216"/>
    </row>
    <row r="75" spans="2:22" ht="15" customHeight="1">
      <c r="B75" s="318" t="str">
        <f>IF(DataH!$V67="", "", DataH!$V67)</f>
        <v/>
      </c>
      <c r="C75" s="419" t="str">
        <f>IF(DataH!$X67&lt;0, NA(), IF(ISERROR(DataH!$W67/DataH!$X67), "", DataH!$W67/DataH!$X67))</f>
        <v/>
      </c>
      <c r="D75" s="419" t="str">
        <f>IF(DataH!$Y67&lt;0, NA(), IF(ISERROR(DataH!$W67/DataH!$Y67), "", DataH!$W67/DataH!$Y67))</f>
        <v/>
      </c>
      <c r="E75" s="420" t="str">
        <f>IF(DataH!$Z67&lt;0, NA(), IF(ISERROR(DataH!$W67/DataH!$Z67), "", DataH!$W67/DataH!$Z67))</f>
        <v/>
      </c>
      <c r="G75" s="421" t="str">
        <f>IF(DataH!$AB67&lt;0, NA(), IF(ISERROR(DataH!$AA67/DataH!$AB67), "", DataH!$AA67/DataH!$AB67))</f>
        <v/>
      </c>
      <c r="H75" s="419" t="str">
        <f>IF(DataH!$AC67&lt;0, NA(), IF(ISERROR(DataH!$AA67/DataH!$AC67), "", DataH!$AA67/DataH!$AC67))</f>
        <v/>
      </c>
      <c r="I75" s="420" t="str">
        <f>IF(DataH!$AD67&lt;0, NA(), IF(ISERROR(DataH!$AA67/DataH!$AD67), "", DataH!$AA67/DataH!$AD67))</f>
        <v/>
      </c>
      <c r="J75" s="216"/>
      <c r="K75" s="216"/>
      <c r="L75" s="216"/>
      <c r="M75" s="216"/>
      <c r="N75" s="216"/>
      <c r="O75" s="216"/>
      <c r="P75" s="216"/>
      <c r="Q75" s="216"/>
      <c r="R75" s="216"/>
      <c r="S75" s="216"/>
      <c r="T75" s="216"/>
      <c r="U75" s="216"/>
      <c r="V75" s="216"/>
    </row>
    <row r="76" spans="2:22" ht="15" customHeight="1">
      <c r="B76" s="322" t="str">
        <f>IF(DataH!$V68="", "", DataH!$V68)</f>
        <v/>
      </c>
      <c r="C76" s="416" t="str">
        <f>IF(DataH!$X68&lt;0, NA(), IF(ISERROR(DataH!$W68/DataH!$X68), "", DataH!$W68/DataH!$X68))</f>
        <v/>
      </c>
      <c r="D76" s="416" t="str">
        <f>IF(DataH!$Y68&lt;0, NA(), IF(ISERROR(DataH!$W68/DataH!$Y68), "", DataH!$W68/DataH!$Y68))</f>
        <v/>
      </c>
      <c r="E76" s="417" t="str">
        <f>IF(DataH!$Z68&lt;0, NA(), IF(ISERROR(DataH!$W68/DataH!$Z68), "", DataH!$W68/DataH!$Z68))</f>
        <v/>
      </c>
      <c r="G76" s="418" t="str">
        <f>IF(DataH!$AB68&lt;0, NA(), IF(ISERROR(DataH!$AA68/DataH!$AB68), "", DataH!$AA68/DataH!$AB68))</f>
        <v/>
      </c>
      <c r="H76" s="416" t="str">
        <f>IF(DataH!$AC68&lt;0, NA(), IF(ISERROR(DataH!$AA68/DataH!$AC68), "", DataH!$AA68/DataH!$AC68))</f>
        <v/>
      </c>
      <c r="I76" s="417" t="str">
        <f>IF(DataH!$AD68&lt;0, NA(), IF(ISERROR(DataH!$AA68/DataH!$AD68), "", DataH!$AA68/DataH!$AD68))</f>
        <v/>
      </c>
      <c r="J76" s="216"/>
      <c r="K76" s="216"/>
      <c r="L76" s="216"/>
      <c r="M76" s="216"/>
      <c r="N76" s="216"/>
      <c r="O76" s="216"/>
      <c r="P76" s="216"/>
      <c r="Q76" s="216"/>
      <c r="R76" s="216"/>
      <c r="S76" s="216"/>
      <c r="T76" s="216"/>
      <c r="U76" s="216"/>
      <c r="V76" s="216"/>
    </row>
    <row r="77" spans="2:22" ht="15" customHeight="1">
      <c r="B77" s="318" t="str">
        <f>IF(DataH!$V69="", "", DataH!$V69)</f>
        <v/>
      </c>
      <c r="C77" s="419" t="str">
        <f>IF(DataH!$X69&lt;0, NA(), IF(ISERROR(DataH!$W69/DataH!$X69), "", DataH!$W69/DataH!$X69))</f>
        <v/>
      </c>
      <c r="D77" s="419" t="str">
        <f>IF(DataH!$Y69&lt;0, NA(), IF(ISERROR(DataH!$W69/DataH!$Y69), "", DataH!$W69/DataH!$Y69))</f>
        <v/>
      </c>
      <c r="E77" s="420" t="str">
        <f>IF(DataH!$Z69&lt;0, NA(), IF(ISERROR(DataH!$W69/DataH!$Z69), "", DataH!$W69/DataH!$Z69))</f>
        <v/>
      </c>
      <c r="G77" s="421" t="str">
        <f>IF(DataH!$AB69&lt;0, NA(), IF(ISERROR(DataH!$AA69/DataH!$AB69), "", DataH!$AA69/DataH!$AB69))</f>
        <v/>
      </c>
      <c r="H77" s="419" t="str">
        <f>IF(DataH!$AC69&lt;0, NA(), IF(ISERROR(DataH!$AA69/DataH!$AC69), "", DataH!$AA69/DataH!$AC69))</f>
        <v/>
      </c>
      <c r="I77" s="420" t="str">
        <f>IF(DataH!$AD69&lt;0, NA(), IF(ISERROR(DataH!$AA69/DataH!$AD69), "", DataH!$AA69/DataH!$AD69))</f>
        <v/>
      </c>
      <c r="J77" s="216"/>
      <c r="K77" s="216"/>
      <c r="L77" s="216"/>
      <c r="M77" s="216"/>
      <c r="N77" s="216"/>
      <c r="O77" s="216"/>
      <c r="P77" s="216"/>
      <c r="Q77" s="216"/>
      <c r="R77" s="216"/>
      <c r="S77" s="216"/>
      <c r="T77" s="216"/>
      <c r="U77" s="216"/>
      <c r="V77" s="216"/>
    </row>
    <row r="78" spans="2:22" ht="15" customHeight="1">
      <c r="B78" s="322" t="str">
        <f>IF(DataH!$V70="", "", DataH!$V70)</f>
        <v/>
      </c>
      <c r="C78" s="416" t="str">
        <f>IF(DataH!$X70&lt;0, NA(), IF(ISERROR(DataH!$W70/DataH!$X70), "", DataH!$W70/DataH!$X70))</f>
        <v/>
      </c>
      <c r="D78" s="416" t="str">
        <f>IF(DataH!$Y70&lt;0, NA(), IF(ISERROR(DataH!$W70/DataH!$Y70), "", DataH!$W70/DataH!$Y70))</f>
        <v/>
      </c>
      <c r="E78" s="417" t="str">
        <f>IF(DataH!$Z70&lt;0, NA(), IF(ISERROR(DataH!$W70/DataH!$Z70), "", DataH!$W70/DataH!$Z70))</f>
        <v/>
      </c>
      <c r="G78" s="418" t="str">
        <f>IF(DataH!$AB70&lt;0, NA(), IF(ISERROR(DataH!$AA70/DataH!$AB70), "", DataH!$AA70/DataH!$AB70))</f>
        <v/>
      </c>
      <c r="H78" s="416" t="str">
        <f>IF(DataH!$AC70&lt;0, NA(), IF(ISERROR(DataH!$AA70/DataH!$AC70), "", DataH!$AA70/DataH!$AC70))</f>
        <v/>
      </c>
      <c r="I78" s="417" t="str">
        <f>IF(DataH!$AD70&lt;0, NA(), IF(ISERROR(DataH!$AA70/DataH!$AD70), "", DataH!$AA70/DataH!$AD70))</f>
        <v/>
      </c>
      <c r="J78" s="216"/>
      <c r="K78" s="216"/>
      <c r="L78" s="216"/>
      <c r="M78" s="216"/>
      <c r="N78" s="216"/>
      <c r="O78" s="216"/>
      <c r="P78" s="216"/>
      <c r="Q78" s="216"/>
      <c r="R78" s="216"/>
      <c r="S78" s="216"/>
      <c r="T78" s="216"/>
      <c r="U78" s="216"/>
      <c r="V78" s="216"/>
    </row>
    <row r="79" spans="2:22" ht="15" customHeight="1">
      <c r="B79" s="318" t="str">
        <f>IF(DataH!$V71="", "", DataH!$V71)</f>
        <v/>
      </c>
      <c r="C79" s="419" t="str">
        <f>IF(DataH!$X71&lt;0, NA(), IF(ISERROR(DataH!$W71/DataH!$X71), "", DataH!$W71/DataH!$X71))</f>
        <v/>
      </c>
      <c r="D79" s="419" t="str">
        <f>IF(DataH!$Y71&lt;0, NA(), IF(ISERROR(DataH!$W71/DataH!$Y71), "", DataH!$W71/DataH!$Y71))</f>
        <v/>
      </c>
      <c r="E79" s="420" t="str">
        <f>IF(DataH!$Z71&lt;0, NA(), IF(ISERROR(DataH!$W71/DataH!$Z71), "", DataH!$W71/DataH!$Z71))</f>
        <v/>
      </c>
      <c r="G79" s="421" t="str">
        <f>IF(DataH!$AB71&lt;0, NA(), IF(ISERROR(DataH!$AA71/DataH!$AB71), "", DataH!$AA71/DataH!$AB71))</f>
        <v/>
      </c>
      <c r="H79" s="419" t="str">
        <f>IF(DataH!$AC71&lt;0, NA(), IF(ISERROR(DataH!$AA71/DataH!$AC71), "", DataH!$AA71/DataH!$AC71))</f>
        <v/>
      </c>
      <c r="I79" s="420" t="str">
        <f>IF(DataH!$AD71&lt;0, NA(), IF(ISERROR(DataH!$AA71/DataH!$AD71), "", DataH!$AA71/DataH!$AD71))</f>
        <v/>
      </c>
      <c r="J79" s="216"/>
      <c r="K79" s="216"/>
      <c r="L79" s="216"/>
      <c r="M79" s="216"/>
      <c r="N79" s="216"/>
      <c r="O79" s="216"/>
      <c r="P79" s="216"/>
      <c r="Q79" s="216"/>
      <c r="R79" s="216"/>
      <c r="S79" s="216"/>
      <c r="T79" s="216"/>
      <c r="U79" s="216"/>
      <c r="V79" s="216"/>
    </row>
    <row r="80" spans="2:22" ht="15" customHeight="1">
      <c r="B80" s="322" t="str">
        <f>IF(DataH!$V72="", "", DataH!$V72)</f>
        <v/>
      </c>
      <c r="C80" s="416" t="str">
        <f>IF(DataH!$X72&lt;0, NA(), IF(ISERROR(DataH!$W72/DataH!$X72), "", DataH!$W72/DataH!$X72))</f>
        <v/>
      </c>
      <c r="D80" s="416" t="str">
        <f>IF(DataH!$Y72&lt;0, NA(), IF(ISERROR(DataH!$W72/DataH!$Y72), "", DataH!$W72/DataH!$Y72))</f>
        <v/>
      </c>
      <c r="E80" s="417" t="str">
        <f>IF(DataH!$Z72&lt;0, NA(), IF(ISERROR(DataH!$W72/DataH!$Z72), "", DataH!$W72/DataH!$Z72))</f>
        <v/>
      </c>
      <c r="G80" s="418" t="str">
        <f>IF(DataH!$AB72&lt;0, NA(), IF(ISERROR(DataH!$AA72/DataH!$AB72), "", DataH!$AA72/DataH!$AB72))</f>
        <v/>
      </c>
      <c r="H80" s="416" t="str">
        <f>IF(DataH!$AC72&lt;0, NA(), IF(ISERROR(DataH!$AA72/DataH!$AC72), "", DataH!$AA72/DataH!$AC72))</f>
        <v/>
      </c>
      <c r="I80" s="417" t="str">
        <f>IF(DataH!$AD72&lt;0, NA(), IF(ISERROR(DataH!$AA72/DataH!$AD72), "", DataH!$AA72/DataH!$AD72))</f>
        <v/>
      </c>
      <c r="J80" s="216"/>
      <c r="K80" s="216"/>
      <c r="L80" s="216"/>
      <c r="M80" s="216"/>
      <c r="N80" s="216"/>
      <c r="O80" s="216"/>
      <c r="P80" s="216"/>
      <c r="Q80" s="216"/>
      <c r="R80" s="216"/>
      <c r="S80" s="216"/>
      <c r="T80" s="216"/>
      <c r="U80" s="216"/>
      <c r="V80" s="216"/>
    </row>
    <row r="81" spans="2:22" ht="15" customHeight="1">
      <c r="B81" s="318" t="str">
        <f>IF(DataH!$V73="", "", DataH!$V73)</f>
        <v/>
      </c>
      <c r="C81" s="419" t="str">
        <f>IF(DataH!$X73&lt;0, NA(), IF(ISERROR(DataH!$W73/DataH!$X73), "", DataH!$W73/DataH!$X73))</f>
        <v/>
      </c>
      <c r="D81" s="419" t="str">
        <f>IF(DataH!$Y73&lt;0, NA(), IF(ISERROR(DataH!$W73/DataH!$Y73), "", DataH!$W73/DataH!$Y73))</f>
        <v/>
      </c>
      <c r="E81" s="420" t="str">
        <f>IF(DataH!$Z73&lt;0, NA(), IF(ISERROR(DataH!$W73/DataH!$Z73), "", DataH!$W73/DataH!$Z73))</f>
        <v/>
      </c>
      <c r="G81" s="421" t="str">
        <f>IF(DataH!$AB73&lt;0, NA(), IF(ISERROR(DataH!$AA73/DataH!$AB73), "", DataH!$AA73/DataH!$AB73))</f>
        <v/>
      </c>
      <c r="H81" s="419" t="str">
        <f>IF(DataH!$AC73&lt;0, NA(), IF(ISERROR(DataH!$AA73/DataH!$AC73), "", DataH!$AA73/DataH!$AC73))</f>
        <v/>
      </c>
      <c r="I81" s="420" t="str">
        <f>IF(DataH!$AD73&lt;0, NA(), IF(ISERROR(DataH!$AA73/DataH!$AD73), "", DataH!$AA73/DataH!$AD73))</f>
        <v/>
      </c>
      <c r="J81" s="216"/>
      <c r="K81" s="216"/>
      <c r="L81" s="216"/>
      <c r="M81" s="216"/>
      <c r="N81" s="216"/>
      <c r="O81" s="216"/>
      <c r="P81" s="216"/>
      <c r="Q81" s="216"/>
      <c r="R81" s="216"/>
      <c r="S81" s="216"/>
      <c r="T81" s="216"/>
      <c r="U81" s="216"/>
      <c r="V81" s="216"/>
    </row>
    <row r="82" spans="2:22" ht="15" customHeight="1">
      <c r="B82" s="322" t="str">
        <f>IF(DataH!$V74="", "", DataH!$V74)</f>
        <v/>
      </c>
      <c r="C82" s="416" t="str">
        <f>IF(DataH!$X74&lt;0, NA(), IF(ISERROR(DataH!$W74/DataH!$X74), "", DataH!$W74/DataH!$X74))</f>
        <v/>
      </c>
      <c r="D82" s="416" t="str">
        <f>IF(DataH!$Y74&lt;0, NA(), IF(ISERROR(DataH!$W74/DataH!$Y74), "", DataH!$W74/DataH!$Y74))</f>
        <v/>
      </c>
      <c r="E82" s="417" t="str">
        <f>IF(DataH!$Z74&lt;0, NA(), IF(ISERROR(DataH!$W74/DataH!$Z74), "", DataH!$W74/DataH!$Z74))</f>
        <v/>
      </c>
      <c r="G82" s="418" t="str">
        <f>IF(DataH!$AB74&lt;0, NA(), IF(ISERROR(DataH!$AA74/DataH!$AB74), "", DataH!$AA74/DataH!$AB74))</f>
        <v/>
      </c>
      <c r="H82" s="416" t="str">
        <f>IF(DataH!$AC74&lt;0, NA(), IF(ISERROR(DataH!$AA74/DataH!$AC74), "", DataH!$AA74/DataH!$AC74))</f>
        <v/>
      </c>
      <c r="I82" s="417" t="str">
        <f>IF(DataH!$AD74&lt;0, NA(), IF(ISERROR(DataH!$AA74/DataH!$AD74), "", DataH!$AA74/DataH!$AD74))</f>
        <v/>
      </c>
      <c r="J82" s="216"/>
      <c r="K82" s="216"/>
      <c r="L82" s="216"/>
      <c r="M82" s="216"/>
      <c r="N82" s="216"/>
      <c r="O82" s="216"/>
      <c r="P82" s="216"/>
      <c r="Q82" s="216"/>
      <c r="R82" s="216"/>
      <c r="S82" s="216"/>
      <c r="T82" s="216"/>
      <c r="U82" s="216"/>
      <c r="V82" s="216"/>
    </row>
    <row r="83" spans="2:22" ht="15" customHeight="1">
      <c r="B83" s="318" t="str">
        <f>IF(DataH!$V75="", "", DataH!$V75)</f>
        <v/>
      </c>
      <c r="C83" s="419" t="str">
        <f>IF(DataH!$X75&lt;0, NA(), IF(ISERROR(DataH!$W75/DataH!$X75), "", DataH!$W75/DataH!$X75))</f>
        <v/>
      </c>
      <c r="D83" s="419" t="str">
        <f>IF(DataH!$Y75&lt;0, NA(), IF(ISERROR(DataH!$W75/DataH!$Y75), "", DataH!$W75/DataH!$Y75))</f>
        <v/>
      </c>
      <c r="E83" s="420" t="str">
        <f>IF(DataH!$Z75&lt;0, NA(), IF(ISERROR(DataH!$W75/DataH!$Z75), "", DataH!$W75/DataH!$Z75))</f>
        <v/>
      </c>
      <c r="G83" s="421" t="str">
        <f>IF(DataH!$AB75&lt;0, NA(), IF(ISERROR(DataH!$AA75/DataH!$AB75), "", DataH!$AA75/DataH!$AB75))</f>
        <v/>
      </c>
      <c r="H83" s="419" t="str">
        <f>IF(DataH!$AC75&lt;0, NA(), IF(ISERROR(DataH!$AA75/DataH!$AC75), "", DataH!$AA75/DataH!$AC75))</f>
        <v/>
      </c>
      <c r="I83" s="420" t="str">
        <f>IF(DataH!$AD75&lt;0, NA(), IF(ISERROR(DataH!$AA75/DataH!$AD75), "", DataH!$AA75/DataH!$AD75))</f>
        <v/>
      </c>
      <c r="J83" s="216"/>
      <c r="K83" s="216"/>
      <c r="L83" s="216"/>
      <c r="M83" s="216"/>
      <c r="N83" s="216"/>
      <c r="O83" s="216"/>
      <c r="P83" s="216"/>
      <c r="Q83" s="216"/>
      <c r="R83" s="216"/>
      <c r="S83" s="216"/>
      <c r="T83" s="216"/>
      <c r="U83" s="216"/>
      <c r="V83" s="216"/>
    </row>
    <row r="84" spans="2:22" ht="15" customHeight="1">
      <c r="B84" s="322" t="str">
        <f>IF(DataH!$V76="", "", DataH!$V76)</f>
        <v/>
      </c>
      <c r="C84" s="416" t="str">
        <f>IF(DataH!$X76&lt;0, NA(), IF(ISERROR(DataH!$W76/DataH!$X76), "", DataH!$W76/DataH!$X76))</f>
        <v/>
      </c>
      <c r="D84" s="416" t="str">
        <f>IF(DataH!$Y76&lt;0, NA(), IF(ISERROR(DataH!$W76/DataH!$Y76), "", DataH!$W76/DataH!$Y76))</f>
        <v/>
      </c>
      <c r="E84" s="417" t="str">
        <f>IF(DataH!$Z76&lt;0, NA(), IF(ISERROR(DataH!$W76/DataH!$Z76), "", DataH!$W76/DataH!$Z76))</f>
        <v/>
      </c>
      <c r="G84" s="418" t="str">
        <f>IF(DataH!$AB76&lt;0, NA(), IF(ISERROR(DataH!$AA76/DataH!$AB76), "", DataH!$AA76/DataH!$AB76))</f>
        <v/>
      </c>
      <c r="H84" s="416" t="str">
        <f>IF(DataH!$AC76&lt;0, NA(), IF(ISERROR(DataH!$AA76/DataH!$AC76), "", DataH!$AA76/DataH!$AC76))</f>
        <v/>
      </c>
      <c r="I84" s="417" t="str">
        <f>IF(DataH!$AD76&lt;0, NA(), IF(ISERROR(DataH!$AA76/DataH!$AD76), "", DataH!$AA76/DataH!$AD76))</f>
        <v/>
      </c>
      <c r="J84" s="216"/>
      <c r="K84" s="216"/>
      <c r="L84" s="216"/>
      <c r="M84" s="216"/>
      <c r="N84" s="216"/>
      <c r="O84" s="216"/>
      <c r="P84" s="216"/>
      <c r="Q84" s="216"/>
      <c r="R84" s="216"/>
      <c r="S84" s="216"/>
      <c r="T84" s="216"/>
      <c r="U84" s="216"/>
      <c r="V84" s="216"/>
    </row>
    <row r="85" spans="2:22" ht="15" customHeight="1">
      <c r="B85" s="318" t="str">
        <f>IF(DataH!$V77="", "", DataH!$V77)</f>
        <v/>
      </c>
      <c r="C85" s="419" t="str">
        <f>IF(DataH!$X77&lt;0, NA(), IF(ISERROR(DataH!$W77/DataH!$X77), "", DataH!$W77/DataH!$X77))</f>
        <v/>
      </c>
      <c r="D85" s="419" t="str">
        <f>IF(DataH!$Y77&lt;0, NA(), IF(ISERROR(DataH!$W77/DataH!$Y77), "", DataH!$W77/DataH!$Y77))</f>
        <v/>
      </c>
      <c r="E85" s="420" t="str">
        <f>IF(DataH!$Z77&lt;0, NA(), IF(ISERROR(DataH!$W77/DataH!$Z77), "", DataH!$W77/DataH!$Z77))</f>
        <v/>
      </c>
      <c r="G85" s="421" t="str">
        <f>IF(DataH!$AB77&lt;0, NA(), IF(ISERROR(DataH!$AA77/DataH!$AB77), "", DataH!$AA77/DataH!$AB77))</f>
        <v/>
      </c>
      <c r="H85" s="419" t="str">
        <f>IF(DataH!$AC77&lt;0, NA(), IF(ISERROR(DataH!$AA77/DataH!$AC77), "", DataH!$AA77/DataH!$AC77))</f>
        <v/>
      </c>
      <c r="I85" s="420" t="str">
        <f>IF(DataH!$AD77&lt;0, NA(), IF(ISERROR(DataH!$AA77/DataH!$AD77), "", DataH!$AA77/DataH!$AD77))</f>
        <v/>
      </c>
      <c r="J85" s="216"/>
      <c r="K85" s="216"/>
      <c r="L85" s="216"/>
      <c r="M85" s="216"/>
      <c r="N85" s="216"/>
      <c r="O85" s="216"/>
      <c r="P85" s="216"/>
      <c r="Q85" s="216"/>
      <c r="R85" s="216"/>
      <c r="S85" s="216"/>
      <c r="T85" s="216"/>
      <c r="U85" s="216"/>
      <c r="V85" s="216"/>
    </row>
    <row r="86" spans="2:22" ht="15" customHeight="1">
      <c r="B86" s="322" t="str">
        <f>IF(DataH!$V78="", "", DataH!$V78)</f>
        <v/>
      </c>
      <c r="C86" s="416" t="str">
        <f>IF(DataH!$X78&lt;0, NA(), IF(ISERROR(DataH!$W78/DataH!$X78), "", DataH!$W78/DataH!$X78))</f>
        <v/>
      </c>
      <c r="D86" s="416" t="str">
        <f>IF(DataH!$Y78&lt;0, NA(), IF(ISERROR(DataH!$W78/DataH!$Y78), "", DataH!$W78/DataH!$Y78))</f>
        <v/>
      </c>
      <c r="E86" s="417" t="str">
        <f>IF(DataH!$Z78&lt;0, NA(), IF(ISERROR(DataH!$W78/DataH!$Z78), "", DataH!$W78/DataH!$Z78))</f>
        <v/>
      </c>
      <c r="G86" s="418" t="str">
        <f>IF(DataH!$AB78&lt;0, NA(), IF(ISERROR(DataH!$AA78/DataH!$AB78), "", DataH!$AA78/DataH!$AB78))</f>
        <v/>
      </c>
      <c r="H86" s="416" t="str">
        <f>IF(DataH!$AC78&lt;0, NA(), IF(ISERROR(DataH!$AA78/DataH!$AC78), "", DataH!$AA78/DataH!$AC78))</f>
        <v/>
      </c>
      <c r="I86" s="417" t="str">
        <f>IF(DataH!$AD78&lt;0, NA(), IF(ISERROR(DataH!$AA78/DataH!$AD78), "", DataH!$AA78/DataH!$AD78))</f>
        <v/>
      </c>
      <c r="J86" s="216"/>
      <c r="K86" s="216"/>
      <c r="L86" s="216"/>
      <c r="M86" s="216"/>
      <c r="N86" s="216"/>
      <c r="O86" s="216"/>
      <c r="P86" s="216"/>
      <c r="Q86" s="216"/>
      <c r="R86" s="216"/>
      <c r="S86" s="216"/>
      <c r="T86" s="216"/>
      <c r="U86" s="216"/>
      <c r="V86" s="216"/>
    </row>
    <row r="87" spans="2:22" ht="15" customHeight="1">
      <c r="B87" s="318" t="str">
        <f>IF(DataH!$V79="", "", DataH!$V79)</f>
        <v/>
      </c>
      <c r="C87" s="419" t="str">
        <f>IF(DataH!$X79&lt;0, NA(), IF(ISERROR(DataH!$W79/DataH!$X79), "", DataH!$W79/DataH!$X79))</f>
        <v/>
      </c>
      <c r="D87" s="419" t="str">
        <f>IF(DataH!$Y79&lt;0, NA(), IF(ISERROR(DataH!$W79/DataH!$Y79), "", DataH!$W79/DataH!$Y79))</f>
        <v/>
      </c>
      <c r="E87" s="420" t="str">
        <f>IF(DataH!$Z79&lt;0, NA(), IF(ISERROR(DataH!$W79/DataH!$Z79), "", DataH!$W79/DataH!$Z79))</f>
        <v/>
      </c>
      <c r="G87" s="421" t="str">
        <f>IF(DataH!$AB79&lt;0, NA(), IF(ISERROR(DataH!$AA79/DataH!$AB79), "", DataH!$AA79/DataH!$AB79))</f>
        <v/>
      </c>
      <c r="H87" s="419" t="str">
        <f>IF(DataH!$AC79&lt;0, NA(), IF(ISERROR(DataH!$AA79/DataH!$AC79), "", DataH!$AA79/DataH!$AC79))</f>
        <v/>
      </c>
      <c r="I87" s="420" t="str">
        <f>IF(DataH!$AD79&lt;0, NA(), IF(ISERROR(DataH!$AA79/DataH!$AD79), "", DataH!$AA79/DataH!$AD79))</f>
        <v/>
      </c>
      <c r="J87" s="216"/>
      <c r="K87" s="216"/>
      <c r="L87" s="216"/>
      <c r="M87" s="216"/>
      <c r="N87" s="216"/>
      <c r="O87" s="216"/>
      <c r="P87" s="216"/>
      <c r="Q87" s="216"/>
      <c r="R87" s="216"/>
      <c r="S87" s="216"/>
      <c r="T87" s="216"/>
      <c r="U87" s="216"/>
      <c r="V87" s="216"/>
    </row>
    <row r="88" spans="2:22" ht="15" customHeight="1">
      <c r="B88" s="322" t="str">
        <f>IF(DataH!$V80="", "", DataH!$V80)</f>
        <v/>
      </c>
      <c r="C88" s="416" t="str">
        <f>IF(DataH!$X80&lt;0, NA(), IF(ISERROR(DataH!$W80/DataH!$X80), "", DataH!$W80/DataH!$X80))</f>
        <v/>
      </c>
      <c r="D88" s="416" t="str">
        <f>IF(DataH!$Y80&lt;0, NA(), IF(ISERROR(DataH!$W80/DataH!$Y80), "", DataH!$W80/DataH!$Y80))</f>
        <v/>
      </c>
      <c r="E88" s="417" t="str">
        <f>IF(DataH!$Z80&lt;0, NA(), IF(ISERROR(DataH!$W80/DataH!$Z80), "", DataH!$W80/DataH!$Z80))</f>
        <v/>
      </c>
      <c r="G88" s="418" t="str">
        <f>IF(DataH!$AB80&lt;0, NA(), IF(ISERROR(DataH!$AA80/DataH!$AB80), "", DataH!$AA80/DataH!$AB80))</f>
        <v/>
      </c>
      <c r="H88" s="416" t="str">
        <f>IF(DataH!$AC80&lt;0, NA(), IF(ISERROR(DataH!$AA80/DataH!$AC80), "", DataH!$AA80/DataH!$AC80))</f>
        <v/>
      </c>
      <c r="I88" s="417" t="str">
        <f>IF(DataH!$AD80&lt;0, NA(), IF(ISERROR(DataH!$AA80/DataH!$AD80), "", DataH!$AA80/DataH!$AD80))</f>
        <v/>
      </c>
      <c r="J88" s="216"/>
      <c r="K88" s="216"/>
      <c r="L88" s="216"/>
      <c r="M88" s="216"/>
      <c r="N88" s="216"/>
      <c r="O88" s="216"/>
      <c r="P88" s="216"/>
      <c r="Q88" s="216"/>
      <c r="R88" s="216"/>
      <c r="S88" s="216"/>
      <c r="T88" s="216"/>
      <c r="U88" s="216"/>
      <c r="V88" s="216"/>
    </row>
    <row r="89" spans="2:22" ht="15" customHeight="1">
      <c r="B89" s="318" t="str">
        <f>IF(DataH!$V81="", "", DataH!$V81)</f>
        <v/>
      </c>
      <c r="C89" s="419" t="str">
        <f>IF(DataH!$X81&lt;0, NA(), IF(ISERROR(DataH!$W81/DataH!$X81), "", DataH!$W81/DataH!$X81))</f>
        <v/>
      </c>
      <c r="D89" s="419" t="str">
        <f>IF(DataH!$Y81&lt;0, NA(), IF(ISERROR(DataH!$W81/DataH!$Y81), "", DataH!$W81/DataH!$Y81))</f>
        <v/>
      </c>
      <c r="E89" s="420" t="str">
        <f>IF(DataH!$Z81&lt;0, NA(), IF(ISERROR(DataH!$W81/DataH!$Z81), "", DataH!$W81/DataH!$Z81))</f>
        <v/>
      </c>
      <c r="G89" s="421" t="str">
        <f>IF(DataH!$AB81&lt;0, NA(), IF(ISERROR(DataH!$AA81/DataH!$AB81), "", DataH!$AA81/DataH!$AB81))</f>
        <v/>
      </c>
      <c r="H89" s="419" t="str">
        <f>IF(DataH!$AC81&lt;0, NA(), IF(ISERROR(DataH!$AA81/DataH!$AC81), "", DataH!$AA81/DataH!$AC81))</f>
        <v/>
      </c>
      <c r="I89" s="420" t="str">
        <f>IF(DataH!$AD81&lt;0, NA(), IF(ISERROR(DataH!$AA81/DataH!$AD81), "", DataH!$AA81/DataH!$AD81))</f>
        <v/>
      </c>
      <c r="J89" s="216"/>
      <c r="K89" s="216"/>
      <c r="L89" s="216"/>
      <c r="M89" s="216"/>
      <c r="N89" s="216"/>
      <c r="O89" s="216"/>
      <c r="P89" s="216"/>
      <c r="Q89" s="216"/>
      <c r="R89" s="216"/>
      <c r="S89" s="216"/>
      <c r="T89" s="216"/>
      <c r="U89" s="216"/>
      <c r="V89" s="216"/>
    </row>
    <row r="90" spans="2:22" ht="15" customHeight="1">
      <c r="B90" s="322" t="str">
        <f>IF(DataH!$V82="", "", DataH!$V82)</f>
        <v/>
      </c>
      <c r="C90" s="416" t="str">
        <f>IF(DataH!$X82&lt;0, NA(), IF(ISERROR(DataH!$W82/DataH!$X82), "", DataH!$W82/DataH!$X82))</f>
        <v/>
      </c>
      <c r="D90" s="416" t="str">
        <f>IF(DataH!$Y82&lt;0, NA(), IF(ISERROR(DataH!$W82/DataH!$Y82), "", DataH!$W82/DataH!$Y82))</f>
        <v/>
      </c>
      <c r="E90" s="417" t="str">
        <f>IF(DataH!$Z82&lt;0, NA(), IF(ISERROR(DataH!$W82/DataH!$Z82), "", DataH!$W82/DataH!$Z82))</f>
        <v/>
      </c>
      <c r="G90" s="418" t="str">
        <f>IF(DataH!$AB82&lt;0, NA(), IF(ISERROR(DataH!$AA82/DataH!$AB82), "", DataH!$AA82/DataH!$AB82))</f>
        <v/>
      </c>
      <c r="H90" s="416" t="str">
        <f>IF(DataH!$AC82&lt;0, NA(), IF(ISERROR(DataH!$AA82/DataH!$AC82), "", DataH!$AA82/DataH!$AC82))</f>
        <v/>
      </c>
      <c r="I90" s="417" t="str">
        <f>IF(DataH!$AD82&lt;0, NA(), IF(ISERROR(DataH!$AA82/DataH!$AD82), "", DataH!$AA82/DataH!$AD82))</f>
        <v/>
      </c>
      <c r="J90" s="216"/>
      <c r="K90" s="216"/>
      <c r="L90" s="216"/>
      <c r="M90" s="216"/>
      <c r="N90" s="216"/>
      <c r="O90" s="216"/>
      <c r="P90" s="216"/>
      <c r="Q90" s="216"/>
      <c r="R90" s="216"/>
      <c r="S90" s="216"/>
      <c r="T90" s="216"/>
      <c r="U90" s="216"/>
      <c r="V90" s="216"/>
    </row>
    <row r="91" spans="2:22" ht="15" customHeight="1">
      <c r="B91" s="318" t="str">
        <f>IF(DataH!$V83="", "", DataH!$V83)</f>
        <v/>
      </c>
      <c r="C91" s="419" t="str">
        <f>IF(DataH!$X83&lt;0, NA(), IF(ISERROR(DataH!$W83/DataH!$X83), "", DataH!$W83/DataH!$X83))</f>
        <v/>
      </c>
      <c r="D91" s="419" t="str">
        <f>IF(DataH!$Y83&lt;0, NA(), IF(ISERROR(DataH!$W83/DataH!$Y83), "", DataH!$W83/DataH!$Y83))</f>
        <v/>
      </c>
      <c r="E91" s="420" t="str">
        <f>IF(DataH!$Z83&lt;0, NA(), IF(ISERROR(DataH!$W83/DataH!$Z83), "", DataH!$W83/DataH!$Z83))</f>
        <v/>
      </c>
      <c r="G91" s="421" t="str">
        <f>IF(DataH!$AB83&lt;0, NA(), IF(ISERROR(DataH!$AA83/DataH!$AB83), "", DataH!$AA83/DataH!$AB83))</f>
        <v/>
      </c>
      <c r="H91" s="419" t="str">
        <f>IF(DataH!$AC83&lt;0, NA(), IF(ISERROR(DataH!$AA83/DataH!$AC83), "", DataH!$AA83/DataH!$AC83))</f>
        <v/>
      </c>
      <c r="I91" s="420" t="str">
        <f>IF(DataH!$AD83&lt;0, NA(), IF(ISERROR(DataH!$AA83/DataH!$AD83), "", DataH!$AA83/DataH!$AD83))</f>
        <v/>
      </c>
      <c r="J91" s="216"/>
      <c r="K91" s="216"/>
      <c r="L91" s="216"/>
      <c r="M91" s="216"/>
      <c r="N91" s="216"/>
      <c r="O91" s="216"/>
      <c r="P91" s="216"/>
      <c r="Q91" s="216"/>
      <c r="R91" s="216"/>
      <c r="S91" s="216"/>
      <c r="T91" s="216"/>
      <c r="U91" s="216"/>
      <c r="V91" s="216"/>
    </row>
    <row r="92" spans="2:22" ht="15" customHeight="1">
      <c r="B92" s="322" t="str">
        <f>IF(DataH!$V84="", "", DataH!$V84)</f>
        <v/>
      </c>
      <c r="C92" s="416" t="str">
        <f>IF(DataH!$X84&lt;0, NA(), IF(ISERROR(DataH!$W84/DataH!$X84), "", DataH!$W84/DataH!$X84))</f>
        <v/>
      </c>
      <c r="D92" s="416" t="str">
        <f>IF(DataH!$Y84&lt;0, NA(), IF(ISERROR(DataH!$W84/DataH!$Y84), "", DataH!$W84/DataH!$Y84))</f>
        <v/>
      </c>
      <c r="E92" s="417" t="str">
        <f>IF(DataH!$Z84&lt;0, NA(), IF(ISERROR(DataH!$W84/DataH!$Z84), "", DataH!$W84/DataH!$Z84))</f>
        <v/>
      </c>
      <c r="G92" s="418" t="str">
        <f>IF(DataH!$AB84&lt;0, NA(), IF(ISERROR(DataH!$AA84/DataH!$AB84), "", DataH!$AA84/DataH!$AB84))</f>
        <v/>
      </c>
      <c r="H92" s="416" t="str">
        <f>IF(DataH!$AC84&lt;0, NA(), IF(ISERROR(DataH!$AA84/DataH!$AC84), "", DataH!$AA84/DataH!$AC84))</f>
        <v/>
      </c>
      <c r="I92" s="417" t="str">
        <f>IF(DataH!$AD84&lt;0, NA(), IF(ISERROR(DataH!$AA84/DataH!$AD84), "", DataH!$AA84/DataH!$AD84))</f>
        <v/>
      </c>
      <c r="J92" s="216"/>
      <c r="K92" s="216"/>
      <c r="L92" s="216"/>
      <c r="M92" s="216"/>
      <c r="N92" s="216"/>
      <c r="O92" s="216"/>
      <c r="P92" s="216"/>
      <c r="Q92" s="216"/>
      <c r="R92" s="216"/>
      <c r="S92" s="216"/>
      <c r="T92" s="216"/>
      <c r="U92" s="216"/>
      <c r="V92" s="216"/>
    </row>
    <row r="93" spans="2:22" ht="15" customHeight="1">
      <c r="B93" s="318" t="str">
        <f>IF(DataH!$V85="", "", DataH!$V85)</f>
        <v/>
      </c>
      <c r="C93" s="419" t="str">
        <f>IF(DataH!$X85&lt;0, NA(), IF(ISERROR(DataH!$W85/DataH!$X85), "", DataH!$W85/DataH!$X85))</f>
        <v/>
      </c>
      <c r="D93" s="419" t="str">
        <f>IF(DataH!$Y85&lt;0, NA(), IF(ISERROR(DataH!$W85/DataH!$Y85), "", DataH!$W85/DataH!$Y85))</f>
        <v/>
      </c>
      <c r="E93" s="420" t="str">
        <f>IF(DataH!$Z85&lt;0, NA(), IF(ISERROR(DataH!$W85/DataH!$Z85), "", DataH!$W85/DataH!$Z85))</f>
        <v/>
      </c>
      <c r="G93" s="421" t="str">
        <f>IF(DataH!$AB85&lt;0, NA(), IF(ISERROR(DataH!$AA85/DataH!$AB85), "", DataH!$AA85/DataH!$AB85))</f>
        <v/>
      </c>
      <c r="H93" s="419" t="str">
        <f>IF(DataH!$AC85&lt;0, NA(), IF(ISERROR(DataH!$AA85/DataH!$AC85), "", DataH!$AA85/DataH!$AC85))</f>
        <v/>
      </c>
      <c r="I93" s="420" t="str">
        <f>IF(DataH!$AD85&lt;0, NA(), IF(ISERROR(DataH!$AA85/DataH!$AD85), "", DataH!$AA85/DataH!$AD85))</f>
        <v/>
      </c>
      <c r="J93" s="216"/>
      <c r="K93" s="216"/>
      <c r="L93" s="216"/>
      <c r="M93" s="216"/>
      <c r="N93" s="216"/>
      <c r="O93" s="216"/>
      <c r="P93" s="216"/>
      <c r="Q93" s="216"/>
      <c r="R93" s="216"/>
      <c r="S93" s="216"/>
      <c r="T93" s="216"/>
      <c r="U93" s="216"/>
      <c r="V93" s="216"/>
    </row>
    <row r="94" spans="2:22" ht="15" customHeight="1">
      <c r="B94" s="322" t="str">
        <f>IF(DataH!$V86="", "", DataH!$V86)</f>
        <v/>
      </c>
      <c r="C94" s="416" t="str">
        <f>IF(DataH!$X86&lt;0, NA(), IF(ISERROR(DataH!$W86/DataH!$X86), "", DataH!$W86/DataH!$X86))</f>
        <v/>
      </c>
      <c r="D94" s="416" t="str">
        <f>IF(DataH!$Y86&lt;0, NA(), IF(ISERROR(DataH!$W86/DataH!$Y86), "", DataH!$W86/DataH!$Y86))</f>
        <v/>
      </c>
      <c r="E94" s="417" t="str">
        <f>IF(DataH!$Z86&lt;0, NA(), IF(ISERROR(DataH!$W86/DataH!$Z86), "", DataH!$W86/DataH!$Z86))</f>
        <v/>
      </c>
      <c r="G94" s="418" t="str">
        <f>IF(DataH!$AB86&lt;0, NA(), IF(ISERROR(DataH!$AA86/DataH!$AB86), "", DataH!$AA86/DataH!$AB86))</f>
        <v/>
      </c>
      <c r="H94" s="416" t="str">
        <f>IF(DataH!$AC86&lt;0, NA(), IF(ISERROR(DataH!$AA86/DataH!$AC86), "", DataH!$AA86/DataH!$AC86))</f>
        <v/>
      </c>
      <c r="I94" s="417" t="str">
        <f>IF(DataH!$AD86&lt;0, NA(), IF(ISERROR(DataH!$AA86/DataH!$AD86), "", DataH!$AA86/DataH!$AD86))</f>
        <v/>
      </c>
      <c r="J94" s="216"/>
      <c r="K94" s="216"/>
      <c r="L94" s="216"/>
      <c r="M94" s="216"/>
      <c r="N94" s="216"/>
      <c r="O94" s="216"/>
      <c r="P94" s="216"/>
      <c r="Q94" s="216"/>
      <c r="R94" s="216"/>
      <c r="S94" s="216"/>
      <c r="T94" s="216"/>
      <c r="U94" s="216"/>
      <c r="V94" s="216"/>
    </row>
    <row r="95" spans="2:22" ht="15" customHeight="1">
      <c r="B95" s="318" t="str">
        <f>IF(DataH!$V87="", "", DataH!$V87)</f>
        <v/>
      </c>
      <c r="C95" s="419" t="str">
        <f>IF(DataH!$X87&lt;0, NA(), IF(ISERROR(DataH!$W87/DataH!$X87), "", DataH!$W87/DataH!$X87))</f>
        <v/>
      </c>
      <c r="D95" s="419" t="str">
        <f>IF(DataH!$Y87&lt;0, NA(), IF(ISERROR(DataH!$W87/DataH!$Y87), "", DataH!$W87/DataH!$Y87))</f>
        <v/>
      </c>
      <c r="E95" s="420" t="str">
        <f>IF(DataH!$Z87&lt;0, NA(), IF(ISERROR(DataH!$W87/DataH!$Z87), "", DataH!$W87/DataH!$Z87))</f>
        <v/>
      </c>
      <c r="G95" s="421" t="str">
        <f>IF(DataH!$AB87&lt;0, NA(), IF(ISERROR(DataH!$AA87/DataH!$AB87), "", DataH!$AA87/DataH!$AB87))</f>
        <v/>
      </c>
      <c r="H95" s="419" t="str">
        <f>IF(DataH!$AC87&lt;0, NA(), IF(ISERROR(DataH!$AA87/DataH!$AC87), "", DataH!$AA87/DataH!$AC87))</f>
        <v/>
      </c>
      <c r="I95" s="420" t="str">
        <f>IF(DataH!$AD87&lt;0, NA(), IF(ISERROR(DataH!$AA87/DataH!$AD87), "", DataH!$AA87/DataH!$AD87))</f>
        <v/>
      </c>
      <c r="J95" s="216"/>
      <c r="K95" s="216"/>
      <c r="L95" s="216"/>
      <c r="M95" s="216"/>
      <c r="N95" s="216"/>
      <c r="O95" s="216"/>
      <c r="P95" s="216"/>
      <c r="Q95" s="216"/>
      <c r="R95" s="216"/>
      <c r="S95" s="216"/>
      <c r="T95" s="216"/>
      <c r="U95" s="216"/>
      <c r="V95" s="216"/>
    </row>
    <row r="96" spans="2:22" ht="15" customHeight="1">
      <c r="B96" s="322" t="str">
        <f>IF(DataH!$V88="", "", DataH!$V88)</f>
        <v/>
      </c>
      <c r="C96" s="416" t="str">
        <f>IF(DataH!$X88&lt;0, NA(), IF(ISERROR(DataH!$W88/DataH!$X88), "", DataH!$W88/DataH!$X88))</f>
        <v/>
      </c>
      <c r="D96" s="416" t="str">
        <f>IF(DataH!$Y88&lt;0, NA(), IF(ISERROR(DataH!$W88/DataH!$Y88), "", DataH!$W88/DataH!$Y88))</f>
        <v/>
      </c>
      <c r="E96" s="417" t="str">
        <f>IF(DataH!$Z88&lt;0, NA(), IF(ISERROR(DataH!$W88/DataH!$Z88), "", DataH!$W88/DataH!$Z88))</f>
        <v/>
      </c>
      <c r="G96" s="418" t="str">
        <f>IF(DataH!$AB88&lt;0, NA(), IF(ISERROR(DataH!$AA88/DataH!$AB88), "", DataH!$AA88/DataH!$AB88))</f>
        <v/>
      </c>
      <c r="H96" s="416" t="str">
        <f>IF(DataH!$AC88&lt;0, NA(), IF(ISERROR(DataH!$AA88/DataH!$AC88), "", DataH!$AA88/DataH!$AC88))</f>
        <v/>
      </c>
      <c r="I96" s="417" t="str">
        <f>IF(DataH!$AD88&lt;0, NA(), IF(ISERROR(DataH!$AA88/DataH!$AD88), "", DataH!$AA88/DataH!$AD88))</f>
        <v/>
      </c>
      <c r="J96" s="216"/>
      <c r="K96" s="216"/>
      <c r="L96" s="216"/>
      <c r="M96" s="216"/>
      <c r="N96" s="216"/>
      <c r="O96" s="216"/>
      <c r="P96" s="216"/>
      <c r="Q96" s="216"/>
      <c r="R96" s="216"/>
      <c r="S96" s="216"/>
      <c r="T96" s="216"/>
      <c r="U96" s="216"/>
      <c r="V96" s="216"/>
    </row>
    <row r="97" spans="2:22" ht="15" customHeight="1">
      <c r="B97" s="318" t="str">
        <f>IF(DataH!$V89="", "", DataH!$V89)</f>
        <v/>
      </c>
      <c r="C97" s="419" t="str">
        <f>IF(DataH!$X89&lt;0, NA(), IF(ISERROR(DataH!$W89/DataH!$X89), "", DataH!$W89/DataH!$X89))</f>
        <v/>
      </c>
      <c r="D97" s="419" t="str">
        <f>IF(DataH!$Y89&lt;0, NA(), IF(ISERROR(DataH!$W89/DataH!$Y89), "", DataH!$W89/DataH!$Y89))</f>
        <v/>
      </c>
      <c r="E97" s="420" t="str">
        <f>IF(DataH!$Z89&lt;0, NA(), IF(ISERROR(DataH!$W89/DataH!$Z89), "", DataH!$W89/DataH!$Z89))</f>
        <v/>
      </c>
      <c r="G97" s="421" t="str">
        <f>IF(DataH!$AB89&lt;0, NA(), IF(ISERROR(DataH!$AA89/DataH!$AB89), "", DataH!$AA89/DataH!$AB89))</f>
        <v/>
      </c>
      <c r="H97" s="419" t="str">
        <f>IF(DataH!$AC89&lt;0, NA(), IF(ISERROR(DataH!$AA89/DataH!$AC89), "", DataH!$AA89/DataH!$AC89))</f>
        <v/>
      </c>
      <c r="I97" s="420" t="str">
        <f>IF(DataH!$AD89&lt;0, NA(), IF(ISERROR(DataH!$AA89/DataH!$AD89), "", DataH!$AA89/DataH!$AD89))</f>
        <v/>
      </c>
      <c r="J97" s="216"/>
      <c r="K97" s="216"/>
      <c r="L97" s="216"/>
      <c r="M97" s="216"/>
      <c r="N97" s="216"/>
      <c r="O97" s="216"/>
      <c r="P97" s="216"/>
      <c r="Q97" s="216"/>
      <c r="R97" s="216"/>
      <c r="S97" s="216"/>
      <c r="T97" s="216"/>
      <c r="U97" s="216"/>
      <c r="V97" s="216"/>
    </row>
    <row r="98" spans="2:22" ht="15" customHeight="1">
      <c r="B98" s="322" t="str">
        <f>IF(DataH!$V90="", "", DataH!$V90)</f>
        <v/>
      </c>
      <c r="C98" s="416" t="str">
        <f>IF(DataH!$X90&lt;0, NA(), IF(ISERROR(DataH!$W90/DataH!$X90), "", DataH!$W90/DataH!$X90))</f>
        <v/>
      </c>
      <c r="D98" s="416" t="str">
        <f>IF(DataH!$Y90&lt;0, NA(), IF(ISERROR(DataH!$W90/DataH!$Y90), "", DataH!$W90/DataH!$Y90))</f>
        <v/>
      </c>
      <c r="E98" s="417" t="str">
        <f>IF(DataH!$Z90&lt;0, NA(), IF(ISERROR(DataH!$W90/DataH!$Z90), "", DataH!$W90/DataH!$Z90))</f>
        <v/>
      </c>
      <c r="G98" s="418" t="str">
        <f>IF(DataH!$AB90&lt;0, NA(), IF(ISERROR(DataH!$AA90/DataH!$AB90), "", DataH!$AA90/DataH!$AB90))</f>
        <v/>
      </c>
      <c r="H98" s="416" t="str">
        <f>IF(DataH!$AC90&lt;0, NA(), IF(ISERROR(DataH!$AA90/DataH!$AC90), "", DataH!$AA90/DataH!$AC90))</f>
        <v/>
      </c>
      <c r="I98" s="417" t="str">
        <f>IF(DataH!$AD90&lt;0, NA(), IF(ISERROR(DataH!$AA90/DataH!$AD90), "", DataH!$AA90/DataH!$AD90))</f>
        <v/>
      </c>
      <c r="J98" s="216"/>
      <c r="K98" s="216"/>
      <c r="L98" s="216"/>
      <c r="M98" s="216"/>
      <c r="N98" s="216"/>
      <c r="O98" s="216"/>
      <c r="P98" s="216"/>
      <c r="Q98" s="216"/>
      <c r="R98" s="216"/>
      <c r="S98" s="216"/>
      <c r="T98" s="216"/>
      <c r="U98" s="216"/>
      <c r="V98" s="216"/>
    </row>
    <row r="99" spans="2:22" ht="15" customHeight="1">
      <c r="B99" s="318" t="str">
        <f>IF(DataH!$V91="", "", DataH!$V91)</f>
        <v/>
      </c>
      <c r="C99" s="419" t="str">
        <f>IF(DataH!$X91&lt;0, NA(), IF(ISERROR(DataH!$W91/DataH!$X91), "", DataH!$W91/DataH!$X91))</f>
        <v/>
      </c>
      <c r="D99" s="419" t="str">
        <f>IF(DataH!$Y91&lt;0, NA(), IF(ISERROR(DataH!$W91/DataH!$Y91), "", DataH!$W91/DataH!$Y91))</f>
        <v/>
      </c>
      <c r="E99" s="420" t="str">
        <f>IF(DataH!$Z91&lt;0, NA(), IF(ISERROR(DataH!$W91/DataH!$Z91), "", DataH!$W91/DataH!$Z91))</f>
        <v/>
      </c>
      <c r="G99" s="421" t="str">
        <f>IF(DataH!$AB91&lt;0, NA(), IF(ISERROR(DataH!$AA91/DataH!$AB91), "", DataH!$AA91/DataH!$AB91))</f>
        <v/>
      </c>
      <c r="H99" s="419" t="str">
        <f>IF(DataH!$AC91&lt;0, NA(), IF(ISERROR(DataH!$AA91/DataH!$AC91), "", DataH!$AA91/DataH!$AC91))</f>
        <v/>
      </c>
      <c r="I99" s="420" t="str">
        <f>IF(DataH!$AD91&lt;0, NA(), IF(ISERROR(DataH!$AA91/DataH!$AD91), "", DataH!$AA91/DataH!$AD91))</f>
        <v/>
      </c>
      <c r="J99" s="216"/>
      <c r="K99" s="216"/>
      <c r="L99" s="216"/>
      <c r="M99" s="216"/>
      <c r="N99" s="216"/>
      <c r="O99" s="216"/>
      <c r="P99" s="216"/>
      <c r="Q99" s="216"/>
      <c r="R99" s="216"/>
      <c r="S99" s="216"/>
      <c r="T99" s="216"/>
      <c r="U99" s="216"/>
      <c r="V99" s="216"/>
    </row>
    <row r="100" spans="2:22" ht="15" customHeight="1">
      <c r="B100" s="322" t="str">
        <f>IF(DataH!$V92="", "", DataH!$V92)</f>
        <v/>
      </c>
      <c r="C100" s="416" t="str">
        <f>IF(DataH!$X92&lt;0, NA(), IF(ISERROR(DataH!$W92/DataH!$X92), "", DataH!$W92/DataH!$X92))</f>
        <v/>
      </c>
      <c r="D100" s="416" t="str">
        <f>IF(DataH!$Y92&lt;0, NA(), IF(ISERROR(DataH!$W92/DataH!$Y92), "", DataH!$W92/DataH!$Y92))</f>
        <v/>
      </c>
      <c r="E100" s="417" t="str">
        <f>IF(DataH!$Z92&lt;0, NA(), IF(ISERROR(DataH!$W92/DataH!$Z92), "", DataH!$W92/DataH!$Z92))</f>
        <v/>
      </c>
      <c r="G100" s="418" t="str">
        <f>IF(DataH!$AB92&lt;0, NA(), IF(ISERROR(DataH!$AA92/DataH!$AB92), "", DataH!$AA92/DataH!$AB92))</f>
        <v/>
      </c>
      <c r="H100" s="416" t="str">
        <f>IF(DataH!$AC92&lt;0, NA(), IF(ISERROR(DataH!$AA92/DataH!$AC92), "", DataH!$AA92/DataH!$AC92))</f>
        <v/>
      </c>
      <c r="I100" s="417" t="str">
        <f>IF(DataH!$AD92&lt;0, NA(), IF(ISERROR(DataH!$AA92/DataH!$AD92), "", DataH!$AA92/DataH!$AD92))</f>
        <v/>
      </c>
      <c r="J100" s="216"/>
      <c r="K100" s="216"/>
      <c r="L100" s="216"/>
      <c r="M100" s="216"/>
      <c r="N100" s="216"/>
      <c r="O100" s="216"/>
      <c r="P100" s="216"/>
      <c r="Q100" s="216"/>
      <c r="R100" s="216"/>
      <c r="S100" s="216"/>
      <c r="T100" s="216"/>
      <c r="U100" s="216"/>
      <c r="V100" s="216"/>
    </row>
    <row r="101" spans="2:22" ht="15" customHeight="1">
      <c r="B101" s="318" t="str">
        <f>IF(DataH!$V93="", "", DataH!$V93)</f>
        <v/>
      </c>
      <c r="C101" s="419" t="str">
        <f>IF(DataH!$X93&lt;0, NA(), IF(ISERROR(DataH!$W93/DataH!$X93), "", DataH!$W93/DataH!$X93))</f>
        <v/>
      </c>
      <c r="D101" s="419" t="str">
        <f>IF(DataH!$Y93&lt;0, NA(), IF(ISERROR(DataH!$W93/DataH!$Y93), "", DataH!$W93/DataH!$Y93))</f>
        <v/>
      </c>
      <c r="E101" s="420" t="str">
        <f>IF(DataH!$Z93&lt;0, NA(), IF(ISERROR(DataH!$W93/DataH!$Z93), "", DataH!$W93/DataH!$Z93))</f>
        <v/>
      </c>
      <c r="G101" s="421" t="str">
        <f>IF(DataH!$AB93&lt;0, NA(), IF(ISERROR(DataH!$AA93/DataH!$AB93), "", DataH!$AA93/DataH!$AB93))</f>
        <v/>
      </c>
      <c r="H101" s="419" t="str">
        <f>IF(DataH!$AC93&lt;0, NA(), IF(ISERROR(DataH!$AA93/DataH!$AC93), "", DataH!$AA93/DataH!$AC93))</f>
        <v/>
      </c>
      <c r="I101" s="420" t="str">
        <f>IF(DataH!$AD93&lt;0, NA(), IF(ISERROR(DataH!$AA93/DataH!$AD93), "", DataH!$AA93/DataH!$AD93))</f>
        <v/>
      </c>
      <c r="J101" s="216"/>
      <c r="K101" s="216"/>
      <c r="L101" s="216"/>
      <c r="M101" s="216"/>
      <c r="N101" s="216"/>
      <c r="O101" s="216"/>
      <c r="P101" s="216"/>
      <c r="Q101" s="216"/>
      <c r="R101" s="216"/>
      <c r="S101" s="216"/>
      <c r="T101" s="216"/>
      <c r="U101" s="216"/>
      <c r="V101" s="216"/>
    </row>
    <row r="102" spans="2:22" ht="15" customHeight="1">
      <c r="B102" s="322" t="str">
        <f>IF(DataH!$V94="", "", DataH!$V94)</f>
        <v/>
      </c>
      <c r="C102" s="416" t="str">
        <f>IF(DataH!$X94&lt;0, NA(), IF(ISERROR(DataH!$W94/DataH!$X94), "", DataH!$W94/DataH!$X94))</f>
        <v/>
      </c>
      <c r="D102" s="416" t="str">
        <f>IF(DataH!$Y94&lt;0, NA(), IF(ISERROR(DataH!$W94/DataH!$Y94), "", DataH!$W94/DataH!$Y94))</f>
        <v/>
      </c>
      <c r="E102" s="417" t="str">
        <f>IF(DataH!$Z94&lt;0, NA(), IF(ISERROR(DataH!$W94/DataH!$Z94), "", DataH!$W94/DataH!$Z94))</f>
        <v/>
      </c>
      <c r="G102" s="418" t="str">
        <f>IF(DataH!$AB94&lt;0, NA(), IF(ISERROR(DataH!$AA94/DataH!$AB94), "", DataH!$AA94/DataH!$AB94))</f>
        <v/>
      </c>
      <c r="H102" s="416" t="str">
        <f>IF(DataH!$AC94&lt;0, NA(), IF(ISERROR(DataH!$AA94/DataH!$AC94), "", DataH!$AA94/DataH!$AC94))</f>
        <v/>
      </c>
      <c r="I102" s="417" t="str">
        <f>IF(DataH!$AD94&lt;0, NA(), IF(ISERROR(DataH!$AA94/DataH!$AD94), "", DataH!$AA94/DataH!$AD94))</f>
        <v/>
      </c>
      <c r="J102" s="216"/>
      <c r="K102" s="216"/>
      <c r="L102" s="216"/>
      <c r="M102" s="216"/>
      <c r="N102" s="216"/>
      <c r="O102" s="216"/>
      <c r="P102" s="216"/>
      <c r="Q102" s="216"/>
      <c r="R102" s="216"/>
      <c r="S102" s="216"/>
      <c r="T102" s="216"/>
      <c r="U102" s="216"/>
      <c r="V102" s="216"/>
    </row>
    <row r="103" spans="2:22" ht="15" customHeight="1">
      <c r="B103" s="318" t="str">
        <f>IF(DataH!$V95="", "", DataH!$V95)</f>
        <v/>
      </c>
      <c r="C103" s="419" t="str">
        <f>IF(DataH!$X95&lt;0, NA(), IF(ISERROR(DataH!$W95/DataH!$X95), "", DataH!$W95/DataH!$X95))</f>
        <v/>
      </c>
      <c r="D103" s="419" t="str">
        <f>IF(DataH!$Y95&lt;0, NA(), IF(ISERROR(DataH!$W95/DataH!$Y95), "", DataH!$W95/DataH!$Y95))</f>
        <v/>
      </c>
      <c r="E103" s="420" t="str">
        <f>IF(DataH!$Z95&lt;0, NA(), IF(ISERROR(DataH!$W95/DataH!$Z95), "", DataH!$W95/DataH!$Z95))</f>
        <v/>
      </c>
      <c r="G103" s="421" t="str">
        <f>IF(DataH!$AB95&lt;0, NA(), IF(ISERROR(DataH!$AA95/DataH!$AB95), "", DataH!$AA95/DataH!$AB95))</f>
        <v/>
      </c>
      <c r="H103" s="419" t="str">
        <f>IF(DataH!$AC95&lt;0, NA(), IF(ISERROR(DataH!$AA95/DataH!$AC95), "", DataH!$AA95/DataH!$AC95))</f>
        <v/>
      </c>
      <c r="I103" s="420" t="str">
        <f>IF(DataH!$AD95&lt;0, NA(), IF(ISERROR(DataH!$AA95/DataH!$AD95), "", DataH!$AA95/DataH!$AD95))</f>
        <v/>
      </c>
      <c r="J103" s="216"/>
      <c r="K103" s="216"/>
      <c r="L103" s="216"/>
      <c r="M103" s="216"/>
      <c r="N103" s="216"/>
      <c r="O103" s="216"/>
      <c r="P103" s="216"/>
      <c r="Q103" s="216"/>
      <c r="R103" s="216"/>
      <c r="S103" s="216"/>
      <c r="T103" s="216"/>
      <c r="U103" s="216"/>
      <c r="V103" s="216"/>
    </row>
    <row r="104" spans="2:22" ht="15" customHeight="1">
      <c r="B104" s="322" t="str">
        <f>IF(DataH!$V96="", "", DataH!$V96)</f>
        <v/>
      </c>
      <c r="C104" s="416" t="str">
        <f>IF(DataH!$X96&lt;0, NA(), IF(ISERROR(DataH!$W96/DataH!$X96), "", DataH!$W96/DataH!$X96))</f>
        <v/>
      </c>
      <c r="D104" s="416" t="str">
        <f>IF(DataH!$Y96&lt;0, NA(), IF(ISERROR(DataH!$W96/DataH!$Y96), "", DataH!$W96/DataH!$Y96))</f>
        <v/>
      </c>
      <c r="E104" s="417" t="str">
        <f>IF(DataH!$Z96&lt;0, NA(), IF(ISERROR(DataH!$W96/DataH!$Z96), "", DataH!$W96/DataH!$Z96))</f>
        <v/>
      </c>
      <c r="G104" s="418" t="str">
        <f>IF(DataH!$AB96&lt;0, NA(), IF(ISERROR(DataH!$AA96/DataH!$AB96), "", DataH!$AA96/DataH!$AB96))</f>
        <v/>
      </c>
      <c r="H104" s="416" t="str">
        <f>IF(DataH!$AC96&lt;0, NA(), IF(ISERROR(DataH!$AA96/DataH!$AC96), "", DataH!$AA96/DataH!$AC96))</f>
        <v/>
      </c>
      <c r="I104" s="417" t="str">
        <f>IF(DataH!$AD96&lt;0, NA(), IF(ISERROR(DataH!$AA96/DataH!$AD96), "", DataH!$AA96/DataH!$AD96))</f>
        <v/>
      </c>
      <c r="J104" s="216"/>
      <c r="K104" s="216"/>
      <c r="L104" s="216"/>
      <c r="M104" s="216"/>
      <c r="N104" s="216"/>
      <c r="O104" s="216"/>
      <c r="P104" s="216"/>
      <c r="Q104" s="216"/>
      <c r="R104" s="216"/>
      <c r="S104" s="216"/>
      <c r="T104" s="216"/>
      <c r="U104" s="216"/>
      <c r="V104" s="216"/>
    </row>
    <row r="105" spans="2:22" ht="15" customHeight="1">
      <c r="B105" s="318" t="str">
        <f>IF(DataH!$V97="", "", DataH!$V97)</f>
        <v/>
      </c>
      <c r="C105" s="419" t="str">
        <f>IF(DataH!$X97&lt;0, NA(), IF(ISERROR(DataH!$W97/DataH!$X97), "", DataH!$W97/DataH!$X97))</f>
        <v/>
      </c>
      <c r="D105" s="419" t="str">
        <f>IF(DataH!$Y97&lt;0, NA(), IF(ISERROR(DataH!$W97/DataH!$Y97), "", DataH!$W97/DataH!$Y97))</f>
        <v/>
      </c>
      <c r="E105" s="420" t="str">
        <f>IF(DataH!$Z97&lt;0, NA(), IF(ISERROR(DataH!$W97/DataH!$Z97), "", DataH!$W97/DataH!$Z97))</f>
        <v/>
      </c>
      <c r="G105" s="421" t="str">
        <f>IF(DataH!$AB97&lt;0, NA(), IF(ISERROR(DataH!$AA97/DataH!$AB97), "", DataH!$AA97/DataH!$AB97))</f>
        <v/>
      </c>
      <c r="H105" s="419" t="str">
        <f>IF(DataH!$AC97&lt;0, NA(), IF(ISERROR(DataH!$AA97/DataH!$AC97), "", DataH!$AA97/DataH!$AC97))</f>
        <v/>
      </c>
      <c r="I105" s="420" t="str">
        <f>IF(DataH!$AD97&lt;0, NA(), IF(ISERROR(DataH!$AA97/DataH!$AD97), "", DataH!$AA97/DataH!$AD97))</f>
        <v/>
      </c>
      <c r="J105" s="216"/>
      <c r="K105" s="216"/>
      <c r="L105" s="216"/>
      <c r="M105" s="216"/>
      <c r="N105" s="216"/>
      <c r="O105" s="216"/>
      <c r="P105" s="216"/>
      <c r="Q105" s="216"/>
      <c r="R105" s="216"/>
      <c r="S105" s="216"/>
      <c r="T105" s="216"/>
      <c r="U105" s="216"/>
      <c r="V105" s="216"/>
    </row>
    <row r="106" spans="2:22" ht="15" customHeight="1">
      <c r="B106" s="322" t="str">
        <f>IF(DataH!$V98="", "", DataH!$V98)</f>
        <v/>
      </c>
      <c r="C106" s="416" t="str">
        <f>IF(DataH!$X98&lt;0, NA(), IF(ISERROR(DataH!$W98/DataH!$X98), "", DataH!$W98/DataH!$X98))</f>
        <v/>
      </c>
      <c r="D106" s="416" t="str">
        <f>IF(DataH!$Y98&lt;0, NA(), IF(ISERROR(DataH!$W98/DataH!$Y98), "", DataH!$W98/DataH!$Y98))</f>
        <v/>
      </c>
      <c r="E106" s="417" t="str">
        <f>IF(DataH!$Z98&lt;0, NA(), IF(ISERROR(DataH!$W98/DataH!$Z98), "", DataH!$W98/DataH!$Z98))</f>
        <v/>
      </c>
      <c r="G106" s="418" t="str">
        <f>IF(DataH!$AB98&lt;0, NA(), IF(ISERROR(DataH!$AA98/DataH!$AB98), "", DataH!$AA98/DataH!$AB98))</f>
        <v/>
      </c>
      <c r="H106" s="416" t="str">
        <f>IF(DataH!$AC98&lt;0, NA(), IF(ISERROR(DataH!$AA98/DataH!$AC98), "", DataH!$AA98/DataH!$AC98))</f>
        <v/>
      </c>
      <c r="I106" s="417" t="str">
        <f>IF(DataH!$AD98&lt;0, NA(), IF(ISERROR(DataH!$AA98/DataH!$AD98), "", DataH!$AA98/DataH!$AD98))</f>
        <v/>
      </c>
      <c r="J106" s="216"/>
      <c r="K106" s="216"/>
      <c r="L106" s="216"/>
      <c r="M106" s="216"/>
      <c r="N106" s="216"/>
      <c r="O106" s="216"/>
      <c r="P106" s="216"/>
      <c r="Q106" s="216"/>
      <c r="R106" s="216"/>
      <c r="S106" s="216"/>
      <c r="T106" s="216"/>
      <c r="U106" s="216"/>
      <c r="V106" s="216"/>
    </row>
    <row r="107" spans="2:22" ht="15" customHeight="1">
      <c r="B107" s="318" t="str">
        <f>IF(DataH!$V99="", "", DataH!$V99)</f>
        <v/>
      </c>
      <c r="C107" s="419" t="str">
        <f>IF(DataH!$X99&lt;0, NA(), IF(ISERROR(DataH!$W99/DataH!$X99), "", DataH!$W99/DataH!$X99))</f>
        <v/>
      </c>
      <c r="D107" s="419" t="str">
        <f>IF(DataH!$Y99&lt;0, NA(), IF(ISERROR(DataH!$W99/DataH!$Y99), "", DataH!$W99/DataH!$Y99))</f>
        <v/>
      </c>
      <c r="E107" s="420" t="str">
        <f>IF(DataH!$Z99&lt;0, NA(), IF(ISERROR(DataH!$W99/DataH!$Z99), "", DataH!$W99/DataH!$Z99))</f>
        <v/>
      </c>
      <c r="G107" s="421" t="str">
        <f>IF(DataH!$AB99&lt;0, NA(), IF(ISERROR(DataH!$AA99/DataH!$AB99), "", DataH!$AA99/DataH!$AB99))</f>
        <v/>
      </c>
      <c r="H107" s="419" t="str">
        <f>IF(DataH!$AC99&lt;0, NA(), IF(ISERROR(DataH!$AA99/DataH!$AC99), "", DataH!$AA99/DataH!$AC99))</f>
        <v/>
      </c>
      <c r="I107" s="420" t="str">
        <f>IF(DataH!$AD99&lt;0, NA(), IF(ISERROR(DataH!$AA99/DataH!$AD99), "", DataH!$AA99/DataH!$AD99))</f>
        <v/>
      </c>
      <c r="J107" s="216"/>
      <c r="K107" s="216"/>
      <c r="L107" s="216"/>
      <c r="M107" s="216"/>
      <c r="N107" s="216"/>
      <c r="O107" s="216"/>
      <c r="P107" s="216"/>
      <c r="Q107" s="216"/>
      <c r="R107" s="216"/>
      <c r="S107" s="216"/>
      <c r="T107" s="216"/>
      <c r="U107" s="216"/>
      <c r="V107" s="216"/>
    </row>
    <row r="108" spans="2:22" ht="15" customHeight="1">
      <c r="B108" s="322" t="str">
        <f>IF(DataH!$V100="", "", DataH!$V100)</f>
        <v/>
      </c>
      <c r="C108" s="416" t="str">
        <f>IF(DataH!$X100&lt;0, NA(), IF(ISERROR(DataH!$W100/DataH!$X100), "", DataH!$W100/DataH!$X100))</f>
        <v/>
      </c>
      <c r="D108" s="416" t="str">
        <f>IF(DataH!$Y100&lt;0, NA(), IF(ISERROR(DataH!$W100/DataH!$Y100), "", DataH!$W100/DataH!$Y100))</f>
        <v/>
      </c>
      <c r="E108" s="417" t="str">
        <f>IF(DataH!$Z100&lt;0, NA(), IF(ISERROR(DataH!$W100/DataH!$Z100), "", DataH!$W100/DataH!$Z100))</f>
        <v/>
      </c>
      <c r="G108" s="418" t="str">
        <f>IF(DataH!$AB100&lt;0, NA(), IF(ISERROR(DataH!$AA100/DataH!$AB100), "", DataH!$AA100/DataH!$AB100))</f>
        <v/>
      </c>
      <c r="H108" s="416" t="str">
        <f>IF(DataH!$AC100&lt;0, NA(), IF(ISERROR(DataH!$AA100/DataH!$AC100), "", DataH!$AA100/DataH!$AC100))</f>
        <v/>
      </c>
      <c r="I108" s="417" t="str">
        <f>IF(DataH!$AD100&lt;0, NA(), IF(ISERROR(DataH!$AA100/DataH!$AD100), "", DataH!$AA100/DataH!$AD100))</f>
        <v/>
      </c>
      <c r="J108" s="216"/>
      <c r="K108" s="216"/>
      <c r="L108" s="216"/>
      <c r="M108" s="216"/>
      <c r="N108" s="216"/>
      <c r="O108" s="216"/>
      <c r="P108" s="216"/>
      <c r="Q108" s="216"/>
      <c r="R108" s="216"/>
      <c r="S108" s="216"/>
      <c r="T108" s="216"/>
      <c r="U108" s="216"/>
      <c r="V108" s="216"/>
    </row>
    <row r="109" spans="2:22" ht="15" customHeight="1">
      <c r="B109" s="318" t="str">
        <f>IF(DataH!$V101="", "", DataH!$V101)</f>
        <v/>
      </c>
      <c r="C109" s="419" t="str">
        <f>IF(DataH!$X101&lt;0, NA(), IF(ISERROR(DataH!$W101/DataH!$X101), "", DataH!$W101/DataH!$X101))</f>
        <v/>
      </c>
      <c r="D109" s="419" t="str">
        <f>IF(DataH!$Y101&lt;0, NA(), IF(ISERROR(DataH!$W101/DataH!$Y101), "", DataH!$W101/DataH!$Y101))</f>
        <v/>
      </c>
      <c r="E109" s="420" t="str">
        <f>IF(DataH!$Z101&lt;0, NA(), IF(ISERROR(DataH!$W101/DataH!$Z101), "", DataH!$W101/DataH!$Z101))</f>
        <v/>
      </c>
      <c r="G109" s="421" t="str">
        <f>IF(DataH!$AB101&lt;0, NA(), IF(ISERROR(DataH!$AA101/DataH!$AB101), "", DataH!$AA101/DataH!$AB101))</f>
        <v/>
      </c>
      <c r="H109" s="419" t="str">
        <f>IF(DataH!$AC101&lt;0, NA(), IF(ISERROR(DataH!$AA101/DataH!$AC101), "", DataH!$AA101/DataH!$AC101))</f>
        <v/>
      </c>
      <c r="I109" s="420" t="str">
        <f>IF(DataH!$AD101&lt;0, NA(), IF(ISERROR(DataH!$AA101/DataH!$AD101), "", DataH!$AA101/DataH!$AD101))</f>
        <v/>
      </c>
      <c r="J109" s="216"/>
      <c r="K109" s="216"/>
      <c r="L109" s="216"/>
      <c r="M109" s="216"/>
      <c r="N109" s="216"/>
      <c r="O109" s="216"/>
      <c r="P109" s="216"/>
      <c r="Q109" s="216"/>
      <c r="R109" s="216"/>
      <c r="S109" s="216"/>
      <c r="T109" s="216"/>
      <c r="U109" s="216"/>
      <c r="V109" s="216"/>
    </row>
    <row r="110" spans="2:22" ht="15" customHeight="1">
      <c r="B110" s="322" t="str">
        <f>IF(DataH!$V102="", "", DataH!$V102)</f>
        <v/>
      </c>
      <c r="C110" s="416" t="str">
        <f>IF(DataH!$X102&lt;0, NA(), IF(ISERROR(DataH!$W102/DataH!$X102), "", DataH!$W102/DataH!$X102))</f>
        <v/>
      </c>
      <c r="D110" s="416" t="str">
        <f>IF(DataH!$Y102&lt;0, NA(), IF(ISERROR(DataH!$W102/DataH!$Y102), "", DataH!$W102/DataH!$Y102))</f>
        <v/>
      </c>
      <c r="E110" s="417" t="str">
        <f>IF(DataH!$Z102&lt;0, NA(), IF(ISERROR(DataH!$W102/DataH!$Z102), "", DataH!$W102/DataH!$Z102))</f>
        <v/>
      </c>
      <c r="G110" s="418" t="str">
        <f>IF(DataH!$AB102&lt;0, NA(), IF(ISERROR(DataH!$AA102/DataH!$AB102), "", DataH!$AA102/DataH!$AB102))</f>
        <v/>
      </c>
      <c r="H110" s="416" t="str">
        <f>IF(DataH!$AC102&lt;0, NA(), IF(ISERROR(DataH!$AA102/DataH!$AC102), "", DataH!$AA102/DataH!$AC102))</f>
        <v/>
      </c>
      <c r="I110" s="417" t="str">
        <f>IF(DataH!$AD102&lt;0, NA(), IF(ISERROR(DataH!$AA102/DataH!$AD102), "", DataH!$AA102/DataH!$AD102))</f>
        <v/>
      </c>
      <c r="J110" s="216"/>
      <c r="K110" s="216"/>
      <c r="L110" s="216"/>
      <c r="M110" s="216"/>
      <c r="N110" s="216"/>
      <c r="O110" s="216"/>
      <c r="P110" s="216"/>
      <c r="Q110" s="216"/>
      <c r="R110" s="216"/>
      <c r="S110" s="216"/>
      <c r="T110" s="216"/>
      <c r="U110" s="216"/>
      <c r="V110" s="216"/>
    </row>
    <row r="111" spans="2:22" ht="15" customHeight="1">
      <c r="B111" s="318" t="str">
        <f>IF(DataH!$V103="", "", DataH!$V103)</f>
        <v/>
      </c>
      <c r="C111" s="419" t="str">
        <f>IF(DataH!$X103&lt;0, NA(), IF(ISERROR(DataH!$W103/DataH!$X103), "", DataH!$W103/DataH!$X103))</f>
        <v/>
      </c>
      <c r="D111" s="419" t="str">
        <f>IF(DataH!$Y103&lt;0, NA(), IF(ISERROR(DataH!$W103/DataH!$Y103), "", DataH!$W103/DataH!$Y103))</f>
        <v/>
      </c>
      <c r="E111" s="420" t="str">
        <f>IF(DataH!$Z103&lt;0, NA(), IF(ISERROR(DataH!$W103/DataH!$Z103), "", DataH!$W103/DataH!$Z103))</f>
        <v/>
      </c>
      <c r="G111" s="421" t="str">
        <f>IF(DataH!$AB103&lt;0, NA(), IF(ISERROR(DataH!$AA103/DataH!$AB103), "", DataH!$AA103/DataH!$AB103))</f>
        <v/>
      </c>
      <c r="H111" s="419" t="str">
        <f>IF(DataH!$AC103&lt;0, NA(), IF(ISERROR(DataH!$AA103/DataH!$AC103), "", DataH!$AA103/DataH!$AC103))</f>
        <v/>
      </c>
      <c r="I111" s="420" t="str">
        <f>IF(DataH!$AD103&lt;0, NA(), IF(ISERROR(DataH!$AA103/DataH!$AD103), "", DataH!$AA103/DataH!$AD103))</f>
        <v/>
      </c>
      <c r="J111" s="216"/>
      <c r="K111" s="216"/>
      <c r="L111" s="216"/>
      <c r="M111" s="216"/>
      <c r="N111" s="216"/>
      <c r="O111" s="216"/>
      <c r="P111" s="216"/>
      <c r="Q111" s="216"/>
      <c r="R111" s="216"/>
      <c r="S111" s="216"/>
      <c r="T111" s="216"/>
      <c r="U111" s="216"/>
      <c r="V111" s="216"/>
    </row>
    <row r="112" spans="2:22" ht="15" customHeight="1">
      <c r="B112" s="322" t="str">
        <f>IF(DataH!$V104="", "", DataH!$V104)</f>
        <v/>
      </c>
      <c r="C112" s="416" t="str">
        <f>IF(DataH!$X104&lt;0, NA(), IF(ISERROR(DataH!$W104/DataH!$X104), "", DataH!$W104/DataH!$X104))</f>
        <v/>
      </c>
      <c r="D112" s="416" t="str">
        <f>IF(DataH!$Y104&lt;0, NA(), IF(ISERROR(DataH!$W104/DataH!$Y104), "", DataH!$W104/DataH!$Y104))</f>
        <v/>
      </c>
      <c r="E112" s="417" t="str">
        <f>IF(DataH!$Z104&lt;0, NA(), IF(ISERROR(DataH!$W104/DataH!$Z104), "", DataH!$W104/DataH!$Z104))</f>
        <v/>
      </c>
      <c r="G112" s="418" t="str">
        <f>IF(DataH!$AB104&lt;0, NA(), IF(ISERROR(DataH!$AA104/DataH!$AB104), "", DataH!$AA104/DataH!$AB104))</f>
        <v/>
      </c>
      <c r="H112" s="416" t="str">
        <f>IF(DataH!$AC104&lt;0, NA(), IF(ISERROR(DataH!$AA104/DataH!$AC104), "", DataH!$AA104/DataH!$AC104))</f>
        <v/>
      </c>
      <c r="I112" s="417" t="str">
        <f>IF(DataH!$AD104&lt;0, NA(), IF(ISERROR(DataH!$AA104/DataH!$AD104), "", DataH!$AA104/DataH!$AD104))</f>
        <v/>
      </c>
      <c r="J112" s="216"/>
      <c r="K112" s="216"/>
      <c r="L112" s="216"/>
      <c r="M112" s="216"/>
      <c r="N112" s="216"/>
      <c r="O112" s="216"/>
      <c r="P112" s="216"/>
      <c r="Q112" s="216"/>
      <c r="R112" s="216"/>
      <c r="S112" s="216"/>
      <c r="T112" s="216"/>
      <c r="U112" s="216"/>
      <c r="V112" s="216"/>
    </row>
    <row r="113" spans="2:22" ht="15" customHeight="1">
      <c r="B113" s="318" t="str">
        <f>IF(DataH!$V105="", "", DataH!$V105)</f>
        <v/>
      </c>
      <c r="C113" s="419" t="str">
        <f>IF(DataH!$X105&lt;0, NA(), IF(ISERROR(DataH!$W105/DataH!$X105), "", DataH!$W105/DataH!$X105))</f>
        <v/>
      </c>
      <c r="D113" s="419" t="str">
        <f>IF(DataH!$Y105&lt;0, NA(), IF(ISERROR(DataH!$W105/DataH!$Y105), "", DataH!$W105/DataH!$Y105))</f>
        <v/>
      </c>
      <c r="E113" s="420" t="str">
        <f>IF(DataH!$Z105&lt;0, NA(), IF(ISERROR(DataH!$W105/DataH!$Z105), "", DataH!$W105/DataH!$Z105))</f>
        <v/>
      </c>
      <c r="G113" s="421" t="str">
        <f>IF(DataH!$AB105&lt;0, NA(), IF(ISERROR(DataH!$AA105/DataH!$AB105), "", DataH!$AA105/DataH!$AB105))</f>
        <v/>
      </c>
      <c r="H113" s="419" t="str">
        <f>IF(DataH!$AC105&lt;0, NA(), IF(ISERROR(DataH!$AA105/DataH!$AC105), "", DataH!$AA105/DataH!$AC105))</f>
        <v/>
      </c>
      <c r="I113" s="420" t="str">
        <f>IF(DataH!$AD105&lt;0, NA(), IF(ISERROR(DataH!$AA105/DataH!$AD105), "", DataH!$AA105/DataH!$AD105))</f>
        <v/>
      </c>
      <c r="J113" s="216"/>
      <c r="K113" s="216"/>
      <c r="L113" s="216"/>
      <c r="M113" s="216"/>
      <c r="N113" s="216"/>
      <c r="O113" s="216"/>
      <c r="P113" s="216"/>
      <c r="Q113" s="216"/>
      <c r="R113" s="216"/>
      <c r="S113" s="216"/>
      <c r="T113" s="216"/>
      <c r="U113" s="216"/>
      <c r="V113" s="216"/>
    </row>
    <row r="114" spans="2:22" ht="15" customHeight="1">
      <c r="B114" s="322" t="str">
        <f>IF(DataH!$V106="", "", DataH!$V106)</f>
        <v/>
      </c>
      <c r="C114" s="416" t="str">
        <f>IF(DataH!$X106&lt;0, NA(), IF(ISERROR(DataH!$W106/DataH!$X106), "", DataH!$W106/DataH!$X106))</f>
        <v/>
      </c>
      <c r="D114" s="416" t="str">
        <f>IF(DataH!$Y106&lt;0, NA(), IF(ISERROR(DataH!$W106/DataH!$Y106), "", DataH!$W106/DataH!$Y106))</f>
        <v/>
      </c>
      <c r="E114" s="417" t="str">
        <f>IF(DataH!$Z106&lt;0, NA(), IF(ISERROR(DataH!$W106/DataH!$Z106), "", DataH!$W106/DataH!$Z106))</f>
        <v/>
      </c>
      <c r="G114" s="418" t="str">
        <f>IF(DataH!$AB106&lt;0, NA(), IF(ISERROR(DataH!$AA106/DataH!$AB106), "", DataH!$AA106/DataH!$AB106))</f>
        <v/>
      </c>
      <c r="H114" s="416" t="str">
        <f>IF(DataH!$AC106&lt;0, NA(), IF(ISERROR(DataH!$AA106/DataH!$AC106), "", DataH!$AA106/DataH!$AC106))</f>
        <v/>
      </c>
      <c r="I114" s="417" t="str">
        <f>IF(DataH!$AD106&lt;0, NA(), IF(ISERROR(DataH!$AA106/DataH!$AD106), "", DataH!$AA106/DataH!$AD106))</f>
        <v/>
      </c>
      <c r="J114" s="216"/>
      <c r="K114" s="216"/>
      <c r="L114" s="216"/>
      <c r="M114" s="216"/>
      <c r="N114" s="216"/>
      <c r="O114" s="216"/>
      <c r="P114" s="216"/>
      <c r="Q114" s="216"/>
      <c r="R114" s="216"/>
      <c r="S114" s="216"/>
      <c r="T114" s="216"/>
      <c r="U114" s="216"/>
      <c r="V114" s="216"/>
    </row>
    <row r="115" spans="2:22" ht="15" customHeight="1">
      <c r="B115" s="318" t="str">
        <f>IF(DataH!$V107="", "", DataH!$V107)</f>
        <v/>
      </c>
      <c r="C115" s="419" t="str">
        <f>IF(DataH!$X107&lt;0, NA(), IF(ISERROR(DataH!$W107/DataH!$X107), "", DataH!$W107/DataH!$X107))</f>
        <v/>
      </c>
      <c r="D115" s="419" t="str">
        <f>IF(DataH!$Y107&lt;0, NA(), IF(ISERROR(DataH!$W107/DataH!$Y107), "", DataH!$W107/DataH!$Y107))</f>
        <v/>
      </c>
      <c r="E115" s="420" t="str">
        <f>IF(DataH!$Z107&lt;0, NA(), IF(ISERROR(DataH!$W107/DataH!$Z107), "", DataH!$W107/DataH!$Z107))</f>
        <v/>
      </c>
      <c r="G115" s="421" t="str">
        <f>IF(DataH!$AB107&lt;0, NA(), IF(ISERROR(DataH!$AA107/DataH!$AB107), "", DataH!$AA107/DataH!$AB107))</f>
        <v/>
      </c>
      <c r="H115" s="419" t="str">
        <f>IF(DataH!$AC107&lt;0, NA(), IF(ISERROR(DataH!$AA107/DataH!$AC107), "", DataH!$AA107/DataH!$AC107))</f>
        <v/>
      </c>
      <c r="I115" s="420" t="str">
        <f>IF(DataH!$AD107&lt;0, NA(), IF(ISERROR(DataH!$AA107/DataH!$AD107), "", DataH!$AA107/DataH!$AD107))</f>
        <v/>
      </c>
      <c r="J115" s="216"/>
      <c r="K115" s="216"/>
      <c r="L115" s="216"/>
      <c r="M115" s="216"/>
      <c r="N115" s="216"/>
      <c r="O115" s="216"/>
      <c r="P115" s="216"/>
      <c r="Q115" s="216"/>
      <c r="R115" s="216"/>
      <c r="S115" s="216"/>
      <c r="T115" s="216"/>
      <c r="U115" s="216"/>
      <c r="V115" s="216"/>
    </row>
    <row r="116" spans="2:22" ht="15" customHeight="1">
      <c r="B116" s="322" t="str">
        <f>IF(DataH!$V108="", "", DataH!$V108)</f>
        <v/>
      </c>
      <c r="C116" s="416" t="str">
        <f>IF(DataH!$X108&lt;0, NA(), IF(ISERROR(DataH!$W108/DataH!$X108), "", DataH!$W108/DataH!$X108))</f>
        <v/>
      </c>
      <c r="D116" s="416" t="str">
        <f>IF(DataH!$Y108&lt;0, NA(), IF(ISERROR(DataH!$W108/DataH!$Y108), "", DataH!$W108/DataH!$Y108))</f>
        <v/>
      </c>
      <c r="E116" s="417" t="str">
        <f>IF(DataH!$Z108&lt;0, NA(), IF(ISERROR(DataH!$W108/DataH!$Z108), "", DataH!$W108/DataH!$Z108))</f>
        <v/>
      </c>
      <c r="G116" s="418" t="str">
        <f>IF(DataH!$AB108&lt;0, NA(), IF(ISERROR(DataH!$AA108/DataH!$AB108), "", DataH!$AA108/DataH!$AB108))</f>
        <v/>
      </c>
      <c r="H116" s="416" t="str">
        <f>IF(DataH!$AC108&lt;0, NA(), IF(ISERROR(DataH!$AA108/DataH!$AC108), "", DataH!$AA108/DataH!$AC108))</f>
        <v/>
      </c>
      <c r="I116" s="417" t="str">
        <f>IF(DataH!$AD108&lt;0, NA(), IF(ISERROR(DataH!$AA108/DataH!$AD108), "", DataH!$AA108/DataH!$AD108))</f>
        <v/>
      </c>
      <c r="J116" s="216"/>
      <c r="K116" s="216"/>
      <c r="L116" s="216"/>
      <c r="M116" s="216"/>
      <c r="N116" s="216"/>
      <c r="O116" s="216"/>
      <c r="P116" s="216"/>
      <c r="Q116" s="216"/>
      <c r="R116" s="216"/>
      <c r="S116" s="216"/>
      <c r="T116" s="216"/>
      <c r="U116" s="216"/>
      <c r="V116" s="216"/>
    </row>
    <row r="117" spans="2:22" ht="15" customHeight="1">
      <c r="B117" s="318" t="str">
        <f>IF(DataH!$V109="", "", DataH!$V109)</f>
        <v/>
      </c>
      <c r="C117" s="419" t="str">
        <f>IF(DataH!$X109&lt;0, NA(), IF(ISERROR(DataH!$W109/DataH!$X109), "", DataH!$W109/DataH!$X109))</f>
        <v/>
      </c>
      <c r="D117" s="419" t="str">
        <f>IF(DataH!$Y109&lt;0, NA(), IF(ISERROR(DataH!$W109/DataH!$Y109), "", DataH!$W109/DataH!$Y109))</f>
        <v/>
      </c>
      <c r="E117" s="420" t="str">
        <f>IF(DataH!$Z109&lt;0, NA(), IF(ISERROR(DataH!$W109/DataH!$Z109), "", DataH!$W109/DataH!$Z109))</f>
        <v/>
      </c>
      <c r="G117" s="421" t="str">
        <f>IF(DataH!$AB109&lt;0, NA(), IF(ISERROR(DataH!$AA109/DataH!$AB109), "", DataH!$AA109/DataH!$AB109))</f>
        <v/>
      </c>
      <c r="H117" s="419" t="str">
        <f>IF(DataH!$AC109&lt;0, NA(), IF(ISERROR(DataH!$AA109/DataH!$AC109), "", DataH!$AA109/DataH!$AC109))</f>
        <v/>
      </c>
      <c r="I117" s="420" t="str">
        <f>IF(DataH!$AD109&lt;0, NA(), IF(ISERROR(DataH!$AA109/DataH!$AD109), "", DataH!$AA109/DataH!$AD109))</f>
        <v/>
      </c>
      <c r="J117" s="216"/>
      <c r="K117" s="216"/>
      <c r="L117" s="216"/>
      <c r="M117" s="216"/>
      <c r="N117" s="216"/>
      <c r="O117" s="216"/>
      <c r="P117" s="216"/>
      <c r="Q117" s="216"/>
      <c r="R117" s="216"/>
      <c r="S117" s="216"/>
      <c r="T117" s="216"/>
      <c r="U117" s="216"/>
      <c r="V117" s="216"/>
    </row>
    <row r="118" spans="2:22" ht="15" customHeight="1">
      <c r="B118" s="322" t="str">
        <f>IF(DataH!$V110="", "", DataH!$V110)</f>
        <v/>
      </c>
      <c r="C118" s="416" t="str">
        <f>IF(DataH!$X110&lt;0, NA(), IF(ISERROR(DataH!$W110/DataH!$X110), "", DataH!$W110/DataH!$X110))</f>
        <v/>
      </c>
      <c r="D118" s="416" t="str">
        <f>IF(DataH!$Y110&lt;0, NA(), IF(ISERROR(DataH!$W110/DataH!$Y110), "", DataH!$W110/DataH!$Y110))</f>
        <v/>
      </c>
      <c r="E118" s="417" t="str">
        <f>IF(DataH!$Z110&lt;0, NA(), IF(ISERROR(DataH!$W110/DataH!$Z110), "", DataH!$W110/DataH!$Z110))</f>
        <v/>
      </c>
      <c r="G118" s="418" t="str">
        <f>IF(DataH!$AB110&lt;0, NA(), IF(ISERROR(DataH!$AA110/DataH!$AB110), "", DataH!$AA110/DataH!$AB110))</f>
        <v/>
      </c>
      <c r="H118" s="416" t="str">
        <f>IF(DataH!$AC110&lt;0, NA(), IF(ISERROR(DataH!$AA110/DataH!$AC110), "", DataH!$AA110/DataH!$AC110))</f>
        <v/>
      </c>
      <c r="I118" s="417" t="str">
        <f>IF(DataH!$AD110&lt;0, NA(), IF(ISERROR(DataH!$AA110/DataH!$AD110), "", DataH!$AA110/DataH!$AD110))</f>
        <v/>
      </c>
      <c r="J118" s="216"/>
      <c r="K118" s="216"/>
      <c r="L118" s="216"/>
      <c r="M118" s="216"/>
      <c r="N118" s="216"/>
      <c r="O118" s="216"/>
      <c r="P118" s="216"/>
      <c r="Q118" s="216"/>
      <c r="R118" s="216"/>
      <c r="S118" s="216"/>
      <c r="T118" s="216"/>
      <c r="U118" s="216"/>
      <c r="V118" s="216"/>
    </row>
    <row r="119" spans="2:22" ht="15" customHeight="1">
      <c r="B119" s="318" t="str">
        <f>IF(DataH!$V111="", "", DataH!$V111)</f>
        <v/>
      </c>
      <c r="C119" s="419" t="str">
        <f>IF(DataH!$X111&lt;0, NA(), IF(ISERROR(DataH!$W111/DataH!$X111), "", DataH!$W111/DataH!$X111))</f>
        <v/>
      </c>
      <c r="D119" s="419" t="str">
        <f>IF(DataH!$Y111&lt;0, NA(), IF(ISERROR(DataH!$W111/DataH!$Y111), "", DataH!$W111/DataH!$Y111))</f>
        <v/>
      </c>
      <c r="E119" s="420" t="str">
        <f>IF(DataH!$Z111&lt;0, NA(), IF(ISERROR(DataH!$W111/DataH!$Z111), "", DataH!$W111/DataH!$Z111))</f>
        <v/>
      </c>
      <c r="G119" s="421" t="str">
        <f>IF(DataH!$AB111&lt;0, NA(), IF(ISERROR(DataH!$AA111/DataH!$AB111), "", DataH!$AA111/DataH!$AB111))</f>
        <v/>
      </c>
      <c r="H119" s="419" t="str">
        <f>IF(DataH!$AC111&lt;0, NA(), IF(ISERROR(DataH!$AA111/DataH!$AC111), "", DataH!$AA111/DataH!$AC111))</f>
        <v/>
      </c>
      <c r="I119" s="420" t="str">
        <f>IF(DataH!$AD111&lt;0, NA(), IF(ISERROR(DataH!$AA111/DataH!$AD111), "", DataH!$AA111/DataH!$AD111))</f>
        <v/>
      </c>
      <c r="J119" s="216"/>
      <c r="K119" s="216"/>
      <c r="L119" s="216"/>
      <c r="M119" s="216"/>
      <c r="N119" s="216"/>
      <c r="O119" s="216"/>
      <c r="P119" s="216"/>
      <c r="Q119" s="216"/>
      <c r="R119" s="216"/>
      <c r="S119" s="216"/>
      <c r="T119" s="216"/>
      <c r="U119" s="216"/>
      <c r="V119" s="216"/>
    </row>
    <row r="120" spans="2:22" ht="15" customHeight="1">
      <c r="B120" s="322" t="str">
        <f>IF(DataH!$V112="", "", DataH!$V112)</f>
        <v/>
      </c>
      <c r="C120" s="416" t="str">
        <f>IF(DataH!$X112&lt;0, NA(), IF(ISERROR(DataH!$W112/DataH!$X112), "", DataH!$W112/DataH!$X112))</f>
        <v/>
      </c>
      <c r="D120" s="416" t="str">
        <f>IF(DataH!$Y112&lt;0, NA(), IF(ISERROR(DataH!$W112/DataH!$Y112), "", DataH!$W112/DataH!$Y112))</f>
        <v/>
      </c>
      <c r="E120" s="417" t="str">
        <f>IF(DataH!$Z112&lt;0, NA(), IF(ISERROR(DataH!$W112/DataH!$Z112), "", DataH!$W112/DataH!$Z112))</f>
        <v/>
      </c>
      <c r="G120" s="418" t="str">
        <f>IF(DataH!$AB112&lt;0, NA(), IF(ISERROR(DataH!$AA112/DataH!$AB112), "", DataH!$AA112/DataH!$AB112))</f>
        <v/>
      </c>
      <c r="H120" s="416" t="str">
        <f>IF(DataH!$AC112&lt;0, NA(), IF(ISERROR(DataH!$AA112/DataH!$AC112), "", DataH!$AA112/DataH!$AC112))</f>
        <v/>
      </c>
      <c r="I120" s="417" t="str">
        <f>IF(DataH!$AD112&lt;0, NA(), IF(ISERROR(DataH!$AA112/DataH!$AD112), "", DataH!$AA112/DataH!$AD112))</f>
        <v/>
      </c>
      <c r="J120" s="216"/>
      <c r="K120" s="216"/>
      <c r="L120" s="216"/>
      <c r="M120" s="216"/>
      <c r="N120" s="216"/>
      <c r="O120" s="216"/>
      <c r="P120" s="216"/>
      <c r="Q120" s="216"/>
      <c r="R120" s="216"/>
      <c r="S120" s="216"/>
      <c r="T120" s="216"/>
      <c r="U120" s="216"/>
      <c r="V120" s="216"/>
    </row>
    <row r="121" spans="2:22" ht="15" customHeight="1">
      <c r="B121" s="318" t="str">
        <f>IF(DataH!$V113="", "", DataH!$V113)</f>
        <v/>
      </c>
      <c r="C121" s="419" t="str">
        <f>IF(DataH!$X113&lt;0, NA(), IF(ISERROR(DataH!$W113/DataH!$X113), "", DataH!$W113/DataH!$X113))</f>
        <v/>
      </c>
      <c r="D121" s="419" t="str">
        <f>IF(DataH!$Y113&lt;0, NA(), IF(ISERROR(DataH!$W113/DataH!$Y113), "", DataH!$W113/DataH!$Y113))</f>
        <v/>
      </c>
      <c r="E121" s="420" t="str">
        <f>IF(DataH!$Z113&lt;0, NA(), IF(ISERROR(DataH!$W113/DataH!$Z113), "", DataH!$W113/DataH!$Z113))</f>
        <v/>
      </c>
      <c r="G121" s="421" t="str">
        <f>IF(DataH!$AB113&lt;0, NA(), IF(ISERROR(DataH!$AA113/DataH!$AB113), "", DataH!$AA113/DataH!$AB113))</f>
        <v/>
      </c>
      <c r="H121" s="419" t="str">
        <f>IF(DataH!$AC113&lt;0, NA(), IF(ISERROR(DataH!$AA113/DataH!$AC113), "", DataH!$AA113/DataH!$AC113))</f>
        <v/>
      </c>
      <c r="I121" s="420" t="str">
        <f>IF(DataH!$AD113&lt;0, NA(), IF(ISERROR(DataH!$AA113/DataH!$AD113), "", DataH!$AA113/DataH!$AD113))</f>
        <v/>
      </c>
      <c r="J121" s="216"/>
      <c r="K121" s="216"/>
      <c r="L121" s="216"/>
      <c r="M121" s="216"/>
      <c r="N121" s="216"/>
      <c r="O121" s="216"/>
      <c r="P121" s="216"/>
      <c r="Q121" s="216"/>
      <c r="R121" s="216"/>
      <c r="S121" s="216"/>
      <c r="T121" s="216"/>
      <c r="U121" s="216"/>
      <c r="V121" s="216"/>
    </row>
    <row r="122" spans="2:22" ht="15" customHeight="1">
      <c r="B122" s="322" t="str">
        <f>IF(DataH!$V114="", "", DataH!$V114)</f>
        <v/>
      </c>
      <c r="C122" s="416" t="str">
        <f>IF(DataH!$X114&lt;0, NA(), IF(ISERROR(DataH!$W114/DataH!$X114), "", DataH!$W114/DataH!$X114))</f>
        <v/>
      </c>
      <c r="D122" s="416" t="str">
        <f>IF(DataH!$Y114&lt;0, NA(), IF(ISERROR(DataH!$W114/DataH!$Y114), "", DataH!$W114/DataH!$Y114))</f>
        <v/>
      </c>
      <c r="E122" s="417" t="str">
        <f>IF(DataH!$Z114&lt;0, NA(), IF(ISERROR(DataH!$W114/DataH!$Z114), "", DataH!$W114/DataH!$Z114))</f>
        <v/>
      </c>
      <c r="G122" s="418" t="str">
        <f>IF(DataH!$AB114&lt;0, NA(), IF(ISERROR(DataH!$AA114/DataH!$AB114), "", DataH!$AA114/DataH!$AB114))</f>
        <v/>
      </c>
      <c r="H122" s="416" t="str">
        <f>IF(DataH!$AC114&lt;0, NA(), IF(ISERROR(DataH!$AA114/DataH!$AC114), "", DataH!$AA114/DataH!$AC114))</f>
        <v/>
      </c>
      <c r="I122" s="417" t="str">
        <f>IF(DataH!$AD114&lt;0, NA(), IF(ISERROR(DataH!$AA114/DataH!$AD114), "", DataH!$AA114/DataH!$AD114))</f>
        <v/>
      </c>
      <c r="J122" s="216"/>
      <c r="K122" s="216"/>
      <c r="L122" s="216"/>
      <c r="M122" s="216"/>
      <c r="N122" s="216"/>
      <c r="O122" s="216"/>
      <c r="P122" s="216"/>
      <c r="Q122" s="216"/>
      <c r="R122" s="216"/>
      <c r="S122" s="216"/>
      <c r="T122" s="216"/>
      <c r="U122" s="216"/>
      <c r="V122" s="216"/>
    </row>
    <row r="123" spans="2:22" ht="15" customHeight="1">
      <c r="B123" s="318" t="str">
        <f>IF(DataH!$V115="", "", DataH!$V115)</f>
        <v/>
      </c>
      <c r="C123" s="419" t="str">
        <f>IF(DataH!$X115&lt;0, NA(), IF(ISERROR(DataH!$W115/DataH!$X115), "", DataH!$W115/DataH!$X115))</f>
        <v/>
      </c>
      <c r="D123" s="419" t="str">
        <f>IF(DataH!$Y115&lt;0, NA(), IF(ISERROR(DataH!$W115/DataH!$Y115), "", DataH!$W115/DataH!$Y115))</f>
        <v/>
      </c>
      <c r="E123" s="420" t="str">
        <f>IF(DataH!$Z115&lt;0, NA(), IF(ISERROR(DataH!$W115/DataH!$Z115), "", DataH!$W115/DataH!$Z115))</f>
        <v/>
      </c>
      <c r="G123" s="421" t="str">
        <f>IF(DataH!$AB115&lt;0, NA(), IF(ISERROR(DataH!$AA115/DataH!$AB115), "", DataH!$AA115/DataH!$AB115))</f>
        <v/>
      </c>
      <c r="H123" s="419" t="str">
        <f>IF(DataH!$AC115&lt;0, NA(), IF(ISERROR(DataH!$AA115/DataH!$AC115), "", DataH!$AA115/DataH!$AC115))</f>
        <v/>
      </c>
      <c r="I123" s="420" t="str">
        <f>IF(DataH!$AD115&lt;0, NA(), IF(ISERROR(DataH!$AA115/DataH!$AD115), "", DataH!$AA115/DataH!$AD115))</f>
        <v/>
      </c>
      <c r="J123" s="216"/>
      <c r="K123" s="216"/>
      <c r="L123" s="216"/>
      <c r="M123" s="216"/>
      <c r="N123" s="216"/>
      <c r="O123" s="216"/>
      <c r="P123" s="216"/>
      <c r="Q123" s="216"/>
      <c r="R123" s="216"/>
      <c r="S123" s="216"/>
      <c r="T123" s="216"/>
      <c r="U123" s="216"/>
      <c r="V123" s="216"/>
    </row>
    <row r="124" spans="2:22" ht="15" customHeight="1">
      <c r="B124" s="322" t="str">
        <f>IF(DataH!$V116="", "", DataH!$V116)</f>
        <v/>
      </c>
      <c r="C124" s="416" t="str">
        <f>IF(DataH!$X116&lt;0, NA(), IF(ISERROR(DataH!$W116/DataH!$X116), "", DataH!$W116/DataH!$X116))</f>
        <v/>
      </c>
      <c r="D124" s="416" t="str">
        <f>IF(DataH!$Y116&lt;0, NA(), IF(ISERROR(DataH!$W116/DataH!$Y116), "", DataH!$W116/DataH!$Y116))</f>
        <v/>
      </c>
      <c r="E124" s="417" t="str">
        <f>IF(DataH!$Z116&lt;0, NA(), IF(ISERROR(DataH!$W116/DataH!$Z116), "", DataH!$W116/DataH!$Z116))</f>
        <v/>
      </c>
      <c r="G124" s="418" t="str">
        <f>IF(DataH!$AB116&lt;0, NA(), IF(ISERROR(DataH!$AA116/DataH!$AB116), "", DataH!$AA116/DataH!$AB116))</f>
        <v/>
      </c>
      <c r="H124" s="416" t="str">
        <f>IF(DataH!$AC116&lt;0, NA(), IF(ISERROR(DataH!$AA116/DataH!$AC116), "", DataH!$AA116/DataH!$AC116))</f>
        <v/>
      </c>
      <c r="I124" s="417" t="str">
        <f>IF(DataH!$AD116&lt;0, NA(), IF(ISERROR(DataH!$AA116/DataH!$AD116), "", DataH!$AA116/DataH!$AD116))</f>
        <v/>
      </c>
      <c r="J124" s="216"/>
      <c r="K124" s="216"/>
      <c r="L124" s="216"/>
      <c r="M124" s="216"/>
      <c r="N124" s="216"/>
      <c r="O124" s="216"/>
      <c r="P124" s="216"/>
      <c r="Q124" s="216"/>
      <c r="R124" s="216"/>
      <c r="S124" s="216"/>
      <c r="T124" s="216"/>
      <c r="U124" s="216"/>
      <c r="V124" s="216"/>
    </row>
    <row r="125" spans="2:22" ht="15" customHeight="1">
      <c r="B125" s="318" t="str">
        <f>IF(DataH!$V117="", "", DataH!$V117)</f>
        <v/>
      </c>
      <c r="C125" s="419" t="str">
        <f>IF(DataH!$X117&lt;0, NA(), IF(ISERROR(DataH!$W117/DataH!$X117), "", DataH!$W117/DataH!$X117))</f>
        <v/>
      </c>
      <c r="D125" s="419" t="str">
        <f>IF(DataH!$Y117&lt;0, NA(), IF(ISERROR(DataH!$W117/DataH!$Y117), "", DataH!$W117/DataH!$Y117))</f>
        <v/>
      </c>
      <c r="E125" s="420" t="str">
        <f>IF(DataH!$Z117&lt;0, NA(), IF(ISERROR(DataH!$W117/DataH!$Z117), "", DataH!$W117/DataH!$Z117))</f>
        <v/>
      </c>
      <c r="G125" s="421" t="str">
        <f>IF(DataH!$AB117&lt;0, NA(), IF(ISERROR(DataH!$AA117/DataH!$AB117), "", DataH!$AA117/DataH!$AB117))</f>
        <v/>
      </c>
      <c r="H125" s="419" t="str">
        <f>IF(DataH!$AC117&lt;0, NA(), IF(ISERROR(DataH!$AA117/DataH!$AC117), "", DataH!$AA117/DataH!$AC117))</f>
        <v/>
      </c>
      <c r="I125" s="420" t="str">
        <f>IF(DataH!$AD117&lt;0, NA(), IF(ISERROR(DataH!$AA117/DataH!$AD117), "", DataH!$AA117/DataH!$AD117))</f>
        <v/>
      </c>
      <c r="J125" s="216"/>
      <c r="K125" s="216"/>
      <c r="L125" s="216"/>
      <c r="M125" s="216"/>
      <c r="N125" s="216"/>
      <c r="O125" s="216"/>
      <c r="P125" s="216"/>
      <c r="Q125" s="216"/>
      <c r="R125" s="216"/>
      <c r="S125" s="216"/>
      <c r="T125" s="216"/>
      <c r="U125" s="216"/>
      <c r="V125" s="216"/>
    </row>
    <row r="126" spans="2:22" ht="15" customHeight="1">
      <c r="B126" s="322" t="str">
        <f>IF(DataH!$V118="", "", DataH!$V118)</f>
        <v/>
      </c>
      <c r="C126" s="416" t="str">
        <f>IF(DataH!$X118&lt;0, NA(), IF(ISERROR(DataH!$W118/DataH!$X118), "", DataH!$W118/DataH!$X118))</f>
        <v/>
      </c>
      <c r="D126" s="416" t="str">
        <f>IF(DataH!$Y118&lt;0, NA(), IF(ISERROR(DataH!$W118/DataH!$Y118), "", DataH!$W118/DataH!$Y118))</f>
        <v/>
      </c>
      <c r="E126" s="417" t="str">
        <f>IF(DataH!$Z118&lt;0, NA(), IF(ISERROR(DataH!$W118/DataH!$Z118), "", DataH!$W118/DataH!$Z118))</f>
        <v/>
      </c>
      <c r="G126" s="418" t="str">
        <f>IF(DataH!$AB118&lt;0, NA(), IF(ISERROR(DataH!$AA118/DataH!$AB118), "", DataH!$AA118/DataH!$AB118))</f>
        <v/>
      </c>
      <c r="H126" s="416" t="str">
        <f>IF(DataH!$AC118&lt;0, NA(), IF(ISERROR(DataH!$AA118/DataH!$AC118), "", DataH!$AA118/DataH!$AC118))</f>
        <v/>
      </c>
      <c r="I126" s="417" t="str">
        <f>IF(DataH!$AD118&lt;0, NA(), IF(ISERROR(DataH!$AA118/DataH!$AD118), "", DataH!$AA118/DataH!$AD118))</f>
        <v/>
      </c>
      <c r="J126" s="216"/>
      <c r="K126" s="216"/>
      <c r="L126" s="216"/>
      <c r="M126" s="216"/>
      <c r="N126" s="216"/>
      <c r="O126" s="216"/>
      <c r="P126" s="216"/>
      <c r="Q126" s="216"/>
      <c r="R126" s="216"/>
      <c r="S126" s="216"/>
      <c r="T126" s="216"/>
      <c r="U126" s="216"/>
      <c r="V126" s="216"/>
    </row>
    <row r="127" spans="2:22" ht="15" customHeight="1">
      <c r="B127" s="318" t="str">
        <f>IF(DataH!$V119="", "", DataH!$V119)</f>
        <v/>
      </c>
      <c r="C127" s="419" t="str">
        <f>IF(DataH!$X119&lt;0, NA(), IF(ISERROR(DataH!$W119/DataH!$X119), "", DataH!$W119/DataH!$X119))</f>
        <v/>
      </c>
      <c r="D127" s="419" t="str">
        <f>IF(DataH!$Y119&lt;0, NA(), IF(ISERROR(DataH!$W119/DataH!$Y119), "", DataH!$W119/DataH!$Y119))</f>
        <v/>
      </c>
      <c r="E127" s="420" t="str">
        <f>IF(DataH!$Z119&lt;0, NA(), IF(ISERROR(DataH!$W119/DataH!$Z119), "", DataH!$W119/DataH!$Z119))</f>
        <v/>
      </c>
      <c r="G127" s="421" t="str">
        <f>IF(DataH!$AB119&lt;0, NA(), IF(ISERROR(DataH!$AA119/DataH!$AB119), "", DataH!$AA119/DataH!$AB119))</f>
        <v/>
      </c>
      <c r="H127" s="419" t="str">
        <f>IF(DataH!$AC119&lt;0, NA(), IF(ISERROR(DataH!$AA119/DataH!$AC119), "", DataH!$AA119/DataH!$AC119))</f>
        <v/>
      </c>
      <c r="I127" s="420" t="str">
        <f>IF(DataH!$AD119&lt;0, NA(), IF(ISERROR(DataH!$AA119/DataH!$AD119), "", DataH!$AA119/DataH!$AD119))</f>
        <v/>
      </c>
      <c r="J127" s="216"/>
      <c r="K127" s="216"/>
      <c r="L127" s="216"/>
      <c r="M127" s="216"/>
      <c r="N127" s="216"/>
      <c r="O127" s="216"/>
      <c r="P127" s="216"/>
      <c r="Q127" s="216"/>
      <c r="R127" s="216"/>
      <c r="S127" s="216"/>
      <c r="T127" s="216"/>
      <c r="U127" s="216"/>
      <c r="V127" s="216"/>
    </row>
    <row r="128" spans="2:22" ht="15" customHeight="1">
      <c r="B128" s="322" t="str">
        <f>IF(DataH!$V120="", "", DataH!$V120)</f>
        <v/>
      </c>
      <c r="C128" s="416" t="str">
        <f>IF(DataH!$X120&lt;0, NA(), IF(ISERROR(DataH!$W120/DataH!$X120), "", DataH!$W120/DataH!$X120))</f>
        <v/>
      </c>
      <c r="D128" s="416" t="str">
        <f>IF(DataH!$Y120&lt;0, NA(), IF(ISERROR(DataH!$W120/DataH!$Y120), "", DataH!$W120/DataH!$Y120))</f>
        <v/>
      </c>
      <c r="E128" s="417" t="str">
        <f>IF(DataH!$Z120&lt;0, NA(), IF(ISERROR(DataH!$W120/DataH!$Z120), "", DataH!$W120/DataH!$Z120))</f>
        <v/>
      </c>
      <c r="G128" s="418" t="str">
        <f>IF(DataH!$AB120&lt;0, NA(), IF(ISERROR(DataH!$AA120/DataH!$AB120), "", DataH!$AA120/DataH!$AB120))</f>
        <v/>
      </c>
      <c r="H128" s="416" t="str">
        <f>IF(DataH!$AC120&lt;0, NA(), IF(ISERROR(DataH!$AA120/DataH!$AC120), "", DataH!$AA120/DataH!$AC120))</f>
        <v/>
      </c>
      <c r="I128" s="417" t="str">
        <f>IF(DataH!$AD120&lt;0, NA(), IF(ISERROR(DataH!$AA120/DataH!$AD120), "", DataH!$AA120/DataH!$AD120))</f>
        <v/>
      </c>
      <c r="J128" s="216"/>
      <c r="K128" s="216"/>
      <c r="L128" s="216"/>
      <c r="M128" s="216"/>
      <c r="N128" s="216"/>
      <c r="O128" s="216"/>
      <c r="P128" s="216"/>
      <c r="Q128" s="216"/>
      <c r="R128" s="216"/>
      <c r="S128" s="216"/>
      <c r="T128" s="216"/>
      <c r="U128" s="216"/>
      <c r="V128" s="216"/>
    </row>
    <row r="129" spans="2:22" ht="15" customHeight="1">
      <c r="B129" s="318" t="str">
        <f>IF(DataH!$V121="", "", DataH!$V121)</f>
        <v/>
      </c>
      <c r="C129" s="419" t="str">
        <f>IF(DataH!$X121&lt;0, NA(), IF(ISERROR(DataH!$W121/DataH!$X121), "", DataH!$W121/DataH!$X121))</f>
        <v/>
      </c>
      <c r="D129" s="419" t="str">
        <f>IF(DataH!$Y121&lt;0, NA(), IF(ISERROR(DataH!$W121/DataH!$Y121), "", DataH!$W121/DataH!$Y121))</f>
        <v/>
      </c>
      <c r="E129" s="420" t="str">
        <f>IF(DataH!$Z121&lt;0, NA(), IF(ISERROR(DataH!$W121/DataH!$Z121), "", DataH!$W121/DataH!$Z121))</f>
        <v/>
      </c>
      <c r="G129" s="421" t="str">
        <f>IF(DataH!$AB121&lt;0, NA(), IF(ISERROR(DataH!$AA121/DataH!$AB121), "", DataH!$AA121/DataH!$AB121))</f>
        <v/>
      </c>
      <c r="H129" s="419" t="str">
        <f>IF(DataH!$AC121&lt;0, NA(), IF(ISERROR(DataH!$AA121/DataH!$AC121), "", DataH!$AA121/DataH!$AC121))</f>
        <v/>
      </c>
      <c r="I129" s="420" t="str">
        <f>IF(DataH!$AD121&lt;0, NA(), IF(ISERROR(DataH!$AA121/DataH!$AD121), "", DataH!$AA121/DataH!$AD121))</f>
        <v/>
      </c>
      <c r="J129" s="216"/>
      <c r="K129" s="216"/>
      <c r="L129" s="216"/>
      <c r="M129" s="216"/>
      <c r="N129" s="216"/>
      <c r="O129" s="216"/>
      <c r="P129" s="216"/>
      <c r="Q129" s="216"/>
      <c r="R129" s="216"/>
      <c r="S129" s="216"/>
      <c r="T129" s="216"/>
      <c r="U129" s="216"/>
      <c r="V129" s="216"/>
    </row>
    <row r="130" spans="2:22" ht="15" customHeight="1">
      <c r="B130" s="322" t="str">
        <f>IF(DataH!$V122="", "", DataH!$V122)</f>
        <v/>
      </c>
      <c r="C130" s="416" t="str">
        <f>IF(DataH!$X122&lt;0, NA(), IF(ISERROR(DataH!$W122/DataH!$X122), "", DataH!$W122/DataH!$X122))</f>
        <v/>
      </c>
      <c r="D130" s="416" t="str">
        <f>IF(DataH!$Y122&lt;0, NA(), IF(ISERROR(DataH!$W122/DataH!$Y122), "", DataH!$W122/DataH!$Y122))</f>
        <v/>
      </c>
      <c r="E130" s="417" t="str">
        <f>IF(DataH!$Z122&lt;0, NA(), IF(ISERROR(DataH!$W122/DataH!$Z122), "", DataH!$W122/DataH!$Z122))</f>
        <v/>
      </c>
      <c r="G130" s="418" t="str">
        <f>IF(DataH!$AB122&lt;0, NA(), IF(ISERROR(DataH!$AA122/DataH!$AB122), "", DataH!$AA122/DataH!$AB122))</f>
        <v/>
      </c>
      <c r="H130" s="416" t="str">
        <f>IF(DataH!$AC122&lt;0, NA(), IF(ISERROR(DataH!$AA122/DataH!$AC122), "", DataH!$AA122/DataH!$AC122))</f>
        <v/>
      </c>
      <c r="I130" s="417" t="str">
        <f>IF(DataH!$AD122&lt;0, NA(), IF(ISERROR(DataH!$AA122/DataH!$AD122), "", DataH!$AA122/DataH!$AD122))</f>
        <v/>
      </c>
      <c r="J130" s="216"/>
      <c r="K130" s="216"/>
      <c r="L130" s="216"/>
      <c r="M130" s="216"/>
      <c r="N130" s="216"/>
      <c r="O130" s="216"/>
      <c r="P130" s="216"/>
      <c r="Q130" s="216"/>
      <c r="R130" s="216"/>
      <c r="S130" s="216"/>
      <c r="T130" s="216"/>
      <c r="U130" s="216"/>
      <c r="V130" s="216"/>
    </row>
    <row r="131" spans="2:22" ht="15" customHeight="1">
      <c r="B131" s="318" t="str">
        <f>IF(DataH!$V123="", "", DataH!$V123)</f>
        <v/>
      </c>
      <c r="C131" s="419" t="str">
        <f>IF(DataH!$X123&lt;0, NA(), IF(ISERROR(DataH!$W123/DataH!$X123), "", DataH!$W123/DataH!$X123))</f>
        <v/>
      </c>
      <c r="D131" s="419" t="str">
        <f>IF(DataH!$Y123&lt;0, NA(), IF(ISERROR(DataH!$W123/DataH!$Y123), "", DataH!$W123/DataH!$Y123))</f>
        <v/>
      </c>
      <c r="E131" s="420" t="str">
        <f>IF(DataH!$Z123&lt;0, NA(), IF(ISERROR(DataH!$W123/DataH!$Z123), "", DataH!$W123/DataH!$Z123))</f>
        <v/>
      </c>
      <c r="G131" s="421" t="str">
        <f>IF(DataH!$AB123&lt;0, NA(), IF(ISERROR(DataH!$AA123/DataH!$AB123), "", DataH!$AA123/DataH!$AB123))</f>
        <v/>
      </c>
      <c r="H131" s="419" t="str">
        <f>IF(DataH!$AC123&lt;0, NA(), IF(ISERROR(DataH!$AA123/DataH!$AC123), "", DataH!$AA123/DataH!$AC123))</f>
        <v/>
      </c>
      <c r="I131" s="420" t="str">
        <f>IF(DataH!$AD123&lt;0, NA(), IF(ISERROR(DataH!$AA123/DataH!$AD123), "", DataH!$AA123/DataH!$AD123))</f>
        <v/>
      </c>
      <c r="J131" s="216"/>
      <c r="K131" s="216"/>
      <c r="L131" s="216"/>
      <c r="M131" s="216"/>
      <c r="N131" s="216"/>
      <c r="O131" s="216"/>
      <c r="P131" s="216"/>
      <c r="Q131" s="216"/>
      <c r="R131" s="216"/>
      <c r="S131" s="216"/>
      <c r="T131" s="216"/>
      <c r="U131" s="216"/>
      <c r="V131" s="216"/>
    </row>
    <row r="132" spans="2:22" ht="15" customHeight="1">
      <c r="B132" s="322" t="str">
        <f>IF(DataH!$V124="", "", DataH!$V124)</f>
        <v/>
      </c>
      <c r="C132" s="416" t="str">
        <f>IF(DataH!$X124&lt;0, NA(), IF(ISERROR(DataH!$W124/DataH!$X124), "", DataH!$W124/DataH!$X124))</f>
        <v/>
      </c>
      <c r="D132" s="416" t="str">
        <f>IF(DataH!$Y124&lt;0, NA(), IF(ISERROR(DataH!$W124/DataH!$Y124), "", DataH!$W124/DataH!$Y124))</f>
        <v/>
      </c>
      <c r="E132" s="417" t="str">
        <f>IF(DataH!$Z124&lt;0, NA(), IF(ISERROR(DataH!$W124/DataH!$Z124), "", DataH!$W124/DataH!$Z124))</f>
        <v/>
      </c>
      <c r="G132" s="418" t="str">
        <f>IF(DataH!$AB124&lt;0, NA(), IF(ISERROR(DataH!$AA124/DataH!$AB124), "", DataH!$AA124/DataH!$AB124))</f>
        <v/>
      </c>
      <c r="H132" s="416" t="str">
        <f>IF(DataH!$AC124&lt;0, NA(), IF(ISERROR(DataH!$AA124/DataH!$AC124), "", DataH!$AA124/DataH!$AC124))</f>
        <v/>
      </c>
      <c r="I132" s="417" t="str">
        <f>IF(DataH!$AD124&lt;0, NA(), IF(ISERROR(DataH!$AA124/DataH!$AD124), "", DataH!$AA124/DataH!$AD124))</f>
        <v/>
      </c>
      <c r="J132" s="216"/>
      <c r="K132" s="216"/>
      <c r="L132" s="216"/>
      <c r="M132" s="216"/>
      <c r="N132" s="216"/>
      <c r="O132" s="216"/>
      <c r="P132" s="216"/>
      <c r="Q132" s="216"/>
      <c r="R132" s="216"/>
      <c r="S132" s="216"/>
      <c r="T132" s="216"/>
      <c r="U132" s="216"/>
      <c r="V132" s="216"/>
    </row>
    <row r="133" spans="2:22" ht="15" customHeight="1">
      <c r="B133" s="318" t="str">
        <f>IF(DataH!$V125="", "", DataH!$V125)</f>
        <v/>
      </c>
      <c r="C133" s="419" t="str">
        <f>IF(DataH!$X125&lt;0, NA(), IF(ISERROR(DataH!$W125/DataH!$X125), "", DataH!$W125/DataH!$X125))</f>
        <v/>
      </c>
      <c r="D133" s="419" t="str">
        <f>IF(DataH!$Y125&lt;0, NA(), IF(ISERROR(DataH!$W125/DataH!$Y125), "", DataH!$W125/DataH!$Y125))</f>
        <v/>
      </c>
      <c r="E133" s="420" t="str">
        <f>IF(DataH!$Z125&lt;0, NA(), IF(ISERROR(DataH!$W125/DataH!$Z125), "", DataH!$W125/DataH!$Z125))</f>
        <v/>
      </c>
      <c r="G133" s="421" t="str">
        <f>IF(DataH!$AB125&lt;0, NA(), IF(ISERROR(DataH!$AA125/DataH!$AB125), "", DataH!$AA125/DataH!$AB125))</f>
        <v/>
      </c>
      <c r="H133" s="419" t="str">
        <f>IF(DataH!$AC125&lt;0, NA(), IF(ISERROR(DataH!$AA125/DataH!$AC125), "", DataH!$AA125/DataH!$AC125))</f>
        <v/>
      </c>
      <c r="I133" s="420" t="str">
        <f>IF(DataH!$AD125&lt;0, NA(), IF(ISERROR(DataH!$AA125/DataH!$AD125), "", DataH!$AA125/DataH!$AD125))</f>
        <v/>
      </c>
      <c r="J133" s="216"/>
      <c r="K133" s="216"/>
      <c r="L133" s="216"/>
      <c r="M133" s="216"/>
      <c r="N133" s="216"/>
      <c r="O133" s="216"/>
      <c r="P133" s="216"/>
      <c r="Q133" s="216"/>
      <c r="R133" s="216"/>
      <c r="S133" s="216"/>
      <c r="T133" s="216"/>
      <c r="U133" s="216"/>
      <c r="V133" s="216"/>
    </row>
    <row r="134" spans="2:22" ht="15" customHeight="1">
      <c r="B134" s="322" t="str">
        <f>IF(DataH!$V126="", "", DataH!$V126)</f>
        <v/>
      </c>
      <c r="C134" s="416" t="str">
        <f>IF(DataH!$X126&lt;0, NA(), IF(ISERROR(DataH!$W126/DataH!$X126), "", DataH!$W126/DataH!$X126))</f>
        <v/>
      </c>
      <c r="D134" s="416" t="str">
        <f>IF(DataH!$Y126&lt;0, NA(), IF(ISERROR(DataH!$W126/DataH!$Y126), "", DataH!$W126/DataH!$Y126))</f>
        <v/>
      </c>
      <c r="E134" s="417" t="str">
        <f>IF(DataH!$Z126&lt;0, NA(), IF(ISERROR(DataH!$W126/DataH!$Z126), "", DataH!$W126/DataH!$Z126))</f>
        <v/>
      </c>
      <c r="G134" s="418" t="str">
        <f>IF(DataH!$AB126&lt;0, NA(), IF(ISERROR(DataH!$AA126/DataH!$AB126), "", DataH!$AA126/DataH!$AB126))</f>
        <v/>
      </c>
      <c r="H134" s="416" t="str">
        <f>IF(DataH!$AC126&lt;0, NA(), IF(ISERROR(DataH!$AA126/DataH!$AC126), "", DataH!$AA126/DataH!$AC126))</f>
        <v/>
      </c>
      <c r="I134" s="417" t="str">
        <f>IF(DataH!$AD126&lt;0, NA(), IF(ISERROR(DataH!$AA126/DataH!$AD126), "", DataH!$AA126/DataH!$AD126))</f>
        <v/>
      </c>
      <c r="J134" s="216"/>
      <c r="K134" s="216"/>
      <c r="L134" s="216"/>
      <c r="M134" s="216"/>
      <c r="N134" s="216"/>
      <c r="O134" s="216"/>
      <c r="P134" s="216"/>
      <c r="Q134" s="216"/>
      <c r="R134" s="216"/>
      <c r="S134" s="216"/>
      <c r="T134" s="216"/>
      <c r="U134" s="216"/>
      <c r="V134" s="216"/>
    </row>
    <row r="135" spans="2:22" ht="15" customHeight="1">
      <c r="B135" s="318" t="str">
        <f>IF(DataH!$V127="", "", DataH!$V127)</f>
        <v/>
      </c>
      <c r="C135" s="419" t="str">
        <f>IF(DataH!$X127&lt;0, NA(), IF(ISERROR(DataH!$W127/DataH!$X127), "", DataH!$W127/DataH!$X127))</f>
        <v/>
      </c>
      <c r="D135" s="419" t="str">
        <f>IF(DataH!$Y127&lt;0, NA(), IF(ISERROR(DataH!$W127/DataH!$Y127), "", DataH!$W127/DataH!$Y127))</f>
        <v/>
      </c>
      <c r="E135" s="420" t="str">
        <f>IF(DataH!$Z127&lt;0, NA(), IF(ISERROR(DataH!$W127/DataH!$Z127), "", DataH!$W127/DataH!$Z127))</f>
        <v/>
      </c>
      <c r="G135" s="421" t="str">
        <f>IF(DataH!$AB127&lt;0, NA(), IF(ISERROR(DataH!$AA127/DataH!$AB127), "", DataH!$AA127/DataH!$AB127))</f>
        <v/>
      </c>
      <c r="H135" s="419" t="str">
        <f>IF(DataH!$AC127&lt;0, NA(), IF(ISERROR(DataH!$AA127/DataH!$AC127), "", DataH!$AA127/DataH!$AC127))</f>
        <v/>
      </c>
      <c r="I135" s="420" t="str">
        <f>IF(DataH!$AD127&lt;0, NA(), IF(ISERROR(DataH!$AA127/DataH!$AD127), "", DataH!$AA127/DataH!$AD127))</f>
        <v/>
      </c>
      <c r="J135" s="216"/>
      <c r="K135" s="216"/>
      <c r="L135" s="216"/>
      <c r="M135" s="216"/>
      <c r="N135" s="216"/>
      <c r="O135" s="216"/>
      <c r="P135" s="216"/>
      <c r="Q135" s="216"/>
      <c r="R135" s="216"/>
      <c r="S135" s="216"/>
      <c r="T135" s="216"/>
      <c r="U135" s="216"/>
      <c r="V135" s="216"/>
    </row>
    <row r="136" spans="2:22" ht="15" customHeight="1">
      <c r="B136" s="322" t="str">
        <f>IF(DataH!$V128="", "", DataH!$V128)</f>
        <v/>
      </c>
      <c r="C136" s="416" t="str">
        <f>IF(DataH!$X128&lt;0, NA(), IF(ISERROR(DataH!$W128/DataH!$X128), "", DataH!$W128/DataH!$X128))</f>
        <v/>
      </c>
      <c r="D136" s="416" t="str">
        <f>IF(DataH!$Y128&lt;0, NA(), IF(ISERROR(DataH!$W128/DataH!$Y128), "", DataH!$W128/DataH!$Y128))</f>
        <v/>
      </c>
      <c r="E136" s="417" t="str">
        <f>IF(DataH!$Z128&lt;0, NA(), IF(ISERROR(DataH!$W128/DataH!$Z128), "", DataH!$W128/DataH!$Z128))</f>
        <v/>
      </c>
      <c r="G136" s="418" t="str">
        <f>IF(DataH!$AB128&lt;0, NA(), IF(ISERROR(DataH!$AA128/DataH!$AB128), "", DataH!$AA128/DataH!$AB128))</f>
        <v/>
      </c>
      <c r="H136" s="416" t="str">
        <f>IF(DataH!$AC128&lt;0, NA(), IF(ISERROR(DataH!$AA128/DataH!$AC128), "", DataH!$AA128/DataH!$AC128))</f>
        <v/>
      </c>
      <c r="I136" s="417" t="str">
        <f>IF(DataH!$AD128&lt;0, NA(), IF(ISERROR(DataH!$AA128/DataH!$AD128), "", DataH!$AA128/DataH!$AD128))</f>
        <v/>
      </c>
      <c r="J136" s="216"/>
      <c r="K136" s="216"/>
      <c r="L136" s="216"/>
      <c r="M136" s="216"/>
      <c r="N136" s="216"/>
      <c r="O136" s="216"/>
      <c r="P136" s="216"/>
      <c r="Q136" s="216"/>
      <c r="R136" s="216"/>
      <c r="S136" s="216"/>
      <c r="T136" s="216"/>
      <c r="U136" s="216"/>
      <c r="V136" s="216"/>
    </row>
    <row r="137" spans="2:22" ht="15" customHeight="1">
      <c r="B137" s="318" t="str">
        <f>IF(DataH!$V129="", "", DataH!$V129)</f>
        <v/>
      </c>
      <c r="C137" s="419" t="str">
        <f>IF(DataH!$X129&lt;0, NA(), IF(ISERROR(DataH!$W129/DataH!$X129), "", DataH!$W129/DataH!$X129))</f>
        <v/>
      </c>
      <c r="D137" s="419" t="str">
        <f>IF(DataH!$Y129&lt;0, NA(), IF(ISERROR(DataH!$W129/DataH!$Y129), "", DataH!$W129/DataH!$Y129))</f>
        <v/>
      </c>
      <c r="E137" s="420" t="str">
        <f>IF(DataH!$Z129&lt;0, NA(), IF(ISERROR(DataH!$W129/DataH!$Z129), "", DataH!$W129/DataH!$Z129))</f>
        <v/>
      </c>
      <c r="G137" s="421" t="str">
        <f>IF(DataH!$AB129&lt;0, NA(), IF(ISERROR(DataH!$AA129/DataH!$AB129), "", DataH!$AA129/DataH!$AB129))</f>
        <v/>
      </c>
      <c r="H137" s="419" t="str">
        <f>IF(DataH!$AC129&lt;0, NA(), IF(ISERROR(DataH!$AA129/DataH!$AC129), "", DataH!$AA129/DataH!$AC129))</f>
        <v/>
      </c>
      <c r="I137" s="420" t="str">
        <f>IF(DataH!$AD129&lt;0, NA(), IF(ISERROR(DataH!$AA129/DataH!$AD129), "", DataH!$AA129/DataH!$AD129))</f>
        <v/>
      </c>
      <c r="J137" s="216"/>
      <c r="K137" s="216"/>
      <c r="L137" s="216"/>
      <c r="M137" s="216"/>
      <c r="N137" s="216"/>
      <c r="O137" s="216"/>
      <c r="P137" s="216"/>
      <c r="Q137" s="216"/>
      <c r="R137" s="216"/>
      <c r="S137" s="216"/>
      <c r="T137" s="216"/>
      <c r="U137" s="216"/>
      <c r="V137" s="216"/>
    </row>
    <row r="138" spans="2:22" ht="15" customHeight="1">
      <c r="B138" s="322" t="str">
        <f>IF(DataH!$V130="", "", DataH!$V130)</f>
        <v/>
      </c>
      <c r="C138" s="416" t="str">
        <f>IF(DataH!$X130&lt;0, NA(), IF(ISERROR(DataH!$W130/DataH!$X130), "", DataH!$W130/DataH!$X130))</f>
        <v/>
      </c>
      <c r="D138" s="416" t="str">
        <f>IF(DataH!$Y130&lt;0, NA(), IF(ISERROR(DataH!$W130/DataH!$Y130), "", DataH!$W130/DataH!$Y130))</f>
        <v/>
      </c>
      <c r="E138" s="417" t="str">
        <f>IF(DataH!$Z130&lt;0, NA(), IF(ISERROR(DataH!$W130/DataH!$Z130), "", DataH!$W130/DataH!$Z130))</f>
        <v/>
      </c>
      <c r="G138" s="418" t="str">
        <f>IF(DataH!$AB130&lt;0, NA(), IF(ISERROR(DataH!$AA130/DataH!$AB130), "", DataH!$AA130/DataH!$AB130))</f>
        <v/>
      </c>
      <c r="H138" s="416" t="str">
        <f>IF(DataH!$AC130&lt;0, NA(), IF(ISERROR(DataH!$AA130/DataH!$AC130), "", DataH!$AA130/DataH!$AC130))</f>
        <v/>
      </c>
      <c r="I138" s="417" t="str">
        <f>IF(DataH!$AD130&lt;0, NA(), IF(ISERROR(DataH!$AA130/DataH!$AD130), "", DataH!$AA130/DataH!$AD130))</f>
        <v/>
      </c>
      <c r="J138" s="216"/>
      <c r="K138" s="216"/>
      <c r="L138" s="216"/>
      <c r="M138" s="216"/>
      <c r="N138" s="216"/>
      <c r="O138" s="216"/>
      <c r="P138" s="216"/>
      <c r="Q138" s="216"/>
      <c r="R138" s="216"/>
      <c r="S138" s="216"/>
      <c r="T138" s="216"/>
      <c r="U138" s="216"/>
      <c r="V138" s="216"/>
    </row>
    <row r="139" spans="2:22" ht="15" customHeight="1">
      <c r="B139" s="318" t="str">
        <f>IF(DataH!$V131="", "", DataH!$V131)</f>
        <v/>
      </c>
      <c r="C139" s="419" t="str">
        <f>IF(DataH!$X131&lt;0, NA(), IF(ISERROR(DataH!$W131/DataH!$X131), "", DataH!$W131/DataH!$X131))</f>
        <v/>
      </c>
      <c r="D139" s="419" t="str">
        <f>IF(DataH!$Y131&lt;0, NA(), IF(ISERROR(DataH!$W131/DataH!$Y131), "", DataH!$W131/DataH!$Y131))</f>
        <v/>
      </c>
      <c r="E139" s="420" t="str">
        <f>IF(DataH!$Z131&lt;0, NA(), IF(ISERROR(DataH!$W131/DataH!$Z131), "", DataH!$W131/DataH!$Z131))</f>
        <v/>
      </c>
      <c r="G139" s="421" t="str">
        <f>IF(DataH!$AB131&lt;0, NA(), IF(ISERROR(DataH!$AA131/DataH!$AB131), "", DataH!$AA131/DataH!$AB131))</f>
        <v/>
      </c>
      <c r="H139" s="419" t="str">
        <f>IF(DataH!$AC131&lt;0, NA(), IF(ISERROR(DataH!$AA131/DataH!$AC131), "", DataH!$AA131/DataH!$AC131))</f>
        <v/>
      </c>
      <c r="I139" s="420" t="str">
        <f>IF(DataH!$AD131&lt;0, NA(), IF(ISERROR(DataH!$AA131/DataH!$AD131), "", DataH!$AA131/DataH!$AD131))</f>
        <v/>
      </c>
      <c r="J139" s="216"/>
      <c r="K139" s="216"/>
      <c r="L139" s="216"/>
      <c r="M139" s="216"/>
      <c r="N139" s="216"/>
      <c r="O139" s="216"/>
      <c r="P139" s="216"/>
      <c r="Q139" s="216"/>
      <c r="R139" s="216"/>
      <c r="S139" s="216"/>
      <c r="T139" s="216"/>
      <c r="U139" s="216"/>
      <c r="V139" s="216"/>
    </row>
    <row r="140" spans="2:22" ht="15" customHeight="1">
      <c r="B140" s="322" t="str">
        <f>IF(DataH!$V132="", "", DataH!$V132)</f>
        <v/>
      </c>
      <c r="C140" s="416" t="str">
        <f>IF(DataH!$X132&lt;0, NA(), IF(ISERROR(DataH!$W132/DataH!$X132), "", DataH!$W132/DataH!$X132))</f>
        <v/>
      </c>
      <c r="D140" s="416" t="str">
        <f>IF(DataH!$Y132&lt;0, NA(), IF(ISERROR(DataH!$W132/DataH!$Y132), "", DataH!$W132/DataH!$Y132))</f>
        <v/>
      </c>
      <c r="E140" s="417" t="str">
        <f>IF(DataH!$Z132&lt;0, NA(), IF(ISERROR(DataH!$W132/DataH!$Z132), "", DataH!$W132/DataH!$Z132))</f>
        <v/>
      </c>
      <c r="G140" s="418" t="str">
        <f>IF(DataH!$AB132&lt;0, NA(), IF(ISERROR(DataH!$AA132/DataH!$AB132), "", DataH!$AA132/DataH!$AB132))</f>
        <v/>
      </c>
      <c r="H140" s="416" t="str">
        <f>IF(DataH!$AC132&lt;0, NA(), IF(ISERROR(DataH!$AA132/DataH!$AC132), "", DataH!$AA132/DataH!$AC132))</f>
        <v/>
      </c>
      <c r="I140" s="417" t="str">
        <f>IF(DataH!$AD132&lt;0, NA(), IF(ISERROR(DataH!$AA132/DataH!$AD132), "", DataH!$AA132/DataH!$AD132))</f>
        <v/>
      </c>
      <c r="J140" s="216"/>
      <c r="K140" s="216"/>
      <c r="L140" s="216"/>
      <c r="M140" s="216"/>
      <c r="N140" s="216"/>
      <c r="O140" s="216"/>
      <c r="P140" s="216"/>
      <c r="Q140" s="216"/>
      <c r="R140" s="216"/>
      <c r="S140" s="216"/>
      <c r="T140" s="216"/>
      <c r="U140" s="216"/>
      <c r="V140" s="216"/>
    </row>
    <row r="141" spans="2:22" ht="15" customHeight="1">
      <c r="B141" s="318" t="str">
        <f>IF(DataH!$V133="", "", DataH!$V133)</f>
        <v/>
      </c>
      <c r="C141" s="419" t="str">
        <f>IF(DataH!$X133&lt;0, NA(), IF(ISERROR(DataH!$W133/DataH!$X133), "", DataH!$W133/DataH!$X133))</f>
        <v/>
      </c>
      <c r="D141" s="419" t="str">
        <f>IF(DataH!$Y133&lt;0, NA(), IF(ISERROR(DataH!$W133/DataH!$Y133), "", DataH!$W133/DataH!$Y133))</f>
        <v/>
      </c>
      <c r="E141" s="420" t="str">
        <f>IF(DataH!$Z133&lt;0, NA(), IF(ISERROR(DataH!$W133/DataH!$Z133), "", DataH!$W133/DataH!$Z133))</f>
        <v/>
      </c>
      <c r="G141" s="421" t="str">
        <f>IF(DataH!$AB133&lt;0, NA(), IF(ISERROR(DataH!$AA133/DataH!$AB133), "", DataH!$AA133/DataH!$AB133))</f>
        <v/>
      </c>
      <c r="H141" s="419" t="str">
        <f>IF(DataH!$AC133&lt;0, NA(), IF(ISERROR(DataH!$AA133/DataH!$AC133), "", DataH!$AA133/DataH!$AC133))</f>
        <v/>
      </c>
      <c r="I141" s="420" t="str">
        <f>IF(DataH!$AD133&lt;0, NA(), IF(ISERROR(DataH!$AA133/DataH!$AD133), "", DataH!$AA133/DataH!$AD133))</f>
        <v/>
      </c>
      <c r="J141" s="216"/>
      <c r="K141" s="216"/>
      <c r="L141" s="216"/>
      <c r="M141" s="216"/>
      <c r="N141" s="216"/>
      <c r="O141" s="216"/>
      <c r="P141" s="216"/>
      <c r="Q141" s="216"/>
      <c r="R141" s="216"/>
      <c r="S141" s="216"/>
      <c r="T141" s="216"/>
      <c r="U141" s="216"/>
      <c r="V141" s="216"/>
    </row>
    <row r="142" spans="2:22" ht="15" customHeight="1">
      <c r="B142" s="322" t="str">
        <f>IF(DataH!$V134="", "", DataH!$V134)</f>
        <v/>
      </c>
      <c r="C142" s="416" t="str">
        <f>IF(DataH!$X134&lt;0, NA(), IF(ISERROR(DataH!$W134/DataH!$X134), "", DataH!$W134/DataH!$X134))</f>
        <v/>
      </c>
      <c r="D142" s="416" t="str">
        <f>IF(DataH!$Y134&lt;0, NA(), IF(ISERROR(DataH!$W134/DataH!$Y134), "", DataH!$W134/DataH!$Y134))</f>
        <v/>
      </c>
      <c r="E142" s="417" t="str">
        <f>IF(DataH!$Z134&lt;0, NA(), IF(ISERROR(DataH!$W134/DataH!$Z134), "", DataH!$W134/DataH!$Z134))</f>
        <v/>
      </c>
      <c r="G142" s="418" t="str">
        <f>IF(DataH!$AB134&lt;0, NA(), IF(ISERROR(DataH!$AA134/DataH!$AB134), "", DataH!$AA134/DataH!$AB134))</f>
        <v/>
      </c>
      <c r="H142" s="416" t="str">
        <f>IF(DataH!$AC134&lt;0, NA(), IF(ISERROR(DataH!$AA134/DataH!$AC134), "", DataH!$AA134/DataH!$AC134))</f>
        <v/>
      </c>
      <c r="I142" s="417" t="str">
        <f>IF(DataH!$AD134&lt;0, NA(), IF(ISERROR(DataH!$AA134/DataH!$AD134), "", DataH!$AA134/DataH!$AD134))</f>
        <v/>
      </c>
      <c r="J142" s="216"/>
      <c r="K142" s="216"/>
      <c r="L142" s="216"/>
      <c r="M142" s="216"/>
      <c r="N142" s="216"/>
      <c r="O142" s="216"/>
      <c r="P142" s="216"/>
      <c r="Q142" s="216"/>
      <c r="R142" s="216"/>
      <c r="S142" s="216"/>
      <c r="T142" s="216"/>
      <c r="U142" s="216"/>
      <c r="V142" s="216"/>
    </row>
    <row r="143" spans="2:22" ht="15" customHeight="1">
      <c r="B143" s="318" t="str">
        <f>IF(DataH!$V135="", "", DataH!$V135)</f>
        <v/>
      </c>
      <c r="C143" s="419" t="str">
        <f>IF(DataH!$X135&lt;0, NA(), IF(ISERROR(DataH!$W135/DataH!$X135), "", DataH!$W135/DataH!$X135))</f>
        <v/>
      </c>
      <c r="D143" s="419" t="str">
        <f>IF(DataH!$Y135&lt;0, NA(), IF(ISERROR(DataH!$W135/DataH!$Y135), "", DataH!$W135/DataH!$Y135))</f>
        <v/>
      </c>
      <c r="E143" s="420" t="str">
        <f>IF(DataH!$Z135&lt;0, NA(), IF(ISERROR(DataH!$W135/DataH!$Z135), "", DataH!$W135/DataH!$Z135))</f>
        <v/>
      </c>
      <c r="G143" s="421" t="str">
        <f>IF(DataH!$AB135&lt;0, NA(), IF(ISERROR(DataH!$AA135/DataH!$AB135), "", DataH!$AA135/DataH!$AB135))</f>
        <v/>
      </c>
      <c r="H143" s="419" t="str">
        <f>IF(DataH!$AC135&lt;0, NA(), IF(ISERROR(DataH!$AA135/DataH!$AC135), "", DataH!$AA135/DataH!$AC135))</f>
        <v/>
      </c>
      <c r="I143" s="420" t="str">
        <f>IF(DataH!$AD135&lt;0, NA(), IF(ISERROR(DataH!$AA135/DataH!$AD135), "", DataH!$AA135/DataH!$AD135))</f>
        <v/>
      </c>
      <c r="J143" s="216"/>
      <c r="K143" s="216"/>
      <c r="L143" s="216"/>
      <c r="M143" s="216"/>
      <c r="N143" s="216"/>
      <c r="O143" s="216"/>
      <c r="P143" s="216"/>
      <c r="Q143" s="216"/>
      <c r="R143" s="216"/>
      <c r="S143" s="216"/>
      <c r="T143" s="216"/>
      <c r="U143" s="216"/>
      <c r="V143" s="216"/>
    </row>
    <row r="144" spans="2:22" ht="15" customHeight="1">
      <c r="B144" s="322" t="str">
        <f>IF(DataH!$V136="", "", DataH!$V136)</f>
        <v/>
      </c>
      <c r="C144" s="416" t="str">
        <f>IF(DataH!$X136&lt;0, NA(), IF(ISERROR(DataH!$W136/DataH!$X136), "", DataH!$W136/DataH!$X136))</f>
        <v/>
      </c>
      <c r="D144" s="416" t="str">
        <f>IF(DataH!$Y136&lt;0, NA(), IF(ISERROR(DataH!$W136/DataH!$Y136), "", DataH!$W136/DataH!$Y136))</f>
        <v/>
      </c>
      <c r="E144" s="417" t="str">
        <f>IF(DataH!$Z136&lt;0, NA(), IF(ISERROR(DataH!$W136/DataH!$Z136), "", DataH!$W136/DataH!$Z136))</f>
        <v/>
      </c>
      <c r="G144" s="418" t="str">
        <f>IF(DataH!$AB136&lt;0, NA(), IF(ISERROR(DataH!$AA136/DataH!$AB136), "", DataH!$AA136/DataH!$AB136))</f>
        <v/>
      </c>
      <c r="H144" s="416" t="str">
        <f>IF(DataH!$AC136&lt;0, NA(), IF(ISERROR(DataH!$AA136/DataH!$AC136), "", DataH!$AA136/DataH!$AC136))</f>
        <v/>
      </c>
      <c r="I144" s="417" t="str">
        <f>IF(DataH!$AD136&lt;0, NA(), IF(ISERROR(DataH!$AA136/DataH!$AD136), "", DataH!$AA136/DataH!$AD136))</f>
        <v/>
      </c>
      <c r="J144" s="216"/>
      <c r="K144" s="216"/>
      <c r="L144" s="216"/>
      <c r="M144" s="216"/>
      <c r="N144" s="216"/>
      <c r="O144" s="216"/>
      <c r="P144" s="216"/>
      <c r="Q144" s="216"/>
      <c r="R144" s="216"/>
      <c r="S144" s="216"/>
      <c r="T144" s="216"/>
      <c r="U144" s="216"/>
      <c r="V144" s="216"/>
    </row>
    <row r="145" spans="2:22" ht="15" customHeight="1">
      <c r="B145" s="318" t="str">
        <f>IF(DataH!$V137="", "", DataH!$V137)</f>
        <v/>
      </c>
      <c r="C145" s="419" t="str">
        <f>IF(DataH!$X137&lt;0, NA(), IF(ISERROR(DataH!$W137/DataH!$X137), "", DataH!$W137/DataH!$X137))</f>
        <v/>
      </c>
      <c r="D145" s="419" t="str">
        <f>IF(DataH!$Y137&lt;0, NA(), IF(ISERROR(DataH!$W137/DataH!$Y137), "", DataH!$W137/DataH!$Y137))</f>
        <v/>
      </c>
      <c r="E145" s="420" t="str">
        <f>IF(DataH!$Z137&lt;0, NA(), IF(ISERROR(DataH!$W137/DataH!$Z137), "", DataH!$W137/DataH!$Z137))</f>
        <v/>
      </c>
      <c r="G145" s="421" t="str">
        <f>IF(DataH!$AB137&lt;0, NA(), IF(ISERROR(DataH!$AA137/DataH!$AB137), "", DataH!$AA137/DataH!$AB137))</f>
        <v/>
      </c>
      <c r="H145" s="419" t="str">
        <f>IF(DataH!$AC137&lt;0, NA(), IF(ISERROR(DataH!$AA137/DataH!$AC137), "", DataH!$AA137/DataH!$AC137))</f>
        <v/>
      </c>
      <c r="I145" s="420" t="str">
        <f>IF(DataH!$AD137&lt;0, NA(), IF(ISERROR(DataH!$AA137/DataH!$AD137), "", DataH!$AA137/DataH!$AD137))</f>
        <v/>
      </c>
      <c r="J145" s="216"/>
      <c r="K145" s="216"/>
      <c r="L145" s="216"/>
      <c r="M145" s="216"/>
      <c r="N145" s="216"/>
      <c r="O145" s="216"/>
      <c r="P145" s="216"/>
      <c r="Q145" s="216"/>
      <c r="R145" s="216"/>
      <c r="S145" s="216"/>
      <c r="T145" s="216"/>
      <c r="U145" s="216"/>
      <c r="V145" s="216"/>
    </row>
    <row r="146" spans="2:22" ht="15" customHeight="1">
      <c r="B146" s="322" t="str">
        <f>IF(DataH!$V138="", "", DataH!$V138)</f>
        <v/>
      </c>
      <c r="C146" s="416" t="str">
        <f>IF(DataH!$X138&lt;0, NA(), IF(ISERROR(DataH!$W138/DataH!$X138), "", DataH!$W138/DataH!$X138))</f>
        <v/>
      </c>
      <c r="D146" s="416" t="str">
        <f>IF(DataH!$Y138&lt;0, NA(), IF(ISERROR(DataH!$W138/DataH!$Y138), "", DataH!$W138/DataH!$Y138))</f>
        <v/>
      </c>
      <c r="E146" s="417" t="str">
        <f>IF(DataH!$Z138&lt;0, NA(), IF(ISERROR(DataH!$W138/DataH!$Z138), "", DataH!$W138/DataH!$Z138))</f>
        <v/>
      </c>
      <c r="G146" s="418" t="str">
        <f>IF(DataH!$AB138&lt;0, NA(), IF(ISERROR(DataH!$AA138/DataH!$AB138), "", DataH!$AA138/DataH!$AB138))</f>
        <v/>
      </c>
      <c r="H146" s="416" t="str">
        <f>IF(DataH!$AC138&lt;0, NA(), IF(ISERROR(DataH!$AA138/DataH!$AC138), "", DataH!$AA138/DataH!$AC138))</f>
        <v/>
      </c>
      <c r="I146" s="417" t="str">
        <f>IF(DataH!$AD138&lt;0, NA(), IF(ISERROR(DataH!$AA138/DataH!$AD138), "", DataH!$AA138/DataH!$AD138))</f>
        <v/>
      </c>
      <c r="J146" s="216"/>
      <c r="K146" s="216"/>
      <c r="L146" s="216"/>
      <c r="M146" s="216"/>
      <c r="N146" s="216"/>
      <c r="O146" s="216"/>
      <c r="P146" s="216"/>
      <c r="Q146" s="216"/>
      <c r="R146" s="216"/>
      <c r="S146" s="216"/>
      <c r="T146" s="216"/>
      <c r="U146" s="216"/>
      <c r="V146" s="216"/>
    </row>
    <row r="147" spans="2:22" ht="15" customHeight="1">
      <c r="B147" s="318" t="str">
        <f>IF(DataH!$V139="", "", DataH!$V139)</f>
        <v/>
      </c>
      <c r="C147" s="419" t="str">
        <f>IF(DataH!$X139&lt;0, NA(), IF(ISERROR(DataH!$W139/DataH!$X139), "", DataH!$W139/DataH!$X139))</f>
        <v/>
      </c>
      <c r="D147" s="419" t="str">
        <f>IF(DataH!$Y139&lt;0, NA(), IF(ISERROR(DataH!$W139/DataH!$Y139), "", DataH!$W139/DataH!$Y139))</f>
        <v/>
      </c>
      <c r="E147" s="420" t="str">
        <f>IF(DataH!$Z139&lt;0, NA(), IF(ISERROR(DataH!$W139/DataH!$Z139), "", DataH!$W139/DataH!$Z139))</f>
        <v/>
      </c>
      <c r="G147" s="421" t="str">
        <f>IF(DataH!$AB139&lt;0, NA(), IF(ISERROR(DataH!$AA139/DataH!$AB139), "", DataH!$AA139/DataH!$AB139))</f>
        <v/>
      </c>
      <c r="H147" s="419" t="str">
        <f>IF(DataH!$AC139&lt;0, NA(), IF(ISERROR(DataH!$AA139/DataH!$AC139), "", DataH!$AA139/DataH!$AC139))</f>
        <v/>
      </c>
      <c r="I147" s="420" t="str">
        <f>IF(DataH!$AD139&lt;0, NA(), IF(ISERROR(DataH!$AA139/DataH!$AD139), "", DataH!$AA139/DataH!$AD139))</f>
        <v/>
      </c>
      <c r="J147" s="216"/>
      <c r="K147" s="216"/>
      <c r="L147" s="216"/>
      <c r="M147" s="216"/>
      <c r="N147" s="216"/>
      <c r="O147" s="216"/>
      <c r="P147" s="216"/>
      <c r="Q147" s="216"/>
      <c r="R147" s="216"/>
      <c r="S147" s="216"/>
      <c r="T147" s="216"/>
      <c r="U147" s="216"/>
      <c r="V147" s="216"/>
    </row>
    <row r="148" spans="2:22" ht="15" customHeight="1">
      <c r="B148" s="322" t="str">
        <f>IF(DataH!$V140="", "", DataH!$V140)</f>
        <v/>
      </c>
      <c r="C148" s="416" t="str">
        <f>IF(DataH!$X140&lt;0, NA(), IF(ISERROR(DataH!$W140/DataH!$X140), "", DataH!$W140/DataH!$X140))</f>
        <v/>
      </c>
      <c r="D148" s="416" t="str">
        <f>IF(DataH!$Y140&lt;0, NA(), IF(ISERROR(DataH!$W140/DataH!$Y140), "", DataH!$W140/DataH!$Y140))</f>
        <v/>
      </c>
      <c r="E148" s="417" t="str">
        <f>IF(DataH!$Z140&lt;0, NA(), IF(ISERROR(DataH!$W140/DataH!$Z140), "", DataH!$W140/DataH!$Z140))</f>
        <v/>
      </c>
      <c r="G148" s="418" t="str">
        <f>IF(DataH!$AB140&lt;0, NA(), IF(ISERROR(DataH!$AA140/DataH!$AB140), "", DataH!$AA140/DataH!$AB140))</f>
        <v/>
      </c>
      <c r="H148" s="416" t="str">
        <f>IF(DataH!$AC140&lt;0, NA(), IF(ISERROR(DataH!$AA140/DataH!$AC140), "", DataH!$AA140/DataH!$AC140))</f>
        <v/>
      </c>
      <c r="I148" s="417" t="str">
        <f>IF(DataH!$AD140&lt;0, NA(), IF(ISERROR(DataH!$AA140/DataH!$AD140), "", DataH!$AA140/DataH!$AD140))</f>
        <v/>
      </c>
      <c r="J148" s="216"/>
      <c r="K148" s="216"/>
      <c r="L148" s="216"/>
      <c r="M148" s="216"/>
      <c r="N148" s="216"/>
      <c r="O148" s="216"/>
      <c r="P148" s="216"/>
      <c r="Q148" s="216"/>
      <c r="R148" s="216"/>
      <c r="S148" s="216"/>
      <c r="T148" s="216"/>
      <c r="U148" s="216"/>
      <c r="V148" s="216"/>
    </row>
    <row r="149" spans="2:22" ht="15" customHeight="1">
      <c r="B149" s="318" t="str">
        <f>IF(DataH!$V141="", "", DataH!$V141)</f>
        <v/>
      </c>
      <c r="C149" s="419" t="str">
        <f>IF(DataH!$X141&lt;0, NA(), IF(ISERROR(DataH!$W141/DataH!$X141), "", DataH!$W141/DataH!$X141))</f>
        <v/>
      </c>
      <c r="D149" s="419" t="str">
        <f>IF(DataH!$Y141&lt;0, NA(), IF(ISERROR(DataH!$W141/DataH!$Y141), "", DataH!$W141/DataH!$Y141))</f>
        <v/>
      </c>
      <c r="E149" s="420" t="str">
        <f>IF(DataH!$Z141&lt;0, NA(), IF(ISERROR(DataH!$W141/DataH!$Z141), "", DataH!$W141/DataH!$Z141))</f>
        <v/>
      </c>
      <c r="G149" s="421" t="str">
        <f>IF(DataH!$AB141&lt;0, NA(), IF(ISERROR(DataH!$AA141/DataH!$AB141), "", DataH!$AA141/DataH!$AB141))</f>
        <v/>
      </c>
      <c r="H149" s="419" t="str">
        <f>IF(DataH!$AC141&lt;0, NA(), IF(ISERROR(DataH!$AA141/DataH!$AC141), "", DataH!$AA141/DataH!$AC141))</f>
        <v/>
      </c>
      <c r="I149" s="420" t="str">
        <f>IF(DataH!$AD141&lt;0, NA(), IF(ISERROR(DataH!$AA141/DataH!$AD141), "", DataH!$AA141/DataH!$AD141))</f>
        <v/>
      </c>
      <c r="J149" s="216"/>
      <c r="K149" s="216"/>
      <c r="L149" s="216"/>
      <c r="M149" s="216"/>
      <c r="N149" s="216"/>
      <c r="O149" s="216"/>
      <c r="P149" s="216"/>
      <c r="Q149" s="216"/>
      <c r="R149" s="216"/>
      <c r="S149" s="216"/>
      <c r="T149" s="216"/>
      <c r="U149" s="216"/>
      <c r="V149" s="216"/>
    </row>
    <row r="150" spans="2:22" ht="15" customHeight="1">
      <c r="B150" s="322" t="str">
        <f>IF(DataH!$V142="", "", DataH!$V142)</f>
        <v/>
      </c>
      <c r="C150" s="416" t="str">
        <f>IF(DataH!$X142&lt;0, NA(), IF(ISERROR(DataH!$W142/DataH!$X142), "", DataH!$W142/DataH!$X142))</f>
        <v/>
      </c>
      <c r="D150" s="416" t="str">
        <f>IF(DataH!$Y142&lt;0, NA(), IF(ISERROR(DataH!$W142/DataH!$Y142), "", DataH!$W142/DataH!$Y142))</f>
        <v/>
      </c>
      <c r="E150" s="417" t="str">
        <f>IF(DataH!$Z142&lt;0, NA(), IF(ISERROR(DataH!$W142/DataH!$Z142), "", DataH!$W142/DataH!$Z142))</f>
        <v/>
      </c>
      <c r="G150" s="418" t="str">
        <f>IF(DataH!$AB142&lt;0, NA(), IF(ISERROR(DataH!$AA142/DataH!$AB142), "", DataH!$AA142/DataH!$AB142))</f>
        <v/>
      </c>
      <c r="H150" s="416" t="str">
        <f>IF(DataH!$AC142&lt;0, NA(), IF(ISERROR(DataH!$AA142/DataH!$AC142), "", DataH!$AA142/DataH!$AC142))</f>
        <v/>
      </c>
      <c r="I150" s="417" t="str">
        <f>IF(DataH!$AD142&lt;0, NA(), IF(ISERROR(DataH!$AA142/DataH!$AD142), "", DataH!$AA142/DataH!$AD142))</f>
        <v/>
      </c>
      <c r="J150" s="216"/>
      <c r="K150" s="216"/>
      <c r="L150" s="216"/>
      <c r="M150" s="216"/>
      <c r="N150" s="216"/>
      <c r="O150" s="216"/>
      <c r="P150" s="216"/>
      <c r="Q150" s="216"/>
      <c r="R150" s="216"/>
      <c r="S150" s="216"/>
      <c r="T150" s="216"/>
      <c r="U150" s="216"/>
      <c r="V150" s="216"/>
    </row>
    <row r="151" spans="2:22" ht="15" customHeight="1">
      <c r="B151" s="318" t="str">
        <f>IF(DataH!$V143="", "", DataH!$V143)</f>
        <v/>
      </c>
      <c r="C151" s="419" t="str">
        <f>IF(DataH!$X143&lt;0, NA(), IF(ISERROR(DataH!$W143/DataH!$X143), "", DataH!$W143/DataH!$X143))</f>
        <v/>
      </c>
      <c r="D151" s="419" t="str">
        <f>IF(DataH!$Y143&lt;0, NA(), IF(ISERROR(DataH!$W143/DataH!$Y143), "", DataH!$W143/DataH!$Y143))</f>
        <v/>
      </c>
      <c r="E151" s="420" t="str">
        <f>IF(DataH!$Z143&lt;0, NA(), IF(ISERROR(DataH!$W143/DataH!$Z143), "", DataH!$W143/DataH!$Z143))</f>
        <v/>
      </c>
      <c r="G151" s="421" t="str">
        <f>IF(DataH!$AB143&lt;0, NA(), IF(ISERROR(DataH!$AA143/DataH!$AB143), "", DataH!$AA143/DataH!$AB143))</f>
        <v/>
      </c>
      <c r="H151" s="419" t="str">
        <f>IF(DataH!$AC143&lt;0, NA(), IF(ISERROR(DataH!$AA143/DataH!$AC143), "", DataH!$AA143/DataH!$AC143))</f>
        <v/>
      </c>
      <c r="I151" s="420" t="str">
        <f>IF(DataH!$AD143&lt;0, NA(), IF(ISERROR(DataH!$AA143/DataH!$AD143), "", DataH!$AA143/DataH!$AD143))</f>
        <v/>
      </c>
      <c r="J151" s="216"/>
      <c r="K151" s="216"/>
      <c r="L151" s="216"/>
      <c r="M151" s="216"/>
      <c r="N151" s="216"/>
      <c r="O151" s="216"/>
      <c r="P151" s="216"/>
      <c r="Q151" s="216"/>
      <c r="R151" s="216"/>
      <c r="S151" s="216"/>
      <c r="T151" s="216"/>
      <c r="U151" s="216"/>
      <c r="V151" s="216"/>
    </row>
    <row r="152" spans="2:22" ht="15" customHeight="1">
      <c r="B152" s="322" t="str">
        <f>IF(DataH!$V144="", "", DataH!$V144)</f>
        <v/>
      </c>
      <c r="C152" s="416" t="str">
        <f>IF(DataH!$X144&lt;0, NA(), IF(ISERROR(DataH!$W144/DataH!$X144), "", DataH!$W144/DataH!$X144))</f>
        <v/>
      </c>
      <c r="D152" s="416" t="str">
        <f>IF(DataH!$Y144&lt;0, NA(), IF(ISERROR(DataH!$W144/DataH!$Y144), "", DataH!$W144/DataH!$Y144))</f>
        <v/>
      </c>
      <c r="E152" s="417" t="str">
        <f>IF(DataH!$Z144&lt;0, NA(), IF(ISERROR(DataH!$W144/DataH!$Z144), "", DataH!$W144/DataH!$Z144))</f>
        <v/>
      </c>
      <c r="G152" s="418" t="str">
        <f>IF(DataH!$AB144&lt;0, NA(), IF(ISERROR(DataH!$AA144/DataH!$AB144), "", DataH!$AA144/DataH!$AB144))</f>
        <v/>
      </c>
      <c r="H152" s="416" t="str">
        <f>IF(DataH!$AC144&lt;0, NA(), IF(ISERROR(DataH!$AA144/DataH!$AC144), "", DataH!$AA144/DataH!$AC144))</f>
        <v/>
      </c>
      <c r="I152" s="417" t="str">
        <f>IF(DataH!$AD144&lt;0, NA(), IF(ISERROR(DataH!$AA144/DataH!$AD144), "", DataH!$AA144/DataH!$AD144))</f>
        <v/>
      </c>
      <c r="J152" s="216"/>
      <c r="K152" s="216"/>
      <c r="L152" s="216"/>
      <c r="M152" s="216"/>
      <c r="N152" s="216"/>
      <c r="O152" s="216"/>
      <c r="P152" s="216"/>
      <c r="Q152" s="216"/>
      <c r="R152" s="216"/>
      <c r="S152" s="216"/>
      <c r="T152" s="216"/>
      <c r="U152" s="216"/>
      <c r="V152" s="216"/>
    </row>
    <row r="153" spans="2:22" ht="15" customHeight="1">
      <c r="B153" s="318" t="str">
        <f>IF(DataH!$V145="", "", DataH!$V145)</f>
        <v/>
      </c>
      <c r="C153" s="419" t="str">
        <f>IF(DataH!$X145&lt;0, NA(), IF(ISERROR(DataH!$W145/DataH!$X145), "", DataH!$W145/DataH!$X145))</f>
        <v/>
      </c>
      <c r="D153" s="419" t="str">
        <f>IF(DataH!$Y145&lt;0, NA(), IF(ISERROR(DataH!$W145/DataH!$Y145), "", DataH!$W145/DataH!$Y145))</f>
        <v/>
      </c>
      <c r="E153" s="420" t="str">
        <f>IF(DataH!$Z145&lt;0, NA(), IF(ISERROR(DataH!$W145/DataH!$Z145), "", DataH!$W145/DataH!$Z145))</f>
        <v/>
      </c>
      <c r="G153" s="421" t="str">
        <f>IF(DataH!$AB145&lt;0, NA(), IF(ISERROR(DataH!$AA145/DataH!$AB145), "", DataH!$AA145/DataH!$AB145))</f>
        <v/>
      </c>
      <c r="H153" s="419" t="str">
        <f>IF(DataH!$AC145&lt;0, NA(), IF(ISERROR(DataH!$AA145/DataH!$AC145), "", DataH!$AA145/DataH!$AC145))</f>
        <v/>
      </c>
      <c r="I153" s="420" t="str">
        <f>IF(DataH!$AD145&lt;0, NA(), IF(ISERROR(DataH!$AA145/DataH!$AD145), "", DataH!$AA145/DataH!$AD145))</f>
        <v/>
      </c>
      <c r="J153" s="216"/>
      <c r="K153" s="216"/>
      <c r="L153" s="216"/>
      <c r="M153" s="216"/>
      <c r="N153" s="216"/>
      <c r="O153" s="216"/>
      <c r="P153" s="216"/>
      <c r="Q153" s="216"/>
      <c r="R153" s="216"/>
      <c r="S153" s="216"/>
      <c r="T153" s="216"/>
      <c r="U153" s="216"/>
      <c r="V153" s="216"/>
    </row>
    <row r="154" spans="2:22" ht="15" customHeight="1">
      <c r="B154" s="322" t="str">
        <f>IF(DataH!$V146="", "", DataH!$V146)</f>
        <v/>
      </c>
      <c r="C154" s="416" t="str">
        <f>IF(DataH!$X146&lt;0, NA(), IF(ISERROR(DataH!$W146/DataH!$X146), "", DataH!$W146/DataH!$X146))</f>
        <v/>
      </c>
      <c r="D154" s="416" t="str">
        <f>IF(DataH!$Y146&lt;0, NA(), IF(ISERROR(DataH!$W146/DataH!$Y146), "", DataH!$W146/DataH!$Y146))</f>
        <v/>
      </c>
      <c r="E154" s="417" t="str">
        <f>IF(DataH!$Z146&lt;0, NA(), IF(ISERROR(DataH!$W146/DataH!$Z146), "", DataH!$W146/DataH!$Z146))</f>
        <v/>
      </c>
      <c r="G154" s="418" t="str">
        <f>IF(DataH!$AB146&lt;0, NA(), IF(ISERROR(DataH!$AA146/DataH!$AB146), "", DataH!$AA146/DataH!$AB146))</f>
        <v/>
      </c>
      <c r="H154" s="416" t="str">
        <f>IF(DataH!$AC146&lt;0, NA(), IF(ISERROR(DataH!$AA146/DataH!$AC146), "", DataH!$AA146/DataH!$AC146))</f>
        <v/>
      </c>
      <c r="I154" s="417" t="str">
        <f>IF(DataH!$AD146&lt;0, NA(), IF(ISERROR(DataH!$AA146/DataH!$AD146), "", DataH!$AA146/DataH!$AD146))</f>
        <v/>
      </c>
      <c r="J154" s="216"/>
      <c r="K154" s="216"/>
      <c r="L154" s="216"/>
      <c r="M154" s="216"/>
      <c r="N154" s="216"/>
      <c r="O154" s="216"/>
      <c r="P154" s="216"/>
      <c r="Q154" s="216"/>
      <c r="R154" s="216"/>
      <c r="S154" s="216"/>
      <c r="T154" s="216"/>
      <c r="U154" s="216"/>
      <c r="V154" s="216"/>
    </row>
    <row r="155" spans="2:22" ht="15" customHeight="1">
      <c r="B155" s="318" t="str">
        <f>IF(DataH!$V147="", "", DataH!$V147)</f>
        <v/>
      </c>
      <c r="C155" s="419" t="str">
        <f>IF(DataH!$X147&lt;0, NA(), IF(ISERROR(DataH!$W147/DataH!$X147), "", DataH!$W147/DataH!$X147))</f>
        <v/>
      </c>
      <c r="D155" s="419" t="str">
        <f>IF(DataH!$Y147&lt;0, NA(), IF(ISERROR(DataH!$W147/DataH!$Y147), "", DataH!$W147/DataH!$Y147))</f>
        <v/>
      </c>
      <c r="E155" s="420" t="str">
        <f>IF(DataH!$Z147&lt;0, NA(), IF(ISERROR(DataH!$W147/DataH!$Z147), "", DataH!$W147/DataH!$Z147))</f>
        <v/>
      </c>
      <c r="G155" s="421" t="str">
        <f>IF(DataH!$AB147&lt;0, NA(), IF(ISERROR(DataH!$AA147/DataH!$AB147), "", DataH!$AA147/DataH!$AB147))</f>
        <v/>
      </c>
      <c r="H155" s="419" t="str">
        <f>IF(DataH!$AC147&lt;0, NA(), IF(ISERROR(DataH!$AA147/DataH!$AC147), "", DataH!$AA147/DataH!$AC147))</f>
        <v/>
      </c>
      <c r="I155" s="420" t="str">
        <f>IF(DataH!$AD147&lt;0, NA(), IF(ISERROR(DataH!$AA147/DataH!$AD147), "", DataH!$AA147/DataH!$AD147))</f>
        <v/>
      </c>
      <c r="J155" s="216"/>
      <c r="K155" s="216"/>
      <c r="L155" s="216"/>
      <c r="M155" s="216"/>
      <c r="N155" s="216"/>
      <c r="O155" s="216"/>
      <c r="P155" s="216"/>
      <c r="Q155" s="216"/>
      <c r="R155" s="216"/>
      <c r="S155" s="216"/>
      <c r="T155" s="216"/>
      <c r="U155" s="216"/>
      <c r="V155" s="216"/>
    </row>
    <row r="156" spans="2:22" ht="15" customHeight="1">
      <c r="B156" s="322" t="str">
        <f>IF(DataH!$V148="", "", DataH!$V148)</f>
        <v/>
      </c>
      <c r="C156" s="416" t="str">
        <f>IF(DataH!$X148&lt;0, NA(), IF(ISERROR(DataH!$W148/DataH!$X148), "", DataH!$W148/DataH!$X148))</f>
        <v/>
      </c>
      <c r="D156" s="416" t="str">
        <f>IF(DataH!$Y148&lt;0, NA(), IF(ISERROR(DataH!$W148/DataH!$Y148), "", DataH!$W148/DataH!$Y148))</f>
        <v/>
      </c>
      <c r="E156" s="417" t="str">
        <f>IF(DataH!$Z148&lt;0, NA(), IF(ISERROR(DataH!$W148/DataH!$Z148), "", DataH!$W148/DataH!$Z148))</f>
        <v/>
      </c>
      <c r="G156" s="418" t="str">
        <f>IF(DataH!$AB148&lt;0, NA(), IF(ISERROR(DataH!$AA148/DataH!$AB148), "", DataH!$AA148/DataH!$AB148))</f>
        <v/>
      </c>
      <c r="H156" s="416" t="str">
        <f>IF(DataH!$AC148&lt;0, NA(), IF(ISERROR(DataH!$AA148/DataH!$AC148), "", DataH!$AA148/DataH!$AC148))</f>
        <v/>
      </c>
      <c r="I156" s="417" t="str">
        <f>IF(DataH!$AD148&lt;0, NA(), IF(ISERROR(DataH!$AA148/DataH!$AD148), "", DataH!$AA148/DataH!$AD148))</f>
        <v/>
      </c>
      <c r="J156" s="216"/>
      <c r="K156" s="216"/>
      <c r="L156" s="216"/>
      <c r="M156" s="216"/>
      <c r="N156" s="216"/>
      <c r="O156" s="216"/>
      <c r="P156" s="216"/>
      <c r="Q156" s="216"/>
      <c r="R156" s="216"/>
      <c r="S156" s="216"/>
      <c r="T156" s="216"/>
      <c r="U156" s="216"/>
      <c r="V156" s="216"/>
    </row>
    <row r="157" spans="2:22" ht="15" customHeight="1">
      <c r="B157" s="318" t="str">
        <f>IF(DataH!$V149="", "", DataH!$V149)</f>
        <v/>
      </c>
      <c r="C157" s="419" t="str">
        <f>IF(DataH!$X149&lt;0, NA(), IF(ISERROR(DataH!$W149/DataH!$X149), "", DataH!$W149/DataH!$X149))</f>
        <v/>
      </c>
      <c r="D157" s="419" t="str">
        <f>IF(DataH!$Y149&lt;0, NA(), IF(ISERROR(DataH!$W149/DataH!$Y149), "", DataH!$W149/DataH!$Y149))</f>
        <v/>
      </c>
      <c r="E157" s="420" t="str">
        <f>IF(DataH!$Z149&lt;0, NA(), IF(ISERROR(DataH!$W149/DataH!$Z149), "", DataH!$W149/DataH!$Z149))</f>
        <v/>
      </c>
      <c r="G157" s="421" t="str">
        <f>IF(DataH!$AB149&lt;0, NA(), IF(ISERROR(DataH!$AA149/DataH!$AB149), "", DataH!$AA149/DataH!$AB149))</f>
        <v/>
      </c>
      <c r="H157" s="419" t="str">
        <f>IF(DataH!$AC149&lt;0, NA(), IF(ISERROR(DataH!$AA149/DataH!$AC149), "", DataH!$AA149/DataH!$AC149))</f>
        <v/>
      </c>
      <c r="I157" s="420" t="str">
        <f>IF(DataH!$AD149&lt;0, NA(), IF(ISERROR(DataH!$AA149/DataH!$AD149), "", DataH!$AA149/DataH!$AD149))</f>
        <v/>
      </c>
      <c r="J157" s="216"/>
      <c r="K157" s="216"/>
      <c r="L157" s="216"/>
      <c r="M157" s="216"/>
      <c r="N157" s="216"/>
      <c r="O157" s="216"/>
      <c r="P157" s="216"/>
      <c r="Q157" s="216"/>
      <c r="R157" s="216"/>
      <c r="S157" s="216"/>
      <c r="T157" s="216"/>
      <c r="U157" s="216"/>
      <c r="V157" s="216"/>
    </row>
    <row r="158" spans="2:22" ht="15" customHeight="1">
      <c r="B158" s="322" t="str">
        <f>IF(DataH!$V150="", "", DataH!$V150)</f>
        <v/>
      </c>
      <c r="C158" s="416" t="str">
        <f>IF(DataH!$X150&lt;0, NA(), IF(ISERROR(DataH!$W150/DataH!$X150), "", DataH!$W150/DataH!$X150))</f>
        <v/>
      </c>
      <c r="D158" s="416" t="str">
        <f>IF(DataH!$Y150&lt;0, NA(), IF(ISERROR(DataH!$W150/DataH!$Y150), "", DataH!$W150/DataH!$Y150))</f>
        <v/>
      </c>
      <c r="E158" s="417" t="str">
        <f>IF(DataH!$Z150&lt;0, NA(), IF(ISERROR(DataH!$W150/DataH!$Z150), "", DataH!$W150/DataH!$Z150))</f>
        <v/>
      </c>
      <c r="G158" s="418" t="str">
        <f>IF(DataH!$AB150&lt;0, NA(), IF(ISERROR(DataH!$AA150/DataH!$AB150), "", DataH!$AA150/DataH!$AB150))</f>
        <v/>
      </c>
      <c r="H158" s="416" t="str">
        <f>IF(DataH!$AC150&lt;0, NA(), IF(ISERROR(DataH!$AA150/DataH!$AC150), "", DataH!$AA150/DataH!$AC150))</f>
        <v/>
      </c>
      <c r="I158" s="417" t="str">
        <f>IF(DataH!$AD150&lt;0, NA(), IF(ISERROR(DataH!$AA150/DataH!$AD150), "", DataH!$AA150/DataH!$AD150))</f>
        <v/>
      </c>
      <c r="J158" s="216"/>
      <c r="K158" s="216"/>
      <c r="L158" s="216"/>
      <c r="M158" s="216"/>
      <c r="N158" s="216"/>
      <c r="O158" s="216"/>
      <c r="P158" s="216"/>
      <c r="Q158" s="216"/>
      <c r="R158" s="216"/>
      <c r="S158" s="216"/>
      <c r="T158" s="216"/>
      <c r="U158" s="216"/>
      <c r="V158" s="216"/>
    </row>
    <row r="159" spans="2:22" ht="15" customHeight="1">
      <c r="B159" s="318" t="str">
        <f>IF(DataH!$V151="", "", DataH!$V151)</f>
        <v/>
      </c>
      <c r="C159" s="419" t="str">
        <f>IF(DataH!$X151&lt;0, NA(), IF(ISERROR(DataH!$W151/DataH!$X151), "", DataH!$W151/DataH!$X151))</f>
        <v/>
      </c>
      <c r="D159" s="419" t="str">
        <f>IF(DataH!$Y151&lt;0, NA(), IF(ISERROR(DataH!$W151/DataH!$Y151), "", DataH!$W151/DataH!$Y151))</f>
        <v/>
      </c>
      <c r="E159" s="420" t="str">
        <f>IF(DataH!$Z151&lt;0, NA(), IF(ISERROR(DataH!$W151/DataH!$Z151), "", DataH!$W151/DataH!$Z151))</f>
        <v/>
      </c>
      <c r="G159" s="421" t="str">
        <f>IF(DataH!$AB151&lt;0, NA(), IF(ISERROR(DataH!$AA151/DataH!$AB151), "", DataH!$AA151/DataH!$AB151))</f>
        <v/>
      </c>
      <c r="H159" s="419" t="str">
        <f>IF(DataH!$AC151&lt;0, NA(), IF(ISERROR(DataH!$AA151/DataH!$AC151), "", DataH!$AA151/DataH!$AC151))</f>
        <v/>
      </c>
      <c r="I159" s="420" t="str">
        <f>IF(DataH!$AD151&lt;0, NA(), IF(ISERROR(DataH!$AA151/DataH!$AD151), "", DataH!$AA151/DataH!$AD151))</f>
        <v/>
      </c>
      <c r="J159" s="216"/>
      <c r="K159" s="216"/>
      <c r="L159" s="216"/>
      <c r="M159" s="216"/>
      <c r="N159" s="216"/>
      <c r="O159" s="216"/>
      <c r="P159" s="216"/>
      <c r="Q159" s="216"/>
      <c r="R159" s="216"/>
      <c r="S159" s="216"/>
      <c r="T159" s="216"/>
      <c r="U159" s="216"/>
      <c r="V159" s="216"/>
    </row>
    <row r="160" spans="2:22" ht="15" customHeight="1">
      <c r="B160" s="322" t="str">
        <f>IF(DataH!$V152="", "", DataH!$V152)</f>
        <v/>
      </c>
      <c r="C160" s="416" t="str">
        <f>IF(DataH!$X152&lt;0, NA(), IF(ISERROR(DataH!$W152/DataH!$X152), "", DataH!$W152/DataH!$X152))</f>
        <v/>
      </c>
      <c r="D160" s="416" t="str">
        <f>IF(DataH!$Y152&lt;0, NA(), IF(ISERROR(DataH!$W152/DataH!$Y152), "", DataH!$W152/DataH!$Y152))</f>
        <v/>
      </c>
      <c r="E160" s="417" t="str">
        <f>IF(DataH!$Z152&lt;0, NA(), IF(ISERROR(DataH!$W152/DataH!$Z152), "", DataH!$W152/DataH!$Z152))</f>
        <v/>
      </c>
      <c r="G160" s="418" t="str">
        <f>IF(DataH!$AB152&lt;0, NA(), IF(ISERROR(DataH!$AA152/DataH!$AB152), "", DataH!$AA152/DataH!$AB152))</f>
        <v/>
      </c>
      <c r="H160" s="416" t="str">
        <f>IF(DataH!$AC152&lt;0, NA(), IF(ISERROR(DataH!$AA152/DataH!$AC152), "", DataH!$AA152/DataH!$AC152))</f>
        <v/>
      </c>
      <c r="I160" s="417" t="str">
        <f>IF(DataH!$AD152&lt;0, NA(), IF(ISERROR(DataH!$AA152/DataH!$AD152), "", DataH!$AA152/DataH!$AD152))</f>
        <v/>
      </c>
      <c r="J160" s="216"/>
      <c r="K160" s="216"/>
      <c r="L160" s="216"/>
      <c r="M160" s="216"/>
      <c r="N160" s="216"/>
      <c r="O160" s="216"/>
      <c r="P160" s="216"/>
      <c r="Q160" s="216"/>
      <c r="R160" s="216"/>
      <c r="S160" s="216"/>
      <c r="T160" s="216"/>
      <c r="U160" s="216"/>
      <c r="V160" s="216"/>
    </row>
    <row r="161" spans="2:22" ht="15" customHeight="1">
      <c r="B161" s="318" t="str">
        <f>IF(DataH!$V153="", "", DataH!$V153)</f>
        <v/>
      </c>
      <c r="C161" s="419" t="str">
        <f>IF(DataH!$X153&lt;0, NA(), IF(ISERROR(DataH!$W153/DataH!$X153), "", DataH!$W153/DataH!$X153))</f>
        <v/>
      </c>
      <c r="D161" s="419" t="str">
        <f>IF(DataH!$Y153&lt;0, NA(), IF(ISERROR(DataH!$W153/DataH!$Y153), "", DataH!$W153/DataH!$Y153))</f>
        <v/>
      </c>
      <c r="E161" s="420" t="str">
        <f>IF(DataH!$Z153&lt;0, NA(), IF(ISERROR(DataH!$W153/DataH!$Z153), "", DataH!$W153/DataH!$Z153))</f>
        <v/>
      </c>
      <c r="G161" s="421" t="str">
        <f>IF(DataH!$AB153&lt;0, NA(), IF(ISERROR(DataH!$AA153/DataH!$AB153), "", DataH!$AA153/DataH!$AB153))</f>
        <v/>
      </c>
      <c r="H161" s="419" t="str">
        <f>IF(DataH!$AC153&lt;0, NA(), IF(ISERROR(DataH!$AA153/DataH!$AC153), "", DataH!$AA153/DataH!$AC153))</f>
        <v/>
      </c>
      <c r="I161" s="420" t="str">
        <f>IF(DataH!$AD153&lt;0, NA(), IF(ISERROR(DataH!$AA153/DataH!$AD153), "", DataH!$AA153/DataH!$AD153))</f>
        <v/>
      </c>
      <c r="J161" s="216"/>
      <c r="K161" s="216"/>
      <c r="L161" s="216"/>
      <c r="M161" s="216"/>
      <c r="N161" s="216"/>
      <c r="O161" s="216"/>
      <c r="P161" s="216"/>
      <c r="Q161" s="216"/>
      <c r="R161" s="216"/>
      <c r="S161" s="216"/>
      <c r="T161" s="216"/>
      <c r="U161" s="216"/>
      <c r="V161" s="216"/>
    </row>
    <row r="162" spans="2:22" ht="15" customHeight="1">
      <c r="B162" s="322" t="str">
        <f>IF(DataH!$V154="", "", DataH!$V154)</f>
        <v/>
      </c>
      <c r="C162" s="416" t="str">
        <f>IF(DataH!$X154&lt;0, NA(), IF(ISERROR(DataH!$W154/DataH!$X154), "", DataH!$W154/DataH!$X154))</f>
        <v/>
      </c>
      <c r="D162" s="416" t="str">
        <f>IF(DataH!$Y154&lt;0, NA(), IF(ISERROR(DataH!$W154/DataH!$Y154), "", DataH!$W154/DataH!$Y154))</f>
        <v/>
      </c>
      <c r="E162" s="417" t="str">
        <f>IF(DataH!$Z154&lt;0, NA(), IF(ISERROR(DataH!$W154/DataH!$Z154), "", DataH!$W154/DataH!$Z154))</f>
        <v/>
      </c>
      <c r="G162" s="418" t="str">
        <f>IF(DataH!$AB154&lt;0, NA(), IF(ISERROR(DataH!$AA154/DataH!$AB154), "", DataH!$AA154/DataH!$AB154))</f>
        <v/>
      </c>
      <c r="H162" s="416" t="str">
        <f>IF(DataH!$AC154&lt;0, NA(), IF(ISERROR(DataH!$AA154/DataH!$AC154), "", DataH!$AA154/DataH!$AC154))</f>
        <v/>
      </c>
      <c r="I162" s="417" t="str">
        <f>IF(DataH!$AD154&lt;0, NA(), IF(ISERROR(DataH!$AA154/DataH!$AD154), "", DataH!$AA154/DataH!$AD154))</f>
        <v/>
      </c>
      <c r="J162" s="216"/>
      <c r="K162" s="216"/>
      <c r="L162" s="216"/>
      <c r="M162" s="216"/>
      <c r="N162" s="216"/>
      <c r="O162" s="216"/>
      <c r="P162" s="216"/>
      <c r="Q162" s="216"/>
      <c r="R162" s="216"/>
      <c r="S162" s="216"/>
      <c r="T162" s="216"/>
      <c r="U162" s="216"/>
      <c r="V162" s="216"/>
    </row>
    <row r="163" spans="2:22" ht="15" customHeight="1">
      <c r="B163" s="318" t="str">
        <f>IF(DataH!$V155="", "", DataH!$V155)</f>
        <v/>
      </c>
      <c r="C163" s="419" t="str">
        <f>IF(DataH!$X155&lt;0, NA(), IF(ISERROR(DataH!$W155/DataH!$X155), "", DataH!$W155/DataH!$X155))</f>
        <v/>
      </c>
      <c r="D163" s="419" t="str">
        <f>IF(DataH!$Y155&lt;0, NA(), IF(ISERROR(DataH!$W155/DataH!$Y155), "", DataH!$W155/DataH!$Y155))</f>
        <v/>
      </c>
      <c r="E163" s="420" t="str">
        <f>IF(DataH!$Z155&lt;0, NA(), IF(ISERROR(DataH!$W155/DataH!$Z155), "", DataH!$W155/DataH!$Z155))</f>
        <v/>
      </c>
      <c r="G163" s="421" t="str">
        <f>IF(DataH!$AB155&lt;0, NA(), IF(ISERROR(DataH!$AA155/DataH!$AB155), "", DataH!$AA155/DataH!$AB155))</f>
        <v/>
      </c>
      <c r="H163" s="419" t="str">
        <f>IF(DataH!$AC155&lt;0, NA(), IF(ISERROR(DataH!$AA155/DataH!$AC155), "", DataH!$AA155/DataH!$AC155))</f>
        <v/>
      </c>
      <c r="I163" s="420" t="str">
        <f>IF(DataH!$AD155&lt;0, NA(), IF(ISERROR(DataH!$AA155/DataH!$AD155), "", DataH!$AA155/DataH!$AD155))</f>
        <v/>
      </c>
      <c r="J163" s="216"/>
      <c r="K163" s="216"/>
      <c r="L163" s="216"/>
      <c r="M163" s="216"/>
      <c r="N163" s="216"/>
      <c r="O163" s="216"/>
      <c r="P163" s="216"/>
      <c r="Q163" s="216"/>
      <c r="R163" s="216"/>
      <c r="S163" s="216"/>
      <c r="T163" s="216"/>
      <c r="U163" s="216"/>
      <c r="V163" s="216"/>
    </row>
    <row r="164" spans="2:22" ht="15" customHeight="1">
      <c r="B164" s="322" t="str">
        <f>IF(DataH!$V156="", "", DataH!$V156)</f>
        <v/>
      </c>
      <c r="C164" s="416" t="str">
        <f>IF(DataH!$X156&lt;0, NA(), IF(ISERROR(DataH!$W156/DataH!$X156), "", DataH!$W156/DataH!$X156))</f>
        <v/>
      </c>
      <c r="D164" s="416" t="str">
        <f>IF(DataH!$Y156&lt;0, NA(), IF(ISERROR(DataH!$W156/DataH!$Y156), "", DataH!$W156/DataH!$Y156))</f>
        <v/>
      </c>
      <c r="E164" s="417" t="str">
        <f>IF(DataH!$Z156&lt;0, NA(), IF(ISERROR(DataH!$W156/DataH!$Z156), "", DataH!$W156/DataH!$Z156))</f>
        <v/>
      </c>
      <c r="G164" s="418" t="str">
        <f>IF(DataH!$AB156&lt;0, NA(), IF(ISERROR(DataH!$AA156/DataH!$AB156), "", DataH!$AA156/DataH!$AB156))</f>
        <v/>
      </c>
      <c r="H164" s="416" t="str">
        <f>IF(DataH!$AC156&lt;0, NA(), IF(ISERROR(DataH!$AA156/DataH!$AC156), "", DataH!$AA156/DataH!$AC156))</f>
        <v/>
      </c>
      <c r="I164" s="417" t="str">
        <f>IF(DataH!$AD156&lt;0, NA(), IF(ISERROR(DataH!$AA156/DataH!$AD156), "", DataH!$AA156/DataH!$AD156))</f>
        <v/>
      </c>
      <c r="J164" s="216"/>
      <c r="K164" s="216"/>
      <c r="L164" s="216"/>
      <c r="M164" s="216"/>
      <c r="N164" s="216"/>
      <c r="O164" s="216"/>
      <c r="P164" s="216"/>
      <c r="Q164" s="216"/>
      <c r="R164" s="216"/>
      <c r="S164" s="216"/>
      <c r="T164" s="216"/>
      <c r="U164" s="216"/>
      <c r="V164" s="216"/>
    </row>
    <row r="165" spans="2:22" ht="15" customHeight="1">
      <c r="B165" s="318" t="str">
        <f>IF(DataH!$V157="", "", DataH!$V157)</f>
        <v/>
      </c>
      <c r="C165" s="419" t="str">
        <f>IF(DataH!$X157&lt;0, NA(), IF(ISERROR(DataH!$W157/DataH!$X157), "", DataH!$W157/DataH!$X157))</f>
        <v/>
      </c>
      <c r="D165" s="419" t="str">
        <f>IF(DataH!$Y157&lt;0, NA(), IF(ISERROR(DataH!$W157/DataH!$Y157), "", DataH!$W157/DataH!$Y157))</f>
        <v/>
      </c>
      <c r="E165" s="420" t="str">
        <f>IF(DataH!$Z157&lt;0, NA(), IF(ISERROR(DataH!$W157/DataH!$Z157), "", DataH!$W157/DataH!$Z157))</f>
        <v/>
      </c>
      <c r="G165" s="421" t="str">
        <f>IF(DataH!$AB157&lt;0, NA(), IF(ISERROR(DataH!$AA157/DataH!$AB157), "", DataH!$AA157/DataH!$AB157))</f>
        <v/>
      </c>
      <c r="H165" s="419" t="str">
        <f>IF(DataH!$AC157&lt;0, NA(), IF(ISERROR(DataH!$AA157/DataH!$AC157), "", DataH!$AA157/DataH!$AC157))</f>
        <v/>
      </c>
      <c r="I165" s="420" t="str">
        <f>IF(DataH!$AD157&lt;0, NA(), IF(ISERROR(DataH!$AA157/DataH!$AD157), "", DataH!$AA157/DataH!$AD157))</f>
        <v/>
      </c>
      <c r="J165" s="216"/>
      <c r="K165" s="216"/>
      <c r="L165" s="216"/>
      <c r="M165" s="216"/>
      <c r="N165" s="216"/>
      <c r="O165" s="216"/>
      <c r="P165" s="216"/>
      <c r="Q165" s="216"/>
      <c r="R165" s="216"/>
      <c r="S165" s="216"/>
      <c r="T165" s="216"/>
      <c r="U165" s="216"/>
      <c r="V165" s="216"/>
    </row>
    <row r="166" spans="2:22" ht="15" customHeight="1">
      <c r="B166" s="322" t="str">
        <f>IF(DataH!$V158="", "", DataH!$V158)</f>
        <v/>
      </c>
      <c r="C166" s="416" t="str">
        <f>IF(DataH!$X158&lt;0, NA(), IF(ISERROR(DataH!$W158/DataH!$X158), "", DataH!$W158/DataH!$X158))</f>
        <v/>
      </c>
      <c r="D166" s="416" t="str">
        <f>IF(DataH!$Y158&lt;0, NA(), IF(ISERROR(DataH!$W158/DataH!$Y158), "", DataH!$W158/DataH!$Y158))</f>
        <v/>
      </c>
      <c r="E166" s="417" t="str">
        <f>IF(DataH!$Z158&lt;0, NA(), IF(ISERROR(DataH!$W158/DataH!$Z158), "", DataH!$W158/DataH!$Z158))</f>
        <v/>
      </c>
      <c r="G166" s="418" t="str">
        <f>IF(DataH!$AB158&lt;0, NA(), IF(ISERROR(DataH!$AA158/DataH!$AB158), "", DataH!$AA158/DataH!$AB158))</f>
        <v/>
      </c>
      <c r="H166" s="416" t="str">
        <f>IF(DataH!$AC158&lt;0, NA(), IF(ISERROR(DataH!$AA158/DataH!$AC158), "", DataH!$AA158/DataH!$AC158))</f>
        <v/>
      </c>
      <c r="I166" s="417" t="str">
        <f>IF(DataH!$AD158&lt;0, NA(), IF(ISERROR(DataH!$AA158/DataH!$AD158), "", DataH!$AA158/DataH!$AD158))</f>
        <v/>
      </c>
      <c r="J166" s="216"/>
      <c r="K166" s="216"/>
      <c r="L166" s="216"/>
      <c r="M166" s="216"/>
      <c r="N166" s="216"/>
      <c r="O166" s="216"/>
      <c r="P166" s="216"/>
      <c r="Q166" s="216"/>
      <c r="R166" s="216"/>
      <c r="S166" s="216"/>
      <c r="T166" s="216"/>
      <c r="U166" s="216"/>
      <c r="V166" s="216"/>
    </row>
    <row r="167" spans="2:22" ht="15" customHeight="1">
      <c r="B167" s="318" t="str">
        <f>IF(DataH!$V159="", "", DataH!$V159)</f>
        <v/>
      </c>
      <c r="C167" s="419" t="str">
        <f>IF(DataH!$X159&lt;0, NA(), IF(ISERROR(DataH!$W159/DataH!$X159), "", DataH!$W159/DataH!$X159))</f>
        <v/>
      </c>
      <c r="D167" s="419" t="str">
        <f>IF(DataH!$Y159&lt;0, NA(), IF(ISERROR(DataH!$W159/DataH!$Y159), "", DataH!$W159/DataH!$Y159))</f>
        <v/>
      </c>
      <c r="E167" s="420" t="str">
        <f>IF(DataH!$Z159&lt;0, NA(), IF(ISERROR(DataH!$W159/DataH!$Z159), "", DataH!$W159/DataH!$Z159))</f>
        <v/>
      </c>
      <c r="G167" s="421" t="str">
        <f>IF(DataH!$AB159&lt;0, NA(), IF(ISERROR(DataH!$AA159/DataH!$AB159), "", DataH!$AA159/DataH!$AB159))</f>
        <v/>
      </c>
      <c r="H167" s="419" t="str">
        <f>IF(DataH!$AC159&lt;0, NA(), IF(ISERROR(DataH!$AA159/DataH!$AC159), "", DataH!$AA159/DataH!$AC159))</f>
        <v/>
      </c>
      <c r="I167" s="420" t="str">
        <f>IF(DataH!$AD159&lt;0, NA(), IF(ISERROR(DataH!$AA159/DataH!$AD159), "", DataH!$AA159/DataH!$AD159))</f>
        <v/>
      </c>
      <c r="J167" s="216"/>
      <c r="K167" s="216"/>
      <c r="L167" s="216"/>
      <c r="M167" s="216"/>
      <c r="N167" s="216"/>
      <c r="O167" s="216"/>
      <c r="P167" s="216"/>
      <c r="Q167" s="216"/>
      <c r="R167" s="216"/>
      <c r="S167" s="216"/>
      <c r="T167" s="216"/>
      <c r="U167" s="216"/>
      <c r="V167" s="216"/>
    </row>
    <row r="168" spans="2:22" ht="15" customHeight="1">
      <c r="B168" s="322" t="str">
        <f>IF(DataH!$V160="", "", DataH!$V160)</f>
        <v/>
      </c>
      <c r="C168" s="416" t="str">
        <f>IF(DataH!$X160&lt;0, NA(), IF(ISERROR(DataH!$W160/DataH!$X160), "", DataH!$W160/DataH!$X160))</f>
        <v/>
      </c>
      <c r="D168" s="416" t="str">
        <f>IF(DataH!$Y160&lt;0, NA(), IF(ISERROR(DataH!$W160/DataH!$Y160), "", DataH!$W160/DataH!$Y160))</f>
        <v/>
      </c>
      <c r="E168" s="417" t="str">
        <f>IF(DataH!$Z160&lt;0, NA(), IF(ISERROR(DataH!$W160/DataH!$Z160), "", DataH!$W160/DataH!$Z160))</f>
        <v/>
      </c>
      <c r="G168" s="418" t="str">
        <f>IF(DataH!$AB160&lt;0, NA(), IF(ISERROR(DataH!$AA160/DataH!$AB160), "", DataH!$AA160/DataH!$AB160))</f>
        <v/>
      </c>
      <c r="H168" s="416" t="str">
        <f>IF(DataH!$AC160&lt;0, NA(), IF(ISERROR(DataH!$AA160/DataH!$AC160), "", DataH!$AA160/DataH!$AC160))</f>
        <v/>
      </c>
      <c r="I168" s="417" t="str">
        <f>IF(DataH!$AD160&lt;0, NA(), IF(ISERROR(DataH!$AA160/DataH!$AD160), "", DataH!$AA160/DataH!$AD160))</f>
        <v/>
      </c>
      <c r="J168" s="216"/>
      <c r="K168" s="216"/>
      <c r="L168" s="216"/>
      <c r="M168" s="216"/>
      <c r="N168" s="216"/>
      <c r="O168" s="216"/>
      <c r="P168" s="216"/>
      <c r="Q168" s="216"/>
      <c r="R168" s="216"/>
      <c r="S168" s="216"/>
      <c r="T168" s="216"/>
      <c r="U168" s="216"/>
      <c r="V168" s="216"/>
    </row>
    <row r="169" spans="2:22" ht="15" customHeight="1">
      <c r="B169" s="318" t="str">
        <f>IF(DataH!$V161="", "", DataH!$V161)</f>
        <v/>
      </c>
      <c r="C169" s="419" t="str">
        <f>IF(DataH!$X161&lt;0, NA(), IF(ISERROR(DataH!$W161/DataH!$X161), "", DataH!$W161/DataH!$X161))</f>
        <v/>
      </c>
      <c r="D169" s="419" t="str">
        <f>IF(DataH!$Y161&lt;0, NA(), IF(ISERROR(DataH!$W161/DataH!$Y161), "", DataH!$W161/DataH!$Y161))</f>
        <v/>
      </c>
      <c r="E169" s="420" t="str">
        <f>IF(DataH!$Z161&lt;0, NA(), IF(ISERROR(DataH!$W161/DataH!$Z161), "", DataH!$W161/DataH!$Z161))</f>
        <v/>
      </c>
      <c r="G169" s="421" t="str">
        <f>IF(DataH!$AB161&lt;0, NA(), IF(ISERROR(DataH!$AA161/DataH!$AB161), "", DataH!$AA161/DataH!$AB161))</f>
        <v/>
      </c>
      <c r="H169" s="419" t="str">
        <f>IF(DataH!$AC161&lt;0, NA(), IF(ISERROR(DataH!$AA161/DataH!$AC161), "", DataH!$AA161/DataH!$AC161))</f>
        <v/>
      </c>
      <c r="I169" s="420" t="str">
        <f>IF(DataH!$AD161&lt;0, NA(), IF(ISERROR(DataH!$AA161/DataH!$AD161), "", DataH!$AA161/DataH!$AD161))</f>
        <v/>
      </c>
      <c r="J169" s="216"/>
      <c r="K169" s="216"/>
      <c r="L169" s="216"/>
      <c r="M169" s="216"/>
      <c r="N169" s="216"/>
      <c r="O169" s="216"/>
      <c r="P169" s="216"/>
      <c r="Q169" s="216"/>
      <c r="R169" s="216"/>
      <c r="S169" s="216"/>
      <c r="T169" s="216"/>
      <c r="U169" s="216"/>
      <c r="V169" s="216"/>
    </row>
    <row r="170" spans="2:22" ht="15" customHeight="1">
      <c r="B170" s="322" t="str">
        <f>IF(DataH!$V162="", "", DataH!$V162)</f>
        <v/>
      </c>
      <c r="C170" s="416" t="str">
        <f>IF(DataH!$X162&lt;0, NA(), IF(ISERROR(DataH!$W162/DataH!$X162), "", DataH!$W162/DataH!$X162))</f>
        <v/>
      </c>
      <c r="D170" s="416" t="str">
        <f>IF(DataH!$Y162&lt;0, NA(), IF(ISERROR(DataH!$W162/DataH!$Y162), "", DataH!$W162/DataH!$Y162))</f>
        <v/>
      </c>
      <c r="E170" s="417" t="str">
        <f>IF(DataH!$Z162&lt;0, NA(), IF(ISERROR(DataH!$W162/DataH!$Z162), "", DataH!$W162/DataH!$Z162))</f>
        <v/>
      </c>
      <c r="G170" s="418" t="str">
        <f>IF(DataH!$AB162&lt;0, NA(), IF(ISERROR(DataH!$AA162/DataH!$AB162), "", DataH!$AA162/DataH!$AB162))</f>
        <v/>
      </c>
      <c r="H170" s="416" t="str">
        <f>IF(DataH!$AC162&lt;0, NA(), IF(ISERROR(DataH!$AA162/DataH!$AC162), "", DataH!$AA162/DataH!$AC162))</f>
        <v/>
      </c>
      <c r="I170" s="417" t="str">
        <f>IF(DataH!$AD162&lt;0, NA(), IF(ISERROR(DataH!$AA162/DataH!$AD162), "", DataH!$AA162/DataH!$AD162))</f>
        <v/>
      </c>
      <c r="J170" s="216"/>
      <c r="K170" s="216"/>
      <c r="L170" s="216"/>
      <c r="M170" s="216"/>
      <c r="N170" s="216"/>
      <c r="O170" s="216"/>
      <c r="P170" s="216"/>
      <c r="Q170" s="216"/>
      <c r="R170" s="216"/>
      <c r="S170" s="216"/>
      <c r="T170" s="216"/>
      <c r="U170" s="216"/>
      <c r="V170" s="216"/>
    </row>
    <row r="171" spans="2:22" ht="15" customHeight="1">
      <c r="B171" s="318" t="str">
        <f>IF(DataH!$V163="", "", DataH!$V163)</f>
        <v/>
      </c>
      <c r="C171" s="419" t="str">
        <f>IF(DataH!$X163&lt;0, NA(), IF(ISERROR(DataH!$W163/DataH!$X163), "", DataH!$W163/DataH!$X163))</f>
        <v/>
      </c>
      <c r="D171" s="419" t="str">
        <f>IF(DataH!$Y163&lt;0, NA(), IF(ISERROR(DataH!$W163/DataH!$Y163), "", DataH!$W163/DataH!$Y163))</f>
        <v/>
      </c>
      <c r="E171" s="420" t="str">
        <f>IF(DataH!$Z163&lt;0, NA(), IF(ISERROR(DataH!$W163/DataH!$Z163), "", DataH!$W163/DataH!$Z163))</f>
        <v/>
      </c>
      <c r="G171" s="421" t="str">
        <f>IF(DataH!$AB163&lt;0, NA(), IF(ISERROR(DataH!$AA163/DataH!$AB163), "", DataH!$AA163/DataH!$AB163))</f>
        <v/>
      </c>
      <c r="H171" s="419" t="str">
        <f>IF(DataH!$AC163&lt;0, NA(), IF(ISERROR(DataH!$AA163/DataH!$AC163), "", DataH!$AA163/DataH!$AC163))</f>
        <v/>
      </c>
      <c r="I171" s="420" t="str">
        <f>IF(DataH!$AD163&lt;0, NA(), IF(ISERROR(DataH!$AA163/DataH!$AD163), "", DataH!$AA163/DataH!$AD163))</f>
        <v/>
      </c>
      <c r="J171" s="216"/>
      <c r="K171" s="216"/>
      <c r="L171" s="216"/>
      <c r="M171" s="216"/>
      <c r="N171" s="216"/>
      <c r="O171" s="216"/>
      <c r="P171" s="216"/>
      <c r="Q171" s="216"/>
      <c r="R171" s="216"/>
      <c r="S171" s="216"/>
      <c r="T171" s="216"/>
      <c r="U171" s="216"/>
      <c r="V171" s="216"/>
    </row>
    <row r="172" spans="2:22" ht="15" customHeight="1">
      <c r="B172" s="322" t="str">
        <f>IF(DataH!$V164="", "", DataH!$V164)</f>
        <v/>
      </c>
      <c r="C172" s="416" t="str">
        <f>IF(DataH!$X164&lt;0, NA(), IF(ISERROR(DataH!$W164/DataH!$X164), "", DataH!$W164/DataH!$X164))</f>
        <v/>
      </c>
      <c r="D172" s="416" t="str">
        <f>IF(DataH!$Y164&lt;0, NA(), IF(ISERROR(DataH!$W164/DataH!$Y164), "", DataH!$W164/DataH!$Y164))</f>
        <v/>
      </c>
      <c r="E172" s="417" t="str">
        <f>IF(DataH!$Z164&lt;0, NA(), IF(ISERROR(DataH!$W164/DataH!$Z164), "", DataH!$W164/DataH!$Z164))</f>
        <v/>
      </c>
      <c r="G172" s="418" t="str">
        <f>IF(DataH!$AB164&lt;0, NA(), IF(ISERROR(DataH!$AA164/DataH!$AB164), "", DataH!$AA164/DataH!$AB164))</f>
        <v/>
      </c>
      <c r="H172" s="416" t="str">
        <f>IF(DataH!$AC164&lt;0, NA(), IF(ISERROR(DataH!$AA164/DataH!$AC164), "", DataH!$AA164/DataH!$AC164))</f>
        <v/>
      </c>
      <c r="I172" s="417" t="str">
        <f>IF(DataH!$AD164&lt;0, NA(), IF(ISERROR(DataH!$AA164/DataH!$AD164), "", DataH!$AA164/DataH!$AD164))</f>
        <v/>
      </c>
      <c r="J172" s="216"/>
      <c r="K172" s="216"/>
      <c r="L172" s="216"/>
      <c r="M172" s="216"/>
      <c r="N172" s="216"/>
      <c r="O172" s="216"/>
      <c r="P172" s="216"/>
      <c r="Q172" s="216"/>
      <c r="R172" s="216"/>
      <c r="S172" s="216"/>
      <c r="T172" s="216"/>
      <c r="U172" s="216"/>
      <c r="V172" s="216"/>
    </row>
    <row r="173" spans="2:22" ht="15" customHeight="1">
      <c r="B173" s="318" t="str">
        <f>IF(DataH!$V165="", "", DataH!$V165)</f>
        <v/>
      </c>
      <c r="C173" s="419" t="str">
        <f>IF(DataH!$X165&lt;0, NA(), IF(ISERROR(DataH!$W165/DataH!$X165), "", DataH!$W165/DataH!$X165))</f>
        <v/>
      </c>
      <c r="D173" s="419" t="str">
        <f>IF(DataH!$Y165&lt;0, NA(), IF(ISERROR(DataH!$W165/DataH!$Y165), "", DataH!$W165/DataH!$Y165))</f>
        <v/>
      </c>
      <c r="E173" s="420" t="str">
        <f>IF(DataH!$Z165&lt;0, NA(), IF(ISERROR(DataH!$W165/DataH!$Z165), "", DataH!$W165/DataH!$Z165))</f>
        <v/>
      </c>
      <c r="G173" s="421" t="str">
        <f>IF(DataH!$AB165&lt;0, NA(), IF(ISERROR(DataH!$AA165/DataH!$AB165), "", DataH!$AA165/DataH!$AB165))</f>
        <v/>
      </c>
      <c r="H173" s="419" t="str">
        <f>IF(DataH!$AC165&lt;0, NA(), IF(ISERROR(DataH!$AA165/DataH!$AC165), "", DataH!$AA165/DataH!$AC165))</f>
        <v/>
      </c>
      <c r="I173" s="420" t="str">
        <f>IF(DataH!$AD165&lt;0, NA(), IF(ISERROR(DataH!$AA165/DataH!$AD165), "", DataH!$AA165/DataH!$AD165))</f>
        <v/>
      </c>
      <c r="J173" s="216"/>
      <c r="K173" s="216"/>
      <c r="L173" s="216"/>
      <c r="M173" s="216"/>
      <c r="N173" s="216"/>
      <c r="O173" s="216"/>
      <c r="P173" s="216"/>
      <c r="Q173" s="216"/>
      <c r="R173" s="216"/>
      <c r="S173" s="216"/>
      <c r="T173" s="216"/>
      <c r="U173" s="216"/>
      <c r="V173" s="216"/>
    </row>
    <row r="174" spans="2:22" ht="15" customHeight="1">
      <c r="B174" s="322" t="str">
        <f>IF(DataH!$V166="", "", DataH!$V166)</f>
        <v/>
      </c>
      <c r="C174" s="416" t="str">
        <f>IF(DataH!$X166&lt;0, NA(), IF(ISERROR(DataH!$W166/DataH!$X166), "", DataH!$W166/DataH!$X166))</f>
        <v/>
      </c>
      <c r="D174" s="416" t="str">
        <f>IF(DataH!$Y166&lt;0, NA(), IF(ISERROR(DataH!$W166/DataH!$Y166), "", DataH!$W166/DataH!$Y166))</f>
        <v/>
      </c>
      <c r="E174" s="417" t="str">
        <f>IF(DataH!$Z166&lt;0, NA(), IF(ISERROR(DataH!$W166/DataH!$Z166), "", DataH!$W166/DataH!$Z166))</f>
        <v/>
      </c>
      <c r="G174" s="418" t="str">
        <f>IF(DataH!$AB166&lt;0, NA(), IF(ISERROR(DataH!$AA166/DataH!$AB166), "", DataH!$AA166/DataH!$AB166))</f>
        <v/>
      </c>
      <c r="H174" s="416" t="str">
        <f>IF(DataH!$AC166&lt;0, NA(), IF(ISERROR(DataH!$AA166/DataH!$AC166), "", DataH!$AA166/DataH!$AC166))</f>
        <v/>
      </c>
      <c r="I174" s="417" t="str">
        <f>IF(DataH!$AD166&lt;0, NA(), IF(ISERROR(DataH!$AA166/DataH!$AD166), "", DataH!$AA166/DataH!$AD166))</f>
        <v/>
      </c>
      <c r="J174" s="216"/>
      <c r="K174" s="216"/>
      <c r="L174" s="216"/>
      <c r="M174" s="216"/>
      <c r="N174" s="216"/>
      <c r="O174" s="216"/>
      <c r="P174" s="216"/>
      <c r="Q174" s="216"/>
      <c r="R174" s="216"/>
      <c r="S174" s="216"/>
      <c r="T174" s="216"/>
      <c r="U174" s="216"/>
      <c r="V174" s="216"/>
    </row>
    <row r="175" spans="2:22" ht="15" customHeight="1">
      <c r="B175" s="318" t="str">
        <f>IF(DataH!$V167="", "", DataH!$V167)</f>
        <v/>
      </c>
      <c r="C175" s="419" t="str">
        <f>IF(DataH!$X167&lt;0, NA(), IF(ISERROR(DataH!$W167/DataH!$X167), "", DataH!$W167/DataH!$X167))</f>
        <v/>
      </c>
      <c r="D175" s="419" t="str">
        <f>IF(DataH!$Y167&lt;0, NA(), IF(ISERROR(DataH!$W167/DataH!$Y167), "", DataH!$W167/DataH!$Y167))</f>
        <v/>
      </c>
      <c r="E175" s="420" t="str">
        <f>IF(DataH!$Z167&lt;0, NA(), IF(ISERROR(DataH!$W167/DataH!$Z167), "", DataH!$W167/DataH!$Z167))</f>
        <v/>
      </c>
      <c r="G175" s="421" t="str">
        <f>IF(DataH!$AB167&lt;0, NA(), IF(ISERROR(DataH!$AA167/DataH!$AB167), "", DataH!$AA167/DataH!$AB167))</f>
        <v/>
      </c>
      <c r="H175" s="419" t="str">
        <f>IF(DataH!$AC167&lt;0, NA(), IF(ISERROR(DataH!$AA167/DataH!$AC167), "", DataH!$AA167/DataH!$AC167))</f>
        <v/>
      </c>
      <c r="I175" s="420" t="str">
        <f>IF(DataH!$AD167&lt;0, NA(), IF(ISERROR(DataH!$AA167/DataH!$AD167), "", DataH!$AA167/DataH!$AD167))</f>
        <v/>
      </c>
      <c r="J175" s="216"/>
      <c r="K175" s="216"/>
      <c r="L175" s="216"/>
      <c r="M175" s="216"/>
      <c r="N175" s="216"/>
      <c r="O175" s="216"/>
      <c r="P175" s="216"/>
      <c r="Q175" s="216"/>
      <c r="R175" s="216"/>
      <c r="S175" s="216"/>
      <c r="T175" s="216"/>
      <c r="U175" s="216"/>
      <c r="V175" s="216"/>
    </row>
    <row r="176" spans="2:22" ht="15" customHeight="1">
      <c r="B176" s="322" t="str">
        <f>IF(DataH!$V168="", "", DataH!$V168)</f>
        <v/>
      </c>
      <c r="C176" s="416" t="str">
        <f>IF(DataH!$X168&lt;0, NA(), IF(ISERROR(DataH!$W168/DataH!$X168), "", DataH!$W168/DataH!$X168))</f>
        <v/>
      </c>
      <c r="D176" s="416" t="str">
        <f>IF(DataH!$Y168&lt;0, NA(), IF(ISERROR(DataH!$W168/DataH!$Y168), "", DataH!$W168/DataH!$Y168))</f>
        <v/>
      </c>
      <c r="E176" s="417" t="str">
        <f>IF(DataH!$Z168&lt;0, NA(), IF(ISERROR(DataH!$W168/DataH!$Z168), "", DataH!$W168/DataH!$Z168))</f>
        <v/>
      </c>
      <c r="G176" s="418" t="str">
        <f>IF(DataH!$AB168&lt;0, NA(), IF(ISERROR(DataH!$AA168/DataH!$AB168), "", DataH!$AA168/DataH!$AB168))</f>
        <v/>
      </c>
      <c r="H176" s="416" t="str">
        <f>IF(DataH!$AC168&lt;0, NA(), IF(ISERROR(DataH!$AA168/DataH!$AC168), "", DataH!$AA168/DataH!$AC168))</f>
        <v/>
      </c>
      <c r="I176" s="417" t="str">
        <f>IF(DataH!$AD168&lt;0, NA(), IF(ISERROR(DataH!$AA168/DataH!$AD168), "", DataH!$AA168/DataH!$AD168))</f>
        <v/>
      </c>
      <c r="J176" s="216"/>
      <c r="K176" s="216"/>
      <c r="L176" s="216"/>
      <c r="M176" s="216"/>
      <c r="N176" s="216"/>
      <c r="O176" s="216"/>
      <c r="P176" s="216"/>
      <c r="Q176" s="216"/>
      <c r="R176" s="216"/>
      <c r="S176" s="216"/>
      <c r="T176" s="216"/>
      <c r="U176" s="216"/>
      <c r="V176" s="216"/>
    </row>
    <row r="177" spans="2:22" ht="15" customHeight="1">
      <c r="B177" s="318" t="str">
        <f>IF(DataH!$V169="", "", DataH!$V169)</f>
        <v/>
      </c>
      <c r="C177" s="419" t="str">
        <f>IF(DataH!$X169&lt;0, NA(), IF(ISERROR(DataH!$W169/DataH!$X169), "", DataH!$W169/DataH!$X169))</f>
        <v/>
      </c>
      <c r="D177" s="419" t="str">
        <f>IF(DataH!$Y169&lt;0, NA(), IF(ISERROR(DataH!$W169/DataH!$Y169), "", DataH!$W169/DataH!$Y169))</f>
        <v/>
      </c>
      <c r="E177" s="420" t="str">
        <f>IF(DataH!$Z169&lt;0, NA(), IF(ISERROR(DataH!$W169/DataH!$Z169), "", DataH!$W169/DataH!$Z169))</f>
        <v/>
      </c>
      <c r="G177" s="421" t="str">
        <f>IF(DataH!$AB169&lt;0, NA(), IF(ISERROR(DataH!$AA169/DataH!$AB169), "", DataH!$AA169/DataH!$AB169))</f>
        <v/>
      </c>
      <c r="H177" s="419" t="str">
        <f>IF(DataH!$AC169&lt;0, NA(), IF(ISERROR(DataH!$AA169/DataH!$AC169), "", DataH!$AA169/DataH!$AC169))</f>
        <v/>
      </c>
      <c r="I177" s="420" t="str">
        <f>IF(DataH!$AD169&lt;0, NA(), IF(ISERROR(DataH!$AA169/DataH!$AD169), "", DataH!$AA169/DataH!$AD169))</f>
        <v/>
      </c>
      <c r="J177" s="216"/>
      <c r="K177" s="216"/>
      <c r="L177" s="216"/>
      <c r="M177" s="216"/>
      <c r="N177" s="216"/>
      <c r="O177" s="216"/>
      <c r="P177" s="216"/>
      <c r="Q177" s="216"/>
      <c r="R177" s="216"/>
      <c r="S177" s="216"/>
      <c r="T177" s="216"/>
      <c r="U177" s="216"/>
      <c r="V177" s="216"/>
    </row>
    <row r="178" spans="2:22" ht="15" customHeight="1">
      <c r="B178" s="322" t="str">
        <f>IF(DataH!$V170="", "", DataH!$V170)</f>
        <v/>
      </c>
      <c r="C178" s="416" t="str">
        <f>IF(DataH!$X170&lt;0, NA(), IF(ISERROR(DataH!$W170/DataH!$X170), "", DataH!$W170/DataH!$X170))</f>
        <v/>
      </c>
      <c r="D178" s="416" t="str">
        <f>IF(DataH!$Y170&lt;0, NA(), IF(ISERROR(DataH!$W170/DataH!$Y170), "", DataH!$W170/DataH!$Y170))</f>
        <v/>
      </c>
      <c r="E178" s="417" t="str">
        <f>IF(DataH!$Z170&lt;0, NA(), IF(ISERROR(DataH!$W170/DataH!$Z170), "", DataH!$W170/DataH!$Z170))</f>
        <v/>
      </c>
      <c r="G178" s="418" t="str">
        <f>IF(DataH!$AB170&lt;0, NA(), IF(ISERROR(DataH!$AA170/DataH!$AB170), "", DataH!$AA170/DataH!$AB170))</f>
        <v/>
      </c>
      <c r="H178" s="416" t="str">
        <f>IF(DataH!$AC170&lt;0, NA(), IF(ISERROR(DataH!$AA170/DataH!$AC170), "", DataH!$AA170/DataH!$AC170))</f>
        <v/>
      </c>
      <c r="I178" s="417" t="str">
        <f>IF(DataH!$AD170&lt;0, NA(), IF(ISERROR(DataH!$AA170/DataH!$AD170), "", DataH!$AA170/DataH!$AD170))</f>
        <v/>
      </c>
      <c r="J178" s="216"/>
      <c r="K178" s="216"/>
      <c r="L178" s="216"/>
      <c r="M178" s="216"/>
      <c r="N178" s="216"/>
      <c r="O178" s="216"/>
      <c r="P178" s="216"/>
      <c r="Q178" s="216"/>
      <c r="R178" s="216"/>
      <c r="S178" s="216"/>
      <c r="T178" s="216"/>
      <c r="U178" s="216"/>
      <c r="V178" s="216"/>
    </row>
    <row r="179" spans="2:22" ht="15" customHeight="1">
      <c r="B179" s="318" t="str">
        <f>IF(DataH!$V171="", "", DataH!$V171)</f>
        <v/>
      </c>
      <c r="C179" s="419" t="str">
        <f>IF(DataH!$X171&lt;0, NA(), IF(ISERROR(DataH!$W171/DataH!$X171), "", DataH!$W171/DataH!$X171))</f>
        <v/>
      </c>
      <c r="D179" s="419" t="str">
        <f>IF(DataH!$Y171&lt;0, NA(), IF(ISERROR(DataH!$W171/DataH!$Y171), "", DataH!$W171/DataH!$Y171))</f>
        <v/>
      </c>
      <c r="E179" s="420" t="str">
        <f>IF(DataH!$Z171&lt;0, NA(), IF(ISERROR(DataH!$W171/DataH!$Z171), "", DataH!$W171/DataH!$Z171))</f>
        <v/>
      </c>
      <c r="G179" s="421" t="str">
        <f>IF(DataH!$AB171&lt;0, NA(), IF(ISERROR(DataH!$AA171/DataH!$AB171), "", DataH!$AA171/DataH!$AB171))</f>
        <v/>
      </c>
      <c r="H179" s="419" t="str">
        <f>IF(DataH!$AC171&lt;0, NA(), IF(ISERROR(DataH!$AA171/DataH!$AC171), "", DataH!$AA171/DataH!$AC171))</f>
        <v/>
      </c>
      <c r="I179" s="420" t="str">
        <f>IF(DataH!$AD171&lt;0, NA(), IF(ISERROR(DataH!$AA171/DataH!$AD171), "", DataH!$AA171/DataH!$AD171))</f>
        <v/>
      </c>
      <c r="J179" s="216"/>
      <c r="K179" s="216"/>
      <c r="L179" s="216"/>
      <c r="M179" s="216"/>
      <c r="N179" s="216"/>
      <c r="O179" s="216"/>
      <c r="P179" s="216"/>
      <c r="Q179" s="216"/>
      <c r="R179" s="216"/>
      <c r="S179" s="216"/>
      <c r="T179" s="216"/>
      <c r="U179" s="216"/>
      <c r="V179" s="216"/>
    </row>
    <row r="180" spans="2:22" ht="15" customHeight="1">
      <c r="B180" s="322" t="str">
        <f>IF(DataH!$V172="", "", DataH!$V172)</f>
        <v/>
      </c>
      <c r="C180" s="416" t="str">
        <f>IF(DataH!$X172&lt;0, NA(), IF(ISERROR(DataH!$W172/DataH!$X172), "", DataH!$W172/DataH!$X172))</f>
        <v/>
      </c>
      <c r="D180" s="416" t="str">
        <f>IF(DataH!$Y172&lt;0, NA(), IF(ISERROR(DataH!$W172/DataH!$Y172), "", DataH!$W172/DataH!$Y172))</f>
        <v/>
      </c>
      <c r="E180" s="417" t="str">
        <f>IF(DataH!$Z172&lt;0, NA(), IF(ISERROR(DataH!$W172/DataH!$Z172), "", DataH!$W172/DataH!$Z172))</f>
        <v/>
      </c>
      <c r="G180" s="418" t="str">
        <f>IF(DataH!$AB172&lt;0, NA(), IF(ISERROR(DataH!$AA172/DataH!$AB172), "", DataH!$AA172/DataH!$AB172))</f>
        <v/>
      </c>
      <c r="H180" s="416" t="str">
        <f>IF(DataH!$AC172&lt;0, NA(), IF(ISERROR(DataH!$AA172/DataH!$AC172), "", DataH!$AA172/DataH!$AC172))</f>
        <v/>
      </c>
      <c r="I180" s="417" t="str">
        <f>IF(DataH!$AD172&lt;0, NA(), IF(ISERROR(DataH!$AA172/DataH!$AD172), "", DataH!$AA172/DataH!$AD172))</f>
        <v/>
      </c>
      <c r="J180" s="216"/>
      <c r="K180" s="216"/>
      <c r="L180" s="216"/>
      <c r="M180" s="216"/>
      <c r="N180" s="216"/>
      <c r="O180" s="216"/>
      <c r="P180" s="216"/>
      <c r="Q180" s="216"/>
      <c r="R180" s="216"/>
      <c r="S180" s="216"/>
      <c r="T180" s="216"/>
      <c r="U180" s="216"/>
      <c r="V180" s="216"/>
    </row>
    <row r="181" spans="2:22" ht="15" customHeight="1">
      <c r="B181" s="318" t="str">
        <f>IF(DataH!$V173="", "", DataH!$V173)</f>
        <v/>
      </c>
      <c r="C181" s="419" t="str">
        <f>IF(DataH!$X173&lt;0, NA(), IF(ISERROR(DataH!$W173/DataH!$X173), "", DataH!$W173/DataH!$X173))</f>
        <v/>
      </c>
      <c r="D181" s="419" t="str">
        <f>IF(DataH!$Y173&lt;0, NA(), IF(ISERROR(DataH!$W173/DataH!$Y173), "", DataH!$W173/DataH!$Y173))</f>
        <v/>
      </c>
      <c r="E181" s="420" t="str">
        <f>IF(DataH!$Z173&lt;0, NA(), IF(ISERROR(DataH!$W173/DataH!$Z173), "", DataH!$W173/DataH!$Z173))</f>
        <v/>
      </c>
      <c r="G181" s="421" t="str">
        <f>IF(DataH!$AB173&lt;0, NA(), IF(ISERROR(DataH!$AA173/DataH!$AB173), "", DataH!$AA173/DataH!$AB173))</f>
        <v/>
      </c>
      <c r="H181" s="419" t="str">
        <f>IF(DataH!$AC173&lt;0, NA(), IF(ISERROR(DataH!$AA173/DataH!$AC173), "", DataH!$AA173/DataH!$AC173))</f>
        <v/>
      </c>
      <c r="I181" s="420" t="str">
        <f>IF(DataH!$AD173&lt;0, NA(), IF(ISERROR(DataH!$AA173/DataH!$AD173), "", DataH!$AA173/DataH!$AD173))</f>
        <v/>
      </c>
      <c r="J181" s="216"/>
      <c r="K181" s="216"/>
      <c r="L181" s="216"/>
      <c r="M181" s="216"/>
      <c r="N181" s="216"/>
      <c r="O181" s="216"/>
      <c r="P181" s="216"/>
      <c r="Q181" s="216"/>
      <c r="R181" s="216"/>
      <c r="S181" s="216"/>
      <c r="T181" s="216"/>
      <c r="U181" s="216"/>
      <c r="V181" s="216"/>
    </row>
    <row r="182" spans="2:22" ht="15" customHeight="1">
      <c r="B182" s="322" t="str">
        <f>IF(DataH!$V174="", "", DataH!$V174)</f>
        <v/>
      </c>
      <c r="C182" s="416" t="str">
        <f>IF(DataH!$X174&lt;0, NA(), IF(ISERROR(DataH!$W174/DataH!$X174), "", DataH!$W174/DataH!$X174))</f>
        <v/>
      </c>
      <c r="D182" s="416" t="str">
        <f>IF(DataH!$Y174&lt;0, NA(), IF(ISERROR(DataH!$W174/DataH!$Y174), "", DataH!$W174/DataH!$Y174))</f>
        <v/>
      </c>
      <c r="E182" s="417" t="str">
        <f>IF(DataH!$Z174&lt;0, NA(), IF(ISERROR(DataH!$W174/DataH!$Z174), "", DataH!$W174/DataH!$Z174))</f>
        <v/>
      </c>
      <c r="G182" s="418" t="str">
        <f>IF(DataH!$AB174&lt;0, NA(), IF(ISERROR(DataH!$AA174/DataH!$AB174), "", DataH!$AA174/DataH!$AB174))</f>
        <v/>
      </c>
      <c r="H182" s="416" t="str">
        <f>IF(DataH!$AC174&lt;0, NA(), IF(ISERROR(DataH!$AA174/DataH!$AC174), "", DataH!$AA174/DataH!$AC174))</f>
        <v/>
      </c>
      <c r="I182" s="417" t="str">
        <f>IF(DataH!$AD174&lt;0, NA(), IF(ISERROR(DataH!$AA174/DataH!$AD174), "", DataH!$AA174/DataH!$AD174))</f>
        <v/>
      </c>
      <c r="J182" s="216"/>
      <c r="K182" s="216"/>
      <c r="L182" s="216"/>
      <c r="M182" s="216"/>
      <c r="N182" s="216"/>
      <c r="O182" s="216"/>
      <c r="P182" s="216"/>
      <c r="Q182" s="216"/>
      <c r="R182" s="216"/>
      <c r="S182" s="216"/>
      <c r="T182" s="216"/>
      <c r="U182" s="216"/>
      <c r="V182" s="216"/>
    </row>
    <row r="183" spans="2:22" ht="15" customHeight="1">
      <c r="B183" s="318" t="str">
        <f>IF(DataH!$V175="", "", DataH!$V175)</f>
        <v/>
      </c>
      <c r="C183" s="419" t="str">
        <f>IF(DataH!$X175&lt;0, NA(), IF(ISERROR(DataH!$W175/DataH!$X175), "", DataH!$W175/DataH!$X175))</f>
        <v/>
      </c>
      <c r="D183" s="419" t="str">
        <f>IF(DataH!$Y175&lt;0, NA(), IF(ISERROR(DataH!$W175/DataH!$Y175), "", DataH!$W175/DataH!$Y175))</f>
        <v/>
      </c>
      <c r="E183" s="420" t="str">
        <f>IF(DataH!$Z175&lt;0, NA(), IF(ISERROR(DataH!$W175/DataH!$Z175), "", DataH!$W175/DataH!$Z175))</f>
        <v/>
      </c>
      <c r="G183" s="421" t="str">
        <f>IF(DataH!$AB175&lt;0, NA(), IF(ISERROR(DataH!$AA175/DataH!$AB175), "", DataH!$AA175/DataH!$AB175))</f>
        <v/>
      </c>
      <c r="H183" s="419" t="str">
        <f>IF(DataH!$AC175&lt;0, NA(), IF(ISERROR(DataH!$AA175/DataH!$AC175), "", DataH!$AA175/DataH!$AC175))</f>
        <v/>
      </c>
      <c r="I183" s="420" t="str">
        <f>IF(DataH!$AD175&lt;0, NA(), IF(ISERROR(DataH!$AA175/DataH!$AD175), "", DataH!$AA175/DataH!$AD175))</f>
        <v/>
      </c>
      <c r="J183" s="216"/>
      <c r="K183" s="216"/>
      <c r="L183" s="216"/>
      <c r="M183" s="216"/>
      <c r="N183" s="216"/>
      <c r="O183" s="216"/>
      <c r="P183" s="216"/>
      <c r="Q183" s="216"/>
      <c r="R183" s="216"/>
      <c r="S183" s="216"/>
      <c r="T183" s="216"/>
      <c r="U183" s="216"/>
      <c r="V183" s="216"/>
    </row>
    <row r="184" spans="2:22" ht="15" customHeight="1">
      <c r="B184" s="322" t="str">
        <f>IF(DataH!$V176="", "", DataH!$V176)</f>
        <v/>
      </c>
      <c r="C184" s="416" t="str">
        <f>IF(DataH!$X176&lt;0, NA(), IF(ISERROR(DataH!$W176/DataH!$X176), "", DataH!$W176/DataH!$X176))</f>
        <v/>
      </c>
      <c r="D184" s="416" t="str">
        <f>IF(DataH!$Y176&lt;0, NA(), IF(ISERROR(DataH!$W176/DataH!$Y176), "", DataH!$W176/DataH!$Y176))</f>
        <v/>
      </c>
      <c r="E184" s="417" t="str">
        <f>IF(DataH!$Z176&lt;0, NA(), IF(ISERROR(DataH!$W176/DataH!$Z176), "", DataH!$W176/DataH!$Z176))</f>
        <v/>
      </c>
      <c r="G184" s="418" t="str">
        <f>IF(DataH!$AB176&lt;0, NA(), IF(ISERROR(DataH!$AA176/DataH!$AB176), "", DataH!$AA176/DataH!$AB176))</f>
        <v/>
      </c>
      <c r="H184" s="416" t="str">
        <f>IF(DataH!$AC176&lt;0, NA(), IF(ISERROR(DataH!$AA176/DataH!$AC176), "", DataH!$AA176/DataH!$AC176))</f>
        <v/>
      </c>
      <c r="I184" s="417" t="str">
        <f>IF(DataH!$AD176&lt;0, NA(), IF(ISERROR(DataH!$AA176/DataH!$AD176), "", DataH!$AA176/DataH!$AD176))</f>
        <v/>
      </c>
      <c r="J184" s="216"/>
      <c r="K184" s="216"/>
      <c r="L184" s="216"/>
      <c r="M184" s="216"/>
      <c r="N184" s="216"/>
      <c r="O184" s="216"/>
      <c r="P184" s="216"/>
      <c r="Q184" s="216"/>
      <c r="R184" s="216"/>
      <c r="S184" s="216"/>
      <c r="T184" s="216"/>
      <c r="U184" s="216"/>
      <c r="V184" s="216"/>
    </row>
    <row r="185" spans="2:22" ht="15" customHeight="1">
      <c r="B185" s="318" t="str">
        <f>IF(DataH!$V177="", "", DataH!$V177)</f>
        <v/>
      </c>
      <c r="C185" s="419" t="str">
        <f>IF(DataH!$X177&lt;0, NA(), IF(ISERROR(DataH!$W177/DataH!$X177), "", DataH!$W177/DataH!$X177))</f>
        <v/>
      </c>
      <c r="D185" s="419" t="str">
        <f>IF(DataH!$Y177&lt;0, NA(), IF(ISERROR(DataH!$W177/DataH!$Y177), "", DataH!$W177/DataH!$Y177))</f>
        <v/>
      </c>
      <c r="E185" s="420" t="str">
        <f>IF(DataH!$Z177&lt;0, NA(), IF(ISERROR(DataH!$W177/DataH!$Z177), "", DataH!$W177/DataH!$Z177))</f>
        <v/>
      </c>
      <c r="G185" s="421" t="str">
        <f>IF(DataH!$AB177&lt;0, NA(), IF(ISERROR(DataH!$AA177/DataH!$AB177), "", DataH!$AA177/DataH!$AB177))</f>
        <v/>
      </c>
      <c r="H185" s="419" t="str">
        <f>IF(DataH!$AC177&lt;0, NA(), IF(ISERROR(DataH!$AA177/DataH!$AC177), "", DataH!$AA177/DataH!$AC177))</f>
        <v/>
      </c>
      <c r="I185" s="420" t="str">
        <f>IF(DataH!$AD177&lt;0, NA(), IF(ISERROR(DataH!$AA177/DataH!$AD177), "", DataH!$AA177/DataH!$AD177))</f>
        <v/>
      </c>
      <c r="J185" s="216"/>
      <c r="K185" s="216"/>
      <c r="L185" s="216"/>
      <c r="M185" s="216"/>
      <c r="N185" s="216"/>
      <c r="O185" s="216"/>
      <c r="P185" s="216"/>
      <c r="Q185" s="216"/>
      <c r="R185" s="216"/>
      <c r="S185" s="216"/>
      <c r="T185" s="216"/>
      <c r="U185" s="216"/>
      <c r="V185" s="216"/>
    </row>
    <row r="186" spans="2:22" ht="15" customHeight="1">
      <c r="B186" s="322" t="str">
        <f>IF(DataH!$V178="", "", DataH!$V178)</f>
        <v/>
      </c>
      <c r="C186" s="416" t="str">
        <f>IF(DataH!$X178&lt;0, NA(), IF(ISERROR(DataH!$W178/DataH!$X178), "", DataH!$W178/DataH!$X178))</f>
        <v/>
      </c>
      <c r="D186" s="416" t="str">
        <f>IF(DataH!$Y178&lt;0, NA(), IF(ISERROR(DataH!$W178/DataH!$Y178), "", DataH!$W178/DataH!$Y178))</f>
        <v/>
      </c>
      <c r="E186" s="417" t="str">
        <f>IF(DataH!$Z178&lt;0, NA(), IF(ISERROR(DataH!$W178/DataH!$Z178), "", DataH!$W178/DataH!$Z178))</f>
        <v/>
      </c>
      <c r="G186" s="418" t="str">
        <f>IF(DataH!$AB178&lt;0, NA(), IF(ISERROR(DataH!$AA178/DataH!$AB178), "", DataH!$AA178/DataH!$AB178))</f>
        <v/>
      </c>
      <c r="H186" s="416" t="str">
        <f>IF(DataH!$AC178&lt;0, NA(), IF(ISERROR(DataH!$AA178/DataH!$AC178), "", DataH!$AA178/DataH!$AC178))</f>
        <v/>
      </c>
      <c r="I186" s="417" t="str">
        <f>IF(DataH!$AD178&lt;0, NA(), IF(ISERROR(DataH!$AA178/DataH!$AD178), "", DataH!$AA178/DataH!$AD178))</f>
        <v/>
      </c>
      <c r="J186" s="216"/>
      <c r="K186" s="216"/>
      <c r="L186" s="216"/>
      <c r="M186" s="216"/>
      <c r="N186" s="216"/>
      <c r="O186" s="216"/>
      <c r="P186" s="216"/>
      <c r="Q186" s="216"/>
      <c r="R186" s="216"/>
      <c r="S186" s="216"/>
      <c r="T186" s="216"/>
      <c r="U186" s="216"/>
      <c r="V186" s="216"/>
    </row>
    <row r="187" spans="2:22" ht="15" customHeight="1">
      <c r="B187" s="318" t="str">
        <f>IF(DataH!$V179="", "", DataH!$V179)</f>
        <v/>
      </c>
      <c r="C187" s="419" t="str">
        <f>IF(DataH!$X179&lt;0, NA(), IF(ISERROR(DataH!$W179/DataH!$X179), "", DataH!$W179/DataH!$X179))</f>
        <v/>
      </c>
      <c r="D187" s="419" t="str">
        <f>IF(DataH!$Y179&lt;0, NA(), IF(ISERROR(DataH!$W179/DataH!$Y179), "", DataH!$W179/DataH!$Y179))</f>
        <v/>
      </c>
      <c r="E187" s="420" t="str">
        <f>IF(DataH!$Z179&lt;0, NA(), IF(ISERROR(DataH!$W179/DataH!$Z179), "", DataH!$W179/DataH!$Z179))</f>
        <v/>
      </c>
      <c r="G187" s="421" t="str">
        <f>IF(DataH!$AB179&lt;0, NA(), IF(ISERROR(DataH!$AA179/DataH!$AB179), "", DataH!$AA179/DataH!$AB179))</f>
        <v/>
      </c>
      <c r="H187" s="419" t="str">
        <f>IF(DataH!$AC179&lt;0, NA(), IF(ISERROR(DataH!$AA179/DataH!$AC179), "", DataH!$AA179/DataH!$AC179))</f>
        <v/>
      </c>
      <c r="I187" s="420" t="str">
        <f>IF(DataH!$AD179&lt;0, NA(), IF(ISERROR(DataH!$AA179/DataH!$AD179), "", DataH!$AA179/DataH!$AD179))</f>
        <v/>
      </c>
      <c r="J187" s="216"/>
      <c r="K187" s="216"/>
      <c r="L187" s="216"/>
      <c r="M187" s="216"/>
      <c r="N187" s="216"/>
      <c r="O187" s="216"/>
      <c r="P187" s="216"/>
      <c r="Q187" s="216"/>
      <c r="R187" s="216"/>
      <c r="S187" s="216"/>
      <c r="T187" s="216"/>
      <c r="U187" s="216"/>
      <c r="V187" s="216"/>
    </row>
    <row r="188" spans="2:22" ht="15" customHeight="1">
      <c r="B188" s="322" t="str">
        <f>IF(DataH!$V180="", "", DataH!$V180)</f>
        <v/>
      </c>
      <c r="C188" s="416" t="str">
        <f>IF(DataH!$X180&lt;0, NA(), IF(ISERROR(DataH!$W180/DataH!$X180), "", DataH!$W180/DataH!$X180))</f>
        <v/>
      </c>
      <c r="D188" s="416" t="str">
        <f>IF(DataH!$Y180&lt;0, NA(), IF(ISERROR(DataH!$W180/DataH!$Y180), "", DataH!$W180/DataH!$Y180))</f>
        <v/>
      </c>
      <c r="E188" s="417" t="str">
        <f>IF(DataH!$Z180&lt;0, NA(), IF(ISERROR(DataH!$W180/DataH!$Z180), "", DataH!$W180/DataH!$Z180))</f>
        <v/>
      </c>
      <c r="G188" s="418" t="str">
        <f>IF(DataH!$AB180&lt;0, NA(), IF(ISERROR(DataH!$AA180/DataH!$AB180), "", DataH!$AA180/DataH!$AB180))</f>
        <v/>
      </c>
      <c r="H188" s="416" t="str">
        <f>IF(DataH!$AC180&lt;0, NA(), IF(ISERROR(DataH!$AA180/DataH!$AC180), "", DataH!$AA180/DataH!$AC180))</f>
        <v/>
      </c>
      <c r="I188" s="417" t="str">
        <f>IF(DataH!$AD180&lt;0, NA(), IF(ISERROR(DataH!$AA180/DataH!$AD180), "", DataH!$AA180/DataH!$AD180))</f>
        <v/>
      </c>
      <c r="J188" s="216"/>
      <c r="K188" s="216"/>
      <c r="L188" s="216"/>
      <c r="M188" s="216"/>
      <c r="N188" s="216"/>
      <c r="O188" s="216"/>
      <c r="P188" s="216"/>
      <c r="Q188" s="216"/>
      <c r="R188" s="216"/>
      <c r="S188" s="216"/>
      <c r="T188" s="216"/>
      <c r="U188" s="216"/>
      <c r="V188" s="216"/>
    </row>
    <row r="189" spans="2:22" ht="15" customHeight="1">
      <c r="B189" s="318" t="str">
        <f>IF(DataH!$V181="", "", DataH!$V181)</f>
        <v/>
      </c>
      <c r="C189" s="419" t="str">
        <f>IF(DataH!$X181&lt;0, NA(), IF(ISERROR(DataH!$W181/DataH!$X181), "", DataH!$W181/DataH!$X181))</f>
        <v/>
      </c>
      <c r="D189" s="419" t="str">
        <f>IF(DataH!$Y181&lt;0, NA(), IF(ISERROR(DataH!$W181/DataH!$Y181), "", DataH!$W181/DataH!$Y181))</f>
        <v/>
      </c>
      <c r="E189" s="420" t="str">
        <f>IF(DataH!$Z181&lt;0, NA(), IF(ISERROR(DataH!$W181/DataH!$Z181), "", DataH!$W181/DataH!$Z181))</f>
        <v/>
      </c>
      <c r="G189" s="421" t="str">
        <f>IF(DataH!$AB181&lt;0, NA(), IF(ISERROR(DataH!$AA181/DataH!$AB181), "", DataH!$AA181/DataH!$AB181))</f>
        <v/>
      </c>
      <c r="H189" s="419" t="str">
        <f>IF(DataH!$AC181&lt;0, NA(), IF(ISERROR(DataH!$AA181/DataH!$AC181), "", DataH!$AA181/DataH!$AC181))</f>
        <v/>
      </c>
      <c r="I189" s="420" t="str">
        <f>IF(DataH!$AD181&lt;0, NA(), IF(ISERROR(DataH!$AA181/DataH!$AD181), "", DataH!$AA181/DataH!$AD181))</f>
        <v/>
      </c>
      <c r="J189" s="216"/>
      <c r="K189" s="216"/>
      <c r="L189" s="216"/>
      <c r="M189" s="216"/>
      <c r="N189" s="216"/>
      <c r="O189" s="216"/>
      <c r="P189" s="216"/>
      <c r="Q189" s="216"/>
      <c r="R189" s="216"/>
      <c r="S189" s="216"/>
      <c r="T189" s="216"/>
      <c r="U189" s="216"/>
      <c r="V189" s="216"/>
    </row>
    <row r="190" spans="2:22" ht="15" customHeight="1">
      <c r="B190" s="322" t="str">
        <f>IF(DataH!$V182="", "", DataH!$V182)</f>
        <v/>
      </c>
      <c r="C190" s="416" t="str">
        <f>IF(DataH!$X182&lt;0, NA(), IF(ISERROR(DataH!$W182/DataH!$X182), "", DataH!$W182/DataH!$X182))</f>
        <v/>
      </c>
      <c r="D190" s="416" t="str">
        <f>IF(DataH!$Y182&lt;0, NA(), IF(ISERROR(DataH!$W182/DataH!$Y182), "", DataH!$W182/DataH!$Y182))</f>
        <v/>
      </c>
      <c r="E190" s="417" t="str">
        <f>IF(DataH!$Z182&lt;0, NA(), IF(ISERROR(DataH!$W182/DataH!$Z182), "", DataH!$W182/DataH!$Z182))</f>
        <v/>
      </c>
      <c r="G190" s="418" t="str">
        <f>IF(DataH!$AB182&lt;0, NA(), IF(ISERROR(DataH!$AA182/DataH!$AB182), "", DataH!$AA182/DataH!$AB182))</f>
        <v/>
      </c>
      <c r="H190" s="416" t="str">
        <f>IF(DataH!$AC182&lt;0, NA(), IF(ISERROR(DataH!$AA182/DataH!$AC182), "", DataH!$AA182/DataH!$AC182))</f>
        <v/>
      </c>
      <c r="I190" s="417" t="str">
        <f>IF(DataH!$AD182&lt;0, NA(), IF(ISERROR(DataH!$AA182/DataH!$AD182), "", DataH!$AA182/DataH!$AD182))</f>
        <v/>
      </c>
      <c r="J190" s="216"/>
      <c r="K190" s="216"/>
      <c r="L190" s="216"/>
      <c r="M190" s="216"/>
      <c r="N190" s="216"/>
      <c r="O190" s="216"/>
      <c r="P190" s="216"/>
      <c r="Q190" s="216"/>
      <c r="R190" s="216"/>
      <c r="S190" s="216"/>
      <c r="T190" s="216"/>
      <c r="U190" s="216"/>
      <c r="V190" s="216"/>
    </row>
    <row r="191" spans="2:22" ht="15" customHeight="1">
      <c r="B191" s="318" t="str">
        <f>IF(DataH!$V183="", "", DataH!$V183)</f>
        <v/>
      </c>
      <c r="C191" s="419" t="str">
        <f>IF(DataH!$X183&lt;0, NA(), IF(ISERROR(DataH!$W183/DataH!$X183), "", DataH!$W183/DataH!$X183))</f>
        <v/>
      </c>
      <c r="D191" s="419" t="str">
        <f>IF(DataH!$Y183&lt;0, NA(), IF(ISERROR(DataH!$W183/DataH!$Y183), "", DataH!$W183/DataH!$Y183))</f>
        <v/>
      </c>
      <c r="E191" s="420" t="str">
        <f>IF(DataH!$Z183&lt;0, NA(), IF(ISERROR(DataH!$W183/DataH!$Z183), "", DataH!$W183/DataH!$Z183))</f>
        <v/>
      </c>
      <c r="G191" s="421" t="str">
        <f>IF(DataH!$AB183&lt;0, NA(), IF(ISERROR(DataH!$AA183/DataH!$AB183), "", DataH!$AA183/DataH!$AB183))</f>
        <v/>
      </c>
      <c r="H191" s="419" t="str">
        <f>IF(DataH!$AC183&lt;0, NA(), IF(ISERROR(DataH!$AA183/DataH!$AC183), "", DataH!$AA183/DataH!$AC183))</f>
        <v/>
      </c>
      <c r="I191" s="420" t="str">
        <f>IF(DataH!$AD183&lt;0, NA(), IF(ISERROR(DataH!$AA183/DataH!$AD183), "", DataH!$AA183/DataH!$AD183))</f>
        <v/>
      </c>
      <c r="J191" s="216"/>
      <c r="K191" s="216"/>
      <c r="L191" s="216"/>
      <c r="M191" s="216"/>
      <c r="N191" s="216"/>
      <c r="O191" s="216"/>
      <c r="P191" s="216"/>
      <c r="Q191" s="216"/>
      <c r="R191" s="216"/>
      <c r="S191" s="216"/>
      <c r="T191" s="216"/>
      <c r="U191" s="216"/>
      <c r="V191" s="216"/>
    </row>
    <row r="192" spans="2:22" ht="15" customHeight="1">
      <c r="B192" s="322" t="str">
        <f>IF(DataH!$V184="", "", DataH!$V184)</f>
        <v/>
      </c>
      <c r="C192" s="416" t="str">
        <f>IF(DataH!$X184&lt;0, NA(), IF(ISERROR(DataH!$W184/DataH!$X184), "", DataH!$W184/DataH!$X184))</f>
        <v/>
      </c>
      <c r="D192" s="416" t="str">
        <f>IF(DataH!$Y184&lt;0, NA(), IF(ISERROR(DataH!$W184/DataH!$Y184), "", DataH!$W184/DataH!$Y184))</f>
        <v/>
      </c>
      <c r="E192" s="417" t="str">
        <f>IF(DataH!$Z184&lt;0, NA(), IF(ISERROR(DataH!$W184/DataH!$Z184), "", DataH!$W184/DataH!$Z184))</f>
        <v/>
      </c>
      <c r="G192" s="418" t="str">
        <f>IF(DataH!$AB184&lt;0, NA(), IF(ISERROR(DataH!$AA184/DataH!$AB184), "", DataH!$AA184/DataH!$AB184))</f>
        <v/>
      </c>
      <c r="H192" s="416" t="str">
        <f>IF(DataH!$AC184&lt;0, NA(), IF(ISERROR(DataH!$AA184/DataH!$AC184), "", DataH!$AA184/DataH!$AC184))</f>
        <v/>
      </c>
      <c r="I192" s="417" t="str">
        <f>IF(DataH!$AD184&lt;0, NA(), IF(ISERROR(DataH!$AA184/DataH!$AD184), "", DataH!$AA184/DataH!$AD184))</f>
        <v/>
      </c>
      <c r="J192" s="216"/>
      <c r="K192" s="216"/>
      <c r="L192" s="216"/>
      <c r="M192" s="216"/>
      <c r="N192" s="216"/>
      <c r="O192" s="216"/>
      <c r="P192" s="216"/>
      <c r="Q192" s="216"/>
      <c r="R192" s="216"/>
      <c r="S192" s="216"/>
      <c r="T192" s="216"/>
      <c r="U192" s="216"/>
      <c r="V192" s="216"/>
    </row>
    <row r="193" spans="2:22" ht="15" customHeight="1">
      <c r="B193" s="318" t="str">
        <f>IF(DataH!$V185="", "", DataH!$V185)</f>
        <v/>
      </c>
      <c r="C193" s="419" t="str">
        <f>IF(DataH!$X185&lt;0, NA(), IF(ISERROR(DataH!$W185/DataH!$X185), "", DataH!$W185/DataH!$X185))</f>
        <v/>
      </c>
      <c r="D193" s="419" t="str">
        <f>IF(DataH!$Y185&lt;0, NA(), IF(ISERROR(DataH!$W185/DataH!$Y185), "", DataH!$W185/DataH!$Y185))</f>
        <v/>
      </c>
      <c r="E193" s="420" t="str">
        <f>IF(DataH!$Z185&lt;0, NA(), IF(ISERROR(DataH!$W185/DataH!$Z185), "", DataH!$W185/DataH!$Z185))</f>
        <v/>
      </c>
      <c r="G193" s="421" t="str">
        <f>IF(DataH!$AB185&lt;0, NA(), IF(ISERROR(DataH!$AA185/DataH!$AB185), "", DataH!$AA185/DataH!$AB185))</f>
        <v/>
      </c>
      <c r="H193" s="419" t="str">
        <f>IF(DataH!$AC185&lt;0, NA(), IF(ISERROR(DataH!$AA185/DataH!$AC185), "", DataH!$AA185/DataH!$AC185))</f>
        <v/>
      </c>
      <c r="I193" s="420" t="str">
        <f>IF(DataH!$AD185&lt;0, NA(), IF(ISERROR(DataH!$AA185/DataH!$AD185), "", DataH!$AA185/DataH!$AD185))</f>
        <v/>
      </c>
      <c r="J193" s="216"/>
      <c r="K193" s="216"/>
      <c r="L193" s="216"/>
      <c r="M193" s="216"/>
      <c r="N193" s="216"/>
      <c r="O193" s="216"/>
      <c r="P193" s="216"/>
      <c r="Q193" s="216"/>
      <c r="R193" s="216"/>
      <c r="S193" s="216"/>
      <c r="T193" s="216"/>
      <c r="U193" s="216"/>
      <c r="V193" s="216"/>
    </row>
    <row r="194" spans="2:22" ht="15" customHeight="1">
      <c r="B194" s="322" t="str">
        <f>IF(DataH!$V186="", "", DataH!$V186)</f>
        <v/>
      </c>
      <c r="C194" s="416" t="str">
        <f>IF(DataH!$X186&lt;0, NA(), IF(ISERROR(DataH!$W186/DataH!$X186), "", DataH!$W186/DataH!$X186))</f>
        <v/>
      </c>
      <c r="D194" s="416" t="str">
        <f>IF(DataH!$Y186&lt;0, NA(), IF(ISERROR(DataH!$W186/DataH!$Y186), "", DataH!$W186/DataH!$Y186))</f>
        <v/>
      </c>
      <c r="E194" s="417" t="str">
        <f>IF(DataH!$Z186&lt;0, NA(), IF(ISERROR(DataH!$W186/DataH!$Z186), "", DataH!$W186/DataH!$Z186))</f>
        <v/>
      </c>
      <c r="G194" s="418" t="str">
        <f>IF(DataH!$AB186&lt;0, NA(), IF(ISERROR(DataH!$AA186/DataH!$AB186), "", DataH!$AA186/DataH!$AB186))</f>
        <v/>
      </c>
      <c r="H194" s="416" t="str">
        <f>IF(DataH!$AC186&lt;0, NA(), IF(ISERROR(DataH!$AA186/DataH!$AC186), "", DataH!$AA186/DataH!$AC186))</f>
        <v/>
      </c>
      <c r="I194" s="417" t="str">
        <f>IF(DataH!$AD186&lt;0, NA(), IF(ISERROR(DataH!$AA186/DataH!$AD186), "", DataH!$AA186/DataH!$AD186))</f>
        <v/>
      </c>
      <c r="J194" s="216"/>
      <c r="K194" s="216"/>
      <c r="L194" s="216"/>
      <c r="M194" s="216"/>
      <c r="N194" s="216"/>
      <c r="O194" s="216"/>
      <c r="P194" s="216"/>
      <c r="Q194" s="216"/>
      <c r="R194" s="216"/>
      <c r="S194" s="216"/>
      <c r="T194" s="216"/>
      <c r="U194" s="216"/>
      <c r="V194" s="216"/>
    </row>
    <row r="195" spans="2:22" ht="15" customHeight="1">
      <c r="B195" s="318" t="str">
        <f>IF(DataH!$V187="", "", DataH!$V187)</f>
        <v/>
      </c>
      <c r="C195" s="419" t="str">
        <f>IF(DataH!$X187&lt;0, NA(), IF(ISERROR(DataH!$W187/DataH!$X187), "", DataH!$W187/DataH!$X187))</f>
        <v/>
      </c>
      <c r="D195" s="419" t="str">
        <f>IF(DataH!$Y187&lt;0, NA(), IF(ISERROR(DataH!$W187/DataH!$Y187), "", DataH!$W187/DataH!$Y187))</f>
        <v/>
      </c>
      <c r="E195" s="420" t="str">
        <f>IF(DataH!$Z187&lt;0, NA(), IF(ISERROR(DataH!$W187/DataH!$Z187), "", DataH!$W187/DataH!$Z187))</f>
        <v/>
      </c>
      <c r="G195" s="421" t="str">
        <f>IF(DataH!$AB187&lt;0, NA(), IF(ISERROR(DataH!$AA187/DataH!$AB187), "", DataH!$AA187/DataH!$AB187))</f>
        <v/>
      </c>
      <c r="H195" s="419" t="str">
        <f>IF(DataH!$AC187&lt;0, NA(), IF(ISERROR(DataH!$AA187/DataH!$AC187), "", DataH!$AA187/DataH!$AC187))</f>
        <v/>
      </c>
      <c r="I195" s="420" t="str">
        <f>IF(DataH!$AD187&lt;0, NA(), IF(ISERROR(DataH!$AA187/DataH!$AD187), "", DataH!$AA187/DataH!$AD187))</f>
        <v/>
      </c>
      <c r="J195" s="216"/>
      <c r="K195" s="216"/>
      <c r="L195" s="216"/>
      <c r="M195" s="216"/>
      <c r="N195" s="216"/>
      <c r="O195" s="216"/>
      <c r="P195" s="216"/>
      <c r="Q195" s="216"/>
      <c r="R195" s="216"/>
      <c r="S195" s="216"/>
      <c r="T195" s="216"/>
      <c r="U195" s="216"/>
      <c r="V195" s="216"/>
    </row>
    <row r="196" spans="2:22" ht="15" customHeight="1">
      <c r="B196" s="322" t="str">
        <f>IF(DataH!$V188="", "", DataH!$V188)</f>
        <v/>
      </c>
      <c r="C196" s="416" t="str">
        <f>IF(DataH!$X188&lt;0, NA(), IF(ISERROR(DataH!$W188/DataH!$X188), "", DataH!$W188/DataH!$X188))</f>
        <v/>
      </c>
      <c r="D196" s="416" t="str">
        <f>IF(DataH!$Y188&lt;0, NA(), IF(ISERROR(DataH!$W188/DataH!$Y188), "", DataH!$W188/DataH!$Y188))</f>
        <v/>
      </c>
      <c r="E196" s="417" t="str">
        <f>IF(DataH!$Z188&lt;0, NA(), IF(ISERROR(DataH!$W188/DataH!$Z188), "", DataH!$W188/DataH!$Z188))</f>
        <v/>
      </c>
      <c r="G196" s="418" t="str">
        <f>IF(DataH!$AB188&lt;0, NA(), IF(ISERROR(DataH!$AA188/DataH!$AB188), "", DataH!$AA188/DataH!$AB188))</f>
        <v/>
      </c>
      <c r="H196" s="416" t="str">
        <f>IF(DataH!$AC188&lt;0, NA(), IF(ISERROR(DataH!$AA188/DataH!$AC188), "", DataH!$AA188/DataH!$AC188))</f>
        <v/>
      </c>
      <c r="I196" s="417" t="str">
        <f>IF(DataH!$AD188&lt;0, NA(), IF(ISERROR(DataH!$AA188/DataH!$AD188), "", DataH!$AA188/DataH!$AD188))</f>
        <v/>
      </c>
      <c r="J196" s="216"/>
      <c r="K196" s="216"/>
      <c r="L196" s="216"/>
      <c r="M196" s="216"/>
      <c r="N196" s="216"/>
      <c r="O196" s="216"/>
      <c r="P196" s="216"/>
      <c r="Q196" s="216"/>
      <c r="R196" s="216"/>
      <c r="S196" s="216"/>
      <c r="T196" s="216"/>
      <c r="U196" s="216"/>
      <c r="V196" s="216"/>
    </row>
    <row r="197" spans="2:22" ht="15" customHeight="1">
      <c r="B197" s="318" t="str">
        <f>IF(DataH!$V189="", "", DataH!$V189)</f>
        <v/>
      </c>
      <c r="C197" s="419" t="str">
        <f>IF(DataH!$X189&lt;0, NA(), IF(ISERROR(DataH!$W189/DataH!$X189), "", DataH!$W189/DataH!$X189))</f>
        <v/>
      </c>
      <c r="D197" s="419" t="str">
        <f>IF(DataH!$Y189&lt;0, NA(), IF(ISERROR(DataH!$W189/DataH!$Y189), "", DataH!$W189/DataH!$Y189))</f>
        <v/>
      </c>
      <c r="E197" s="420" t="str">
        <f>IF(DataH!$Z189&lt;0, NA(), IF(ISERROR(DataH!$W189/DataH!$Z189), "", DataH!$W189/DataH!$Z189))</f>
        <v/>
      </c>
      <c r="G197" s="421" t="str">
        <f>IF(DataH!$AB189&lt;0, NA(), IF(ISERROR(DataH!$AA189/DataH!$AB189), "", DataH!$AA189/DataH!$AB189))</f>
        <v/>
      </c>
      <c r="H197" s="419" t="str">
        <f>IF(DataH!$AC189&lt;0, NA(), IF(ISERROR(DataH!$AA189/DataH!$AC189), "", DataH!$AA189/DataH!$AC189))</f>
        <v/>
      </c>
      <c r="I197" s="420" t="str">
        <f>IF(DataH!$AD189&lt;0, NA(), IF(ISERROR(DataH!$AA189/DataH!$AD189), "", DataH!$AA189/DataH!$AD189))</f>
        <v/>
      </c>
      <c r="J197" s="216"/>
      <c r="K197" s="216"/>
      <c r="L197" s="216"/>
      <c r="M197" s="216"/>
      <c r="N197" s="216"/>
      <c r="O197" s="216"/>
      <c r="P197" s="216"/>
      <c r="Q197" s="216"/>
      <c r="R197" s="216"/>
      <c r="S197" s="216"/>
      <c r="T197" s="216"/>
      <c r="U197" s="216"/>
      <c r="V197" s="216"/>
    </row>
    <row r="198" spans="2:22" ht="15" customHeight="1">
      <c r="B198" s="322" t="str">
        <f>IF(DataH!$V190="", "", DataH!$V190)</f>
        <v/>
      </c>
      <c r="C198" s="416" t="str">
        <f>IF(DataH!$X190&lt;0, NA(), IF(ISERROR(DataH!$W190/DataH!$X190), "", DataH!$W190/DataH!$X190))</f>
        <v/>
      </c>
      <c r="D198" s="416" t="str">
        <f>IF(DataH!$Y190&lt;0, NA(), IF(ISERROR(DataH!$W190/DataH!$Y190), "", DataH!$W190/DataH!$Y190))</f>
        <v/>
      </c>
      <c r="E198" s="417" t="str">
        <f>IF(DataH!$Z190&lt;0, NA(), IF(ISERROR(DataH!$W190/DataH!$Z190), "", DataH!$W190/DataH!$Z190))</f>
        <v/>
      </c>
      <c r="G198" s="418" t="str">
        <f>IF(DataH!$AB190&lt;0, NA(), IF(ISERROR(DataH!$AA190/DataH!$AB190), "", DataH!$AA190/DataH!$AB190))</f>
        <v/>
      </c>
      <c r="H198" s="416" t="str">
        <f>IF(DataH!$AC190&lt;0, NA(), IF(ISERROR(DataH!$AA190/DataH!$AC190), "", DataH!$AA190/DataH!$AC190))</f>
        <v/>
      </c>
      <c r="I198" s="417" t="str">
        <f>IF(DataH!$AD190&lt;0, NA(), IF(ISERROR(DataH!$AA190/DataH!$AD190), "", DataH!$AA190/DataH!$AD190))</f>
        <v/>
      </c>
      <c r="J198" s="216"/>
      <c r="K198" s="216"/>
      <c r="L198" s="216"/>
      <c r="M198" s="216"/>
      <c r="N198" s="216"/>
      <c r="O198" s="216"/>
      <c r="P198" s="216"/>
      <c r="Q198" s="216"/>
      <c r="R198" s="216"/>
      <c r="S198" s="216"/>
      <c r="T198" s="216"/>
      <c r="U198" s="216"/>
      <c r="V198" s="216"/>
    </row>
    <row r="199" spans="2:22" ht="15" customHeight="1">
      <c r="B199" s="318" t="str">
        <f>IF(DataH!$V191="", "", DataH!$V191)</f>
        <v/>
      </c>
      <c r="C199" s="419" t="str">
        <f>IF(DataH!$X191&lt;0, NA(), IF(ISERROR(DataH!$W191/DataH!$X191), "", DataH!$W191/DataH!$X191))</f>
        <v/>
      </c>
      <c r="D199" s="419" t="str">
        <f>IF(DataH!$Y191&lt;0, NA(), IF(ISERROR(DataH!$W191/DataH!$Y191), "", DataH!$W191/DataH!$Y191))</f>
        <v/>
      </c>
      <c r="E199" s="420" t="str">
        <f>IF(DataH!$Z191&lt;0, NA(), IF(ISERROR(DataH!$W191/DataH!$Z191), "", DataH!$W191/DataH!$Z191))</f>
        <v/>
      </c>
      <c r="G199" s="421" t="str">
        <f>IF(DataH!$AB191&lt;0, NA(), IF(ISERROR(DataH!$AA191/DataH!$AB191), "", DataH!$AA191/DataH!$AB191))</f>
        <v/>
      </c>
      <c r="H199" s="419" t="str">
        <f>IF(DataH!$AC191&lt;0, NA(), IF(ISERROR(DataH!$AA191/DataH!$AC191), "", DataH!$AA191/DataH!$AC191))</f>
        <v/>
      </c>
      <c r="I199" s="420" t="str">
        <f>IF(DataH!$AD191&lt;0, NA(), IF(ISERROR(DataH!$AA191/DataH!$AD191), "", DataH!$AA191/DataH!$AD191))</f>
        <v/>
      </c>
      <c r="J199" s="216"/>
      <c r="K199" s="216"/>
      <c r="L199" s="216"/>
      <c r="M199" s="216"/>
      <c r="N199" s="216"/>
      <c r="O199" s="216"/>
      <c r="P199" s="216"/>
      <c r="Q199" s="216"/>
      <c r="R199" s="216"/>
      <c r="S199" s="216"/>
      <c r="T199" s="216"/>
      <c r="U199" s="216"/>
      <c r="V199" s="216"/>
    </row>
    <row r="200" spans="2:22" ht="15" customHeight="1">
      <c r="B200" s="322" t="str">
        <f>IF(DataH!$V192="", "", DataH!$V192)</f>
        <v/>
      </c>
      <c r="C200" s="416" t="str">
        <f>IF(DataH!$X192&lt;0, NA(), IF(ISERROR(DataH!$W192/DataH!$X192), "", DataH!$W192/DataH!$X192))</f>
        <v/>
      </c>
      <c r="D200" s="416" t="str">
        <f>IF(DataH!$Y192&lt;0, NA(), IF(ISERROR(DataH!$W192/DataH!$Y192), "", DataH!$W192/DataH!$Y192))</f>
        <v/>
      </c>
      <c r="E200" s="417" t="str">
        <f>IF(DataH!$Z192&lt;0, NA(), IF(ISERROR(DataH!$W192/DataH!$Z192), "", DataH!$W192/DataH!$Z192))</f>
        <v/>
      </c>
      <c r="G200" s="418" t="str">
        <f>IF(DataH!$AB192&lt;0, NA(), IF(ISERROR(DataH!$AA192/DataH!$AB192), "", DataH!$AA192/DataH!$AB192))</f>
        <v/>
      </c>
      <c r="H200" s="416" t="str">
        <f>IF(DataH!$AC192&lt;0, NA(), IF(ISERROR(DataH!$AA192/DataH!$AC192), "", DataH!$AA192/DataH!$AC192))</f>
        <v/>
      </c>
      <c r="I200" s="417" t="str">
        <f>IF(DataH!$AD192&lt;0, NA(), IF(ISERROR(DataH!$AA192/DataH!$AD192), "", DataH!$AA192/DataH!$AD192))</f>
        <v/>
      </c>
      <c r="J200" s="216"/>
      <c r="K200" s="216"/>
      <c r="L200" s="216"/>
      <c r="M200" s="216"/>
      <c r="N200" s="216"/>
      <c r="O200" s="216"/>
      <c r="P200" s="216"/>
      <c r="Q200" s="216"/>
      <c r="R200" s="216"/>
      <c r="S200" s="216"/>
      <c r="T200" s="216"/>
      <c r="U200" s="216"/>
      <c r="V200" s="216"/>
    </row>
    <row r="201" spans="2:22" ht="15" customHeight="1">
      <c r="B201" s="318" t="str">
        <f>IF(DataH!$V193="", "", DataH!$V193)</f>
        <v/>
      </c>
      <c r="C201" s="419" t="str">
        <f>IF(DataH!$X193&lt;0, NA(), IF(ISERROR(DataH!$W193/DataH!$X193), "", DataH!$W193/DataH!$X193))</f>
        <v/>
      </c>
      <c r="D201" s="419" t="str">
        <f>IF(DataH!$Y193&lt;0, NA(), IF(ISERROR(DataH!$W193/DataH!$Y193), "", DataH!$W193/DataH!$Y193))</f>
        <v/>
      </c>
      <c r="E201" s="420" t="str">
        <f>IF(DataH!$Z193&lt;0, NA(), IF(ISERROR(DataH!$W193/DataH!$Z193), "", DataH!$W193/DataH!$Z193))</f>
        <v/>
      </c>
      <c r="G201" s="421" t="str">
        <f>IF(DataH!$AB193&lt;0, NA(), IF(ISERROR(DataH!$AA193/DataH!$AB193), "", DataH!$AA193/DataH!$AB193))</f>
        <v/>
      </c>
      <c r="H201" s="419" t="str">
        <f>IF(DataH!$AC193&lt;0, NA(), IF(ISERROR(DataH!$AA193/DataH!$AC193), "", DataH!$AA193/DataH!$AC193))</f>
        <v/>
      </c>
      <c r="I201" s="420" t="str">
        <f>IF(DataH!$AD193&lt;0, NA(), IF(ISERROR(DataH!$AA193/DataH!$AD193), "", DataH!$AA193/DataH!$AD193))</f>
        <v/>
      </c>
      <c r="J201" s="216"/>
      <c r="K201" s="216"/>
      <c r="L201" s="216"/>
      <c r="M201" s="216"/>
      <c r="N201" s="216"/>
      <c r="O201" s="216"/>
      <c r="P201" s="216"/>
      <c r="Q201" s="216"/>
      <c r="R201" s="216"/>
      <c r="S201" s="216"/>
      <c r="T201" s="216"/>
      <c r="U201" s="216"/>
      <c r="V201" s="216"/>
    </row>
    <row r="202" spans="2:22" ht="15" customHeight="1">
      <c r="B202" s="322" t="str">
        <f>IF(DataH!$V194="", "", DataH!$V194)</f>
        <v/>
      </c>
      <c r="C202" s="416" t="str">
        <f>IF(DataH!$X194&lt;0, NA(), IF(ISERROR(DataH!$W194/DataH!$X194), "", DataH!$W194/DataH!$X194))</f>
        <v/>
      </c>
      <c r="D202" s="416" t="str">
        <f>IF(DataH!$Y194&lt;0, NA(), IF(ISERROR(DataH!$W194/DataH!$Y194), "", DataH!$W194/DataH!$Y194))</f>
        <v/>
      </c>
      <c r="E202" s="417" t="str">
        <f>IF(DataH!$Z194&lt;0, NA(), IF(ISERROR(DataH!$W194/DataH!$Z194), "", DataH!$W194/DataH!$Z194))</f>
        <v/>
      </c>
      <c r="G202" s="418" t="str">
        <f>IF(DataH!$AB194&lt;0, NA(), IF(ISERROR(DataH!$AA194/DataH!$AB194), "", DataH!$AA194/DataH!$AB194))</f>
        <v/>
      </c>
      <c r="H202" s="416" t="str">
        <f>IF(DataH!$AC194&lt;0, NA(), IF(ISERROR(DataH!$AA194/DataH!$AC194), "", DataH!$AA194/DataH!$AC194))</f>
        <v/>
      </c>
      <c r="I202" s="417" t="str">
        <f>IF(DataH!$AD194&lt;0, NA(), IF(ISERROR(DataH!$AA194/DataH!$AD194), "", DataH!$AA194/DataH!$AD194))</f>
        <v/>
      </c>
      <c r="J202" s="216"/>
      <c r="K202" s="216"/>
      <c r="L202" s="216"/>
      <c r="M202" s="216"/>
      <c r="N202" s="216"/>
      <c r="O202" s="216"/>
      <c r="P202" s="216"/>
      <c r="Q202" s="216"/>
      <c r="R202" s="216"/>
      <c r="S202" s="216"/>
      <c r="T202" s="216"/>
      <c r="U202" s="216"/>
      <c r="V202" s="216"/>
    </row>
    <row r="203" spans="2:22" ht="15" customHeight="1">
      <c r="B203" s="318" t="str">
        <f>IF(DataH!$V195="", "", DataH!$V195)</f>
        <v/>
      </c>
      <c r="C203" s="419" t="str">
        <f>IF(DataH!$X195&lt;0, NA(), IF(ISERROR(DataH!$W195/DataH!$X195), "", DataH!$W195/DataH!$X195))</f>
        <v/>
      </c>
      <c r="D203" s="419" t="str">
        <f>IF(DataH!$Y195&lt;0, NA(), IF(ISERROR(DataH!$W195/DataH!$Y195), "", DataH!$W195/DataH!$Y195))</f>
        <v/>
      </c>
      <c r="E203" s="420" t="str">
        <f>IF(DataH!$Z195&lt;0, NA(), IF(ISERROR(DataH!$W195/DataH!$Z195), "", DataH!$W195/DataH!$Z195))</f>
        <v/>
      </c>
      <c r="G203" s="421" t="str">
        <f>IF(DataH!$AB195&lt;0, NA(), IF(ISERROR(DataH!$AA195/DataH!$AB195), "", DataH!$AA195/DataH!$AB195))</f>
        <v/>
      </c>
      <c r="H203" s="419" t="str">
        <f>IF(DataH!$AC195&lt;0, NA(), IF(ISERROR(DataH!$AA195/DataH!$AC195), "", DataH!$AA195/DataH!$AC195))</f>
        <v/>
      </c>
      <c r="I203" s="420" t="str">
        <f>IF(DataH!$AD195&lt;0, NA(), IF(ISERROR(DataH!$AA195/DataH!$AD195), "", DataH!$AA195/DataH!$AD195))</f>
        <v/>
      </c>
      <c r="J203" s="216"/>
      <c r="K203" s="216"/>
      <c r="L203" s="216"/>
      <c r="M203" s="216"/>
      <c r="N203" s="216"/>
      <c r="O203" s="216"/>
      <c r="P203" s="216"/>
      <c r="Q203" s="216"/>
      <c r="R203" s="216"/>
      <c r="S203" s="216"/>
      <c r="T203" s="216"/>
      <c r="U203" s="216"/>
      <c r="V203" s="216"/>
    </row>
    <row r="204" spans="2:22" ht="15" customHeight="1">
      <c r="B204" s="322" t="str">
        <f>IF(DataH!$V196="", "", DataH!$V196)</f>
        <v/>
      </c>
      <c r="C204" s="416" t="str">
        <f>IF(DataH!$X196&lt;0, NA(), IF(ISERROR(DataH!$W196/DataH!$X196), "", DataH!$W196/DataH!$X196))</f>
        <v/>
      </c>
      <c r="D204" s="416" t="str">
        <f>IF(DataH!$Y196&lt;0, NA(), IF(ISERROR(DataH!$W196/DataH!$Y196), "", DataH!$W196/DataH!$Y196))</f>
        <v/>
      </c>
      <c r="E204" s="417" t="str">
        <f>IF(DataH!$Z196&lt;0, NA(), IF(ISERROR(DataH!$W196/DataH!$Z196), "", DataH!$W196/DataH!$Z196))</f>
        <v/>
      </c>
      <c r="G204" s="418" t="str">
        <f>IF(DataH!$AB196&lt;0, NA(), IF(ISERROR(DataH!$AA196/DataH!$AB196), "", DataH!$AA196/DataH!$AB196))</f>
        <v/>
      </c>
      <c r="H204" s="416" t="str">
        <f>IF(DataH!$AC196&lt;0, NA(), IF(ISERROR(DataH!$AA196/DataH!$AC196), "", DataH!$AA196/DataH!$AC196))</f>
        <v/>
      </c>
      <c r="I204" s="417" t="str">
        <f>IF(DataH!$AD196&lt;0, NA(), IF(ISERROR(DataH!$AA196/DataH!$AD196), "", DataH!$AA196/DataH!$AD196))</f>
        <v/>
      </c>
      <c r="J204" s="216"/>
      <c r="K204" s="216"/>
      <c r="L204" s="216"/>
      <c r="M204" s="216"/>
      <c r="N204" s="216"/>
      <c r="O204" s="216"/>
      <c r="P204" s="216"/>
      <c r="Q204" s="216"/>
      <c r="R204" s="216"/>
      <c r="S204" s="216"/>
      <c r="T204" s="216"/>
      <c r="U204" s="216"/>
      <c r="V204" s="216"/>
    </row>
    <row r="205" spans="2:22" ht="15" customHeight="1">
      <c r="B205" s="318" t="str">
        <f>IF(DataH!$V197="", "", DataH!$V197)</f>
        <v/>
      </c>
      <c r="C205" s="419" t="str">
        <f>IF(DataH!$X197&lt;0, NA(), IF(ISERROR(DataH!$W197/DataH!$X197), "", DataH!$W197/DataH!$X197))</f>
        <v/>
      </c>
      <c r="D205" s="419" t="str">
        <f>IF(DataH!$Y197&lt;0, NA(), IF(ISERROR(DataH!$W197/DataH!$Y197), "", DataH!$W197/DataH!$Y197))</f>
        <v/>
      </c>
      <c r="E205" s="420" t="str">
        <f>IF(DataH!$Z197&lt;0, NA(), IF(ISERROR(DataH!$W197/DataH!$Z197), "", DataH!$W197/DataH!$Z197))</f>
        <v/>
      </c>
      <c r="G205" s="421" t="str">
        <f>IF(DataH!$AB197&lt;0, NA(), IF(ISERROR(DataH!$AA197/DataH!$AB197), "", DataH!$AA197/DataH!$AB197))</f>
        <v/>
      </c>
      <c r="H205" s="419" t="str">
        <f>IF(DataH!$AC197&lt;0, NA(), IF(ISERROR(DataH!$AA197/DataH!$AC197), "", DataH!$AA197/DataH!$AC197))</f>
        <v/>
      </c>
      <c r="I205" s="420" t="str">
        <f>IF(DataH!$AD197&lt;0, NA(), IF(ISERROR(DataH!$AA197/DataH!$AD197), "", DataH!$AA197/DataH!$AD197))</f>
        <v/>
      </c>
      <c r="J205" s="216"/>
      <c r="K205" s="216"/>
      <c r="L205" s="216"/>
      <c r="M205" s="216"/>
      <c r="N205" s="216"/>
      <c r="O205" s="216"/>
      <c r="P205" s="216"/>
      <c r="Q205" s="216"/>
      <c r="R205" s="216"/>
      <c r="S205" s="216"/>
      <c r="T205" s="216"/>
      <c r="U205" s="216"/>
      <c r="V205" s="216"/>
    </row>
    <row r="206" spans="2:22" ht="15" customHeight="1">
      <c r="B206" s="322" t="str">
        <f>IF(DataH!$V198="", "", DataH!$V198)</f>
        <v/>
      </c>
      <c r="C206" s="416" t="str">
        <f>IF(DataH!$X198&lt;0, NA(), IF(ISERROR(DataH!$W198/DataH!$X198), "", DataH!$W198/DataH!$X198))</f>
        <v/>
      </c>
      <c r="D206" s="416" t="str">
        <f>IF(DataH!$Y198&lt;0, NA(), IF(ISERROR(DataH!$W198/DataH!$Y198), "", DataH!$W198/DataH!$Y198))</f>
        <v/>
      </c>
      <c r="E206" s="417" t="str">
        <f>IF(DataH!$Z198&lt;0, NA(), IF(ISERROR(DataH!$W198/DataH!$Z198), "", DataH!$W198/DataH!$Z198))</f>
        <v/>
      </c>
      <c r="G206" s="418" t="str">
        <f>IF(DataH!$AB198&lt;0, NA(), IF(ISERROR(DataH!$AA198/DataH!$AB198), "", DataH!$AA198/DataH!$AB198))</f>
        <v/>
      </c>
      <c r="H206" s="416" t="str">
        <f>IF(DataH!$AC198&lt;0, NA(), IF(ISERROR(DataH!$AA198/DataH!$AC198), "", DataH!$AA198/DataH!$AC198))</f>
        <v/>
      </c>
      <c r="I206" s="417" t="str">
        <f>IF(DataH!$AD198&lt;0, NA(), IF(ISERROR(DataH!$AA198/DataH!$AD198), "", DataH!$AA198/DataH!$AD198))</f>
        <v/>
      </c>
      <c r="J206" s="216"/>
      <c r="K206" s="216"/>
      <c r="L206" s="216"/>
      <c r="M206" s="216"/>
      <c r="N206" s="216"/>
      <c r="O206" s="216"/>
      <c r="P206" s="216"/>
      <c r="Q206" s="216"/>
      <c r="R206" s="216"/>
      <c r="S206" s="216"/>
      <c r="T206" s="216"/>
      <c r="U206" s="216"/>
      <c r="V206" s="216"/>
    </row>
    <row r="207" spans="2:22" ht="15" customHeight="1">
      <c r="B207" s="318" t="str">
        <f>IF(DataH!$V199="", "", DataH!$V199)</f>
        <v/>
      </c>
      <c r="C207" s="419" t="str">
        <f>IF(DataH!$X199&lt;0, NA(), IF(ISERROR(DataH!$W199/DataH!$X199), "", DataH!$W199/DataH!$X199))</f>
        <v/>
      </c>
      <c r="D207" s="419" t="str">
        <f>IF(DataH!$Y199&lt;0, NA(), IF(ISERROR(DataH!$W199/DataH!$Y199), "", DataH!$W199/DataH!$Y199))</f>
        <v/>
      </c>
      <c r="E207" s="420" t="str">
        <f>IF(DataH!$Z199&lt;0, NA(), IF(ISERROR(DataH!$W199/DataH!$Z199), "", DataH!$W199/DataH!$Z199))</f>
        <v/>
      </c>
      <c r="G207" s="421" t="str">
        <f>IF(DataH!$AB199&lt;0, NA(), IF(ISERROR(DataH!$AA199/DataH!$AB199), "", DataH!$AA199/DataH!$AB199))</f>
        <v/>
      </c>
      <c r="H207" s="419" t="str">
        <f>IF(DataH!$AC199&lt;0, NA(), IF(ISERROR(DataH!$AA199/DataH!$AC199), "", DataH!$AA199/DataH!$AC199))</f>
        <v/>
      </c>
      <c r="I207" s="420" t="str">
        <f>IF(DataH!$AD199&lt;0, NA(), IF(ISERROR(DataH!$AA199/DataH!$AD199), "", DataH!$AA199/DataH!$AD199))</f>
        <v/>
      </c>
      <c r="J207" s="216"/>
      <c r="K207" s="216"/>
      <c r="L207" s="216"/>
      <c r="M207" s="216"/>
      <c r="N207" s="216"/>
      <c r="O207" s="216"/>
      <c r="P207" s="216"/>
      <c r="Q207" s="216"/>
      <c r="R207" s="216"/>
      <c r="S207" s="216"/>
      <c r="T207" s="216"/>
      <c r="U207" s="216"/>
      <c r="V207" s="216"/>
    </row>
    <row r="208" spans="2:22" ht="15" customHeight="1">
      <c r="B208" s="322" t="str">
        <f>IF(DataH!$V200="", "", DataH!$V200)</f>
        <v/>
      </c>
      <c r="C208" s="416" t="str">
        <f>IF(DataH!$X200&lt;0, NA(), IF(ISERROR(DataH!$W200/DataH!$X200), "", DataH!$W200/DataH!$X200))</f>
        <v/>
      </c>
      <c r="D208" s="416" t="str">
        <f>IF(DataH!$Y200&lt;0, NA(), IF(ISERROR(DataH!$W200/DataH!$Y200), "", DataH!$W200/DataH!$Y200))</f>
        <v/>
      </c>
      <c r="E208" s="417" t="str">
        <f>IF(DataH!$Z200&lt;0, NA(), IF(ISERROR(DataH!$W200/DataH!$Z200), "", DataH!$W200/DataH!$Z200))</f>
        <v/>
      </c>
      <c r="G208" s="418" t="str">
        <f>IF(DataH!$AB200&lt;0, NA(), IF(ISERROR(DataH!$AA200/DataH!$AB200), "", DataH!$AA200/DataH!$AB200))</f>
        <v/>
      </c>
      <c r="H208" s="416" t="str">
        <f>IF(DataH!$AC200&lt;0, NA(), IF(ISERROR(DataH!$AA200/DataH!$AC200), "", DataH!$AA200/DataH!$AC200))</f>
        <v/>
      </c>
      <c r="I208" s="417" t="str">
        <f>IF(DataH!$AD200&lt;0, NA(), IF(ISERROR(DataH!$AA200/DataH!$AD200), "", DataH!$AA200/DataH!$AD200))</f>
        <v/>
      </c>
      <c r="J208" s="216"/>
      <c r="K208" s="216"/>
      <c r="L208" s="216"/>
      <c r="M208" s="216"/>
      <c r="N208" s="216"/>
      <c r="O208" s="216"/>
      <c r="P208" s="216"/>
      <c r="Q208" s="216"/>
      <c r="R208" s="216"/>
      <c r="S208" s="216"/>
      <c r="T208" s="216"/>
      <c r="U208" s="216"/>
      <c r="V208" s="216"/>
    </row>
    <row r="209" spans="2:22" ht="15" customHeight="1">
      <c r="B209" s="318" t="str">
        <f>IF(DataH!$V201="", "", DataH!$V201)</f>
        <v/>
      </c>
      <c r="C209" s="419" t="str">
        <f>IF(DataH!$X201&lt;0, NA(), IF(ISERROR(DataH!$W201/DataH!$X201), "", DataH!$W201/DataH!$X201))</f>
        <v/>
      </c>
      <c r="D209" s="419" t="str">
        <f>IF(DataH!$Y201&lt;0, NA(), IF(ISERROR(DataH!$W201/DataH!$Y201), "", DataH!$W201/DataH!$Y201))</f>
        <v/>
      </c>
      <c r="E209" s="420" t="str">
        <f>IF(DataH!$Z201&lt;0, NA(), IF(ISERROR(DataH!$W201/DataH!$Z201), "", DataH!$W201/DataH!$Z201))</f>
        <v/>
      </c>
      <c r="G209" s="421" t="str">
        <f>IF(DataH!$AB201&lt;0, NA(), IF(ISERROR(DataH!$AA201/DataH!$AB201), "", DataH!$AA201/DataH!$AB201))</f>
        <v/>
      </c>
      <c r="H209" s="419" t="str">
        <f>IF(DataH!$AC201&lt;0, NA(), IF(ISERROR(DataH!$AA201/DataH!$AC201), "", DataH!$AA201/DataH!$AC201))</f>
        <v/>
      </c>
      <c r="I209" s="420" t="str">
        <f>IF(DataH!$AD201&lt;0, NA(), IF(ISERROR(DataH!$AA201/DataH!$AD201), "", DataH!$AA201/DataH!$AD201))</f>
        <v/>
      </c>
      <c r="J209" s="216"/>
      <c r="K209" s="216"/>
      <c r="L209" s="216"/>
      <c r="M209" s="216"/>
      <c r="N209" s="216"/>
      <c r="O209" s="216"/>
      <c r="P209" s="216"/>
      <c r="Q209" s="216"/>
      <c r="R209" s="216"/>
      <c r="S209" s="216"/>
      <c r="T209" s="216"/>
      <c r="U209" s="216"/>
      <c r="V209" s="216"/>
    </row>
    <row r="210" spans="2:22" ht="15" customHeight="1">
      <c r="B210" s="322" t="str">
        <f>IF(DataH!$V202="", "", DataH!$V202)</f>
        <v/>
      </c>
      <c r="C210" s="416" t="str">
        <f>IF(DataH!$X202&lt;0, NA(), IF(ISERROR(DataH!$W202/DataH!$X202), "", DataH!$W202/DataH!$X202))</f>
        <v/>
      </c>
      <c r="D210" s="416" t="str">
        <f>IF(DataH!$Y202&lt;0, NA(), IF(ISERROR(DataH!$W202/DataH!$Y202), "", DataH!$W202/DataH!$Y202))</f>
        <v/>
      </c>
      <c r="E210" s="417" t="str">
        <f>IF(DataH!$Z202&lt;0, NA(), IF(ISERROR(DataH!$W202/DataH!$Z202), "", DataH!$W202/DataH!$Z202))</f>
        <v/>
      </c>
      <c r="G210" s="418" t="str">
        <f>IF(DataH!$AB202&lt;0, NA(), IF(ISERROR(DataH!$AA202/DataH!$AB202), "", DataH!$AA202/DataH!$AB202))</f>
        <v/>
      </c>
      <c r="H210" s="416" t="str">
        <f>IF(DataH!$AC202&lt;0, NA(), IF(ISERROR(DataH!$AA202/DataH!$AC202), "", DataH!$AA202/DataH!$AC202))</f>
        <v/>
      </c>
      <c r="I210" s="417" t="str">
        <f>IF(DataH!$AD202&lt;0, NA(), IF(ISERROR(DataH!$AA202/DataH!$AD202), "", DataH!$AA202/DataH!$AD202))</f>
        <v/>
      </c>
      <c r="J210" s="216"/>
      <c r="K210" s="216"/>
      <c r="L210" s="216"/>
      <c r="M210" s="216"/>
      <c r="N210" s="216"/>
      <c r="O210" s="216"/>
      <c r="P210" s="216"/>
      <c r="Q210" s="216"/>
      <c r="R210" s="216"/>
      <c r="S210" s="216"/>
      <c r="T210" s="216"/>
      <c r="U210" s="216"/>
      <c r="V210" s="216"/>
    </row>
    <row r="211" spans="2:22" ht="15" customHeight="1">
      <c r="B211" s="318" t="str">
        <f>IF(DataH!$V203="", "", DataH!$V203)</f>
        <v/>
      </c>
      <c r="C211" s="419" t="str">
        <f>IF(DataH!$X203&lt;0, NA(), IF(ISERROR(DataH!$W203/DataH!$X203), "", DataH!$W203/DataH!$X203))</f>
        <v/>
      </c>
      <c r="D211" s="419" t="str">
        <f>IF(DataH!$Y203&lt;0, NA(), IF(ISERROR(DataH!$W203/DataH!$Y203), "", DataH!$W203/DataH!$Y203))</f>
        <v/>
      </c>
      <c r="E211" s="420" t="str">
        <f>IF(DataH!$Z203&lt;0, NA(), IF(ISERROR(DataH!$W203/DataH!$Z203), "", DataH!$W203/DataH!$Z203))</f>
        <v/>
      </c>
      <c r="G211" s="421" t="str">
        <f>IF(DataH!$AB203&lt;0, NA(), IF(ISERROR(DataH!$AA203/DataH!$AB203), "", DataH!$AA203/DataH!$AB203))</f>
        <v/>
      </c>
      <c r="H211" s="419" t="str">
        <f>IF(DataH!$AC203&lt;0, NA(), IF(ISERROR(DataH!$AA203/DataH!$AC203), "", DataH!$AA203/DataH!$AC203))</f>
        <v/>
      </c>
      <c r="I211" s="420" t="str">
        <f>IF(DataH!$AD203&lt;0, NA(), IF(ISERROR(DataH!$AA203/DataH!$AD203), "", DataH!$AA203/DataH!$AD203))</f>
        <v/>
      </c>
      <c r="J211" s="216"/>
      <c r="K211" s="216"/>
      <c r="L211" s="216"/>
      <c r="M211" s="216"/>
      <c r="N211" s="216"/>
      <c r="O211" s="216"/>
      <c r="P211" s="216"/>
      <c r="Q211" s="216"/>
      <c r="R211" s="216"/>
      <c r="S211" s="216"/>
      <c r="T211" s="216"/>
      <c r="U211" s="216"/>
      <c r="V211" s="216"/>
    </row>
    <row r="212" spans="2:22" ht="15" customHeight="1">
      <c r="B212" s="322" t="str">
        <f>IF(DataH!$V204="", "", DataH!$V204)</f>
        <v/>
      </c>
      <c r="C212" s="416" t="str">
        <f>IF(DataH!$X204&lt;0, NA(), IF(ISERROR(DataH!$W204/DataH!$X204), "", DataH!$W204/DataH!$X204))</f>
        <v/>
      </c>
      <c r="D212" s="416" t="str">
        <f>IF(DataH!$Y204&lt;0, NA(), IF(ISERROR(DataH!$W204/DataH!$Y204), "", DataH!$W204/DataH!$Y204))</f>
        <v/>
      </c>
      <c r="E212" s="417" t="str">
        <f>IF(DataH!$Z204&lt;0, NA(), IF(ISERROR(DataH!$W204/DataH!$Z204), "", DataH!$W204/DataH!$Z204))</f>
        <v/>
      </c>
      <c r="G212" s="418" t="str">
        <f>IF(DataH!$AB204&lt;0, NA(), IF(ISERROR(DataH!$AA204/DataH!$AB204), "", DataH!$AA204/DataH!$AB204))</f>
        <v/>
      </c>
      <c r="H212" s="416" t="str">
        <f>IF(DataH!$AC204&lt;0, NA(), IF(ISERROR(DataH!$AA204/DataH!$AC204), "", DataH!$AA204/DataH!$AC204))</f>
        <v/>
      </c>
      <c r="I212" s="417" t="str">
        <f>IF(DataH!$AD204&lt;0, NA(), IF(ISERROR(DataH!$AA204/DataH!$AD204), "", DataH!$AA204/DataH!$AD204))</f>
        <v/>
      </c>
      <c r="J212" s="216"/>
      <c r="K212" s="216"/>
      <c r="L212" s="216"/>
      <c r="M212" s="216"/>
      <c r="N212" s="216"/>
      <c r="O212" s="216"/>
      <c r="P212" s="216"/>
      <c r="Q212" s="216"/>
      <c r="R212" s="216"/>
      <c r="S212" s="216"/>
      <c r="T212" s="216"/>
      <c r="U212" s="216"/>
      <c r="V212" s="216"/>
    </row>
    <row r="213" spans="2:22" ht="15" customHeight="1">
      <c r="B213" s="318" t="str">
        <f>IF(DataH!$V205="", "", DataH!$V205)</f>
        <v/>
      </c>
      <c r="C213" s="419" t="str">
        <f>IF(DataH!$X205&lt;0, NA(), IF(ISERROR(DataH!$W205/DataH!$X205), "", DataH!$W205/DataH!$X205))</f>
        <v/>
      </c>
      <c r="D213" s="419" t="str">
        <f>IF(DataH!$Y205&lt;0, NA(), IF(ISERROR(DataH!$W205/DataH!$Y205), "", DataH!$W205/DataH!$Y205))</f>
        <v/>
      </c>
      <c r="E213" s="420" t="str">
        <f>IF(DataH!$Z205&lt;0, NA(), IF(ISERROR(DataH!$W205/DataH!$Z205), "", DataH!$W205/DataH!$Z205))</f>
        <v/>
      </c>
      <c r="G213" s="421" t="str">
        <f>IF(DataH!$AB205&lt;0, NA(), IF(ISERROR(DataH!$AA205/DataH!$AB205), "", DataH!$AA205/DataH!$AB205))</f>
        <v/>
      </c>
      <c r="H213" s="419" t="str">
        <f>IF(DataH!$AC205&lt;0, NA(), IF(ISERROR(DataH!$AA205/DataH!$AC205), "", DataH!$AA205/DataH!$AC205))</f>
        <v/>
      </c>
      <c r="I213" s="420" t="str">
        <f>IF(DataH!$AD205&lt;0, NA(), IF(ISERROR(DataH!$AA205/DataH!$AD205), "", DataH!$AA205/DataH!$AD205))</f>
        <v/>
      </c>
      <c r="J213" s="216"/>
      <c r="K213" s="216"/>
      <c r="L213" s="216"/>
      <c r="M213" s="216"/>
      <c r="N213" s="216"/>
      <c r="O213" s="216"/>
      <c r="P213" s="216"/>
      <c r="Q213" s="216"/>
      <c r="R213" s="216"/>
      <c r="S213" s="216"/>
      <c r="T213" s="216"/>
      <c r="U213" s="216"/>
      <c r="V213" s="216"/>
    </row>
    <row r="214" spans="2:22" ht="15" customHeight="1">
      <c r="B214" s="322" t="str">
        <f>IF(DataH!$V206="", "", DataH!$V206)</f>
        <v/>
      </c>
      <c r="C214" s="416" t="str">
        <f>IF(DataH!$X206&lt;0, NA(), IF(ISERROR(DataH!$W206/DataH!$X206), "", DataH!$W206/DataH!$X206))</f>
        <v/>
      </c>
      <c r="D214" s="416" t="str">
        <f>IF(DataH!$Y206&lt;0, NA(), IF(ISERROR(DataH!$W206/DataH!$Y206), "", DataH!$W206/DataH!$Y206))</f>
        <v/>
      </c>
      <c r="E214" s="417" t="str">
        <f>IF(DataH!$Z206&lt;0, NA(), IF(ISERROR(DataH!$W206/DataH!$Z206), "", DataH!$W206/DataH!$Z206))</f>
        <v/>
      </c>
      <c r="G214" s="418" t="str">
        <f>IF(DataH!$AB206&lt;0, NA(), IF(ISERROR(DataH!$AA206/DataH!$AB206), "", DataH!$AA206/DataH!$AB206))</f>
        <v/>
      </c>
      <c r="H214" s="416" t="str">
        <f>IF(DataH!$AC206&lt;0, NA(), IF(ISERROR(DataH!$AA206/DataH!$AC206), "", DataH!$AA206/DataH!$AC206))</f>
        <v/>
      </c>
      <c r="I214" s="417" t="str">
        <f>IF(DataH!$AD206&lt;0, NA(), IF(ISERROR(DataH!$AA206/DataH!$AD206), "", DataH!$AA206/DataH!$AD206))</f>
        <v/>
      </c>
      <c r="J214" s="216"/>
      <c r="K214" s="216"/>
      <c r="L214" s="216"/>
      <c r="M214" s="216"/>
      <c r="N214" s="216"/>
      <c r="O214" s="216"/>
      <c r="P214" s="216"/>
      <c r="Q214" s="216"/>
      <c r="R214" s="216"/>
      <c r="S214" s="216"/>
      <c r="T214" s="216"/>
      <c r="U214" s="216"/>
      <c r="V214" s="216"/>
    </row>
    <row r="215" spans="2:22" ht="15" customHeight="1">
      <c r="B215" s="318" t="str">
        <f>IF(DataH!$V207="", "", DataH!$V207)</f>
        <v/>
      </c>
      <c r="C215" s="419" t="str">
        <f>IF(DataH!$X207&lt;0, NA(), IF(ISERROR(DataH!$W207/DataH!$X207), "", DataH!$W207/DataH!$X207))</f>
        <v/>
      </c>
      <c r="D215" s="419" t="str">
        <f>IF(DataH!$Y207&lt;0, NA(), IF(ISERROR(DataH!$W207/DataH!$Y207), "", DataH!$W207/DataH!$Y207))</f>
        <v/>
      </c>
      <c r="E215" s="420" t="str">
        <f>IF(DataH!$Z207&lt;0, NA(), IF(ISERROR(DataH!$W207/DataH!$Z207), "", DataH!$W207/DataH!$Z207))</f>
        <v/>
      </c>
      <c r="G215" s="421" t="str">
        <f>IF(DataH!$AB207&lt;0, NA(), IF(ISERROR(DataH!$AA207/DataH!$AB207), "", DataH!$AA207/DataH!$AB207))</f>
        <v/>
      </c>
      <c r="H215" s="419" t="str">
        <f>IF(DataH!$AC207&lt;0, NA(), IF(ISERROR(DataH!$AA207/DataH!$AC207), "", DataH!$AA207/DataH!$AC207))</f>
        <v/>
      </c>
      <c r="I215" s="420" t="str">
        <f>IF(DataH!$AD207&lt;0, NA(), IF(ISERROR(DataH!$AA207/DataH!$AD207), "", DataH!$AA207/DataH!$AD207))</f>
        <v/>
      </c>
      <c r="J215" s="216"/>
      <c r="K215" s="216"/>
      <c r="L215" s="216"/>
      <c r="M215" s="216"/>
      <c r="N215" s="216"/>
      <c r="O215" s="216"/>
      <c r="P215" s="216"/>
      <c r="Q215" s="216"/>
      <c r="R215" s="216"/>
      <c r="S215" s="216"/>
      <c r="T215" s="216"/>
      <c r="U215" s="216"/>
      <c r="V215" s="216"/>
    </row>
    <row r="216" spans="2:22" ht="15" customHeight="1">
      <c r="B216" s="322" t="str">
        <f>IF(DataH!$V208="", "", DataH!$V208)</f>
        <v/>
      </c>
      <c r="C216" s="416" t="str">
        <f>IF(DataH!$X208&lt;0, NA(), IF(ISERROR(DataH!$W208/DataH!$X208), "", DataH!$W208/DataH!$X208))</f>
        <v/>
      </c>
      <c r="D216" s="416" t="str">
        <f>IF(DataH!$Y208&lt;0, NA(), IF(ISERROR(DataH!$W208/DataH!$Y208), "", DataH!$W208/DataH!$Y208))</f>
        <v/>
      </c>
      <c r="E216" s="417" t="str">
        <f>IF(DataH!$Z208&lt;0, NA(), IF(ISERROR(DataH!$W208/DataH!$Z208), "", DataH!$W208/DataH!$Z208))</f>
        <v/>
      </c>
      <c r="G216" s="418" t="str">
        <f>IF(DataH!$AB208&lt;0, NA(), IF(ISERROR(DataH!$AA208/DataH!$AB208), "", DataH!$AA208/DataH!$AB208))</f>
        <v/>
      </c>
      <c r="H216" s="416" t="str">
        <f>IF(DataH!$AC208&lt;0, NA(), IF(ISERROR(DataH!$AA208/DataH!$AC208), "", DataH!$AA208/DataH!$AC208))</f>
        <v/>
      </c>
      <c r="I216" s="417" t="str">
        <f>IF(DataH!$AD208&lt;0, NA(), IF(ISERROR(DataH!$AA208/DataH!$AD208), "", DataH!$AA208/DataH!$AD208))</f>
        <v/>
      </c>
      <c r="J216" s="216"/>
      <c r="K216" s="216"/>
      <c r="L216" s="216"/>
      <c r="M216" s="216"/>
      <c r="N216" s="216"/>
      <c r="O216" s="216"/>
      <c r="P216" s="216"/>
      <c r="Q216" s="216"/>
      <c r="R216" s="216"/>
      <c r="S216" s="216"/>
      <c r="T216" s="216"/>
      <c r="U216" s="216"/>
      <c r="V216" s="216"/>
    </row>
    <row r="217" spans="2:22" ht="15" customHeight="1">
      <c r="B217" s="318" t="str">
        <f>IF(DataH!$V209="", "", DataH!$V209)</f>
        <v/>
      </c>
      <c r="C217" s="419" t="str">
        <f>IF(DataH!$X209&lt;0, NA(), IF(ISERROR(DataH!$W209/DataH!$X209), "", DataH!$W209/DataH!$X209))</f>
        <v/>
      </c>
      <c r="D217" s="419" t="str">
        <f>IF(DataH!$Y209&lt;0, NA(), IF(ISERROR(DataH!$W209/DataH!$Y209), "", DataH!$W209/DataH!$Y209))</f>
        <v/>
      </c>
      <c r="E217" s="420" t="str">
        <f>IF(DataH!$Z209&lt;0, NA(), IF(ISERROR(DataH!$W209/DataH!$Z209), "", DataH!$W209/DataH!$Z209))</f>
        <v/>
      </c>
      <c r="G217" s="421" t="str">
        <f>IF(DataH!$AB209&lt;0, NA(), IF(ISERROR(DataH!$AA209/DataH!$AB209), "", DataH!$AA209/DataH!$AB209))</f>
        <v/>
      </c>
      <c r="H217" s="419" t="str">
        <f>IF(DataH!$AC209&lt;0, NA(), IF(ISERROR(DataH!$AA209/DataH!$AC209), "", DataH!$AA209/DataH!$AC209))</f>
        <v/>
      </c>
      <c r="I217" s="420" t="str">
        <f>IF(DataH!$AD209&lt;0, NA(), IF(ISERROR(DataH!$AA209/DataH!$AD209), "", DataH!$AA209/DataH!$AD209))</f>
        <v/>
      </c>
      <c r="J217" s="216"/>
      <c r="K217" s="216"/>
      <c r="L217" s="216"/>
      <c r="M217" s="216"/>
      <c r="N217" s="216"/>
      <c r="O217" s="216"/>
      <c r="P217" s="216"/>
      <c r="Q217" s="216"/>
      <c r="R217" s="216"/>
      <c r="S217" s="216"/>
      <c r="T217" s="216"/>
      <c r="U217" s="216"/>
      <c r="V217" s="216"/>
    </row>
    <row r="218" spans="2:22" ht="15" customHeight="1">
      <c r="B218" s="322" t="str">
        <f>IF(DataH!$V210="", "", DataH!$V210)</f>
        <v/>
      </c>
      <c r="C218" s="416" t="str">
        <f>IF(DataH!$X210&lt;0, NA(), IF(ISERROR(DataH!$W210/DataH!$X210), "", DataH!$W210/DataH!$X210))</f>
        <v/>
      </c>
      <c r="D218" s="416" t="str">
        <f>IF(DataH!$Y210&lt;0, NA(), IF(ISERROR(DataH!$W210/DataH!$Y210), "", DataH!$W210/DataH!$Y210))</f>
        <v/>
      </c>
      <c r="E218" s="417" t="str">
        <f>IF(DataH!$Z210&lt;0, NA(), IF(ISERROR(DataH!$W210/DataH!$Z210), "", DataH!$W210/DataH!$Z210))</f>
        <v/>
      </c>
      <c r="G218" s="418" t="str">
        <f>IF(DataH!$AB210&lt;0, NA(), IF(ISERROR(DataH!$AA210/DataH!$AB210), "", DataH!$AA210/DataH!$AB210))</f>
        <v/>
      </c>
      <c r="H218" s="416" t="str">
        <f>IF(DataH!$AC210&lt;0, NA(), IF(ISERROR(DataH!$AA210/DataH!$AC210), "", DataH!$AA210/DataH!$AC210))</f>
        <v/>
      </c>
      <c r="I218" s="417" t="str">
        <f>IF(DataH!$AD210&lt;0, NA(), IF(ISERROR(DataH!$AA210/DataH!$AD210), "", DataH!$AA210/DataH!$AD210))</f>
        <v/>
      </c>
      <c r="J218" s="216"/>
      <c r="K218" s="216"/>
      <c r="L218" s="216"/>
      <c r="M218" s="216"/>
      <c r="N218" s="216"/>
      <c r="O218" s="216"/>
      <c r="P218" s="216"/>
      <c r="Q218" s="216"/>
      <c r="R218" s="216"/>
      <c r="S218" s="216"/>
      <c r="T218" s="216"/>
      <c r="U218" s="216"/>
      <c r="V218" s="216"/>
    </row>
    <row r="219" spans="2:22" ht="15" customHeight="1">
      <c r="B219" s="318" t="str">
        <f>IF(DataH!$V211="", "", DataH!$V211)</f>
        <v/>
      </c>
      <c r="C219" s="419" t="str">
        <f>IF(DataH!$X211&lt;0, NA(), IF(ISERROR(DataH!$W211/DataH!$X211), "", DataH!$W211/DataH!$X211))</f>
        <v/>
      </c>
      <c r="D219" s="419" t="str">
        <f>IF(DataH!$Y211&lt;0, NA(), IF(ISERROR(DataH!$W211/DataH!$Y211), "", DataH!$W211/DataH!$Y211))</f>
        <v/>
      </c>
      <c r="E219" s="420" t="str">
        <f>IF(DataH!$Z211&lt;0, NA(), IF(ISERROR(DataH!$W211/DataH!$Z211), "", DataH!$W211/DataH!$Z211))</f>
        <v/>
      </c>
      <c r="G219" s="421" t="str">
        <f>IF(DataH!$AB211&lt;0, NA(), IF(ISERROR(DataH!$AA211/DataH!$AB211), "", DataH!$AA211/DataH!$AB211))</f>
        <v/>
      </c>
      <c r="H219" s="419" t="str">
        <f>IF(DataH!$AC211&lt;0, NA(), IF(ISERROR(DataH!$AA211/DataH!$AC211), "", DataH!$AA211/DataH!$AC211))</f>
        <v/>
      </c>
      <c r="I219" s="420" t="str">
        <f>IF(DataH!$AD211&lt;0, NA(), IF(ISERROR(DataH!$AA211/DataH!$AD211), "", DataH!$AA211/DataH!$AD211))</f>
        <v/>
      </c>
      <c r="J219" s="216"/>
      <c r="K219" s="216"/>
      <c r="L219" s="216"/>
      <c r="M219" s="216"/>
      <c r="N219" s="216"/>
      <c r="O219" s="216"/>
      <c r="P219" s="216"/>
      <c r="Q219" s="216"/>
      <c r="R219" s="216"/>
      <c r="S219" s="216"/>
      <c r="T219" s="216"/>
      <c r="U219" s="216"/>
      <c r="V219" s="216"/>
    </row>
    <row r="220" spans="2:22" ht="15" customHeight="1">
      <c r="B220" s="322" t="str">
        <f>IF(DataH!$V212="", "", DataH!$V212)</f>
        <v/>
      </c>
      <c r="C220" s="416" t="str">
        <f>IF(DataH!$X212&lt;0, NA(), IF(ISERROR(DataH!$W212/DataH!$X212), "", DataH!$W212/DataH!$X212))</f>
        <v/>
      </c>
      <c r="D220" s="416" t="str">
        <f>IF(DataH!$Y212&lt;0, NA(), IF(ISERROR(DataH!$W212/DataH!$Y212), "", DataH!$W212/DataH!$Y212))</f>
        <v/>
      </c>
      <c r="E220" s="417" t="str">
        <f>IF(DataH!$Z212&lt;0, NA(), IF(ISERROR(DataH!$W212/DataH!$Z212), "", DataH!$W212/DataH!$Z212))</f>
        <v/>
      </c>
      <c r="G220" s="418" t="str">
        <f>IF(DataH!$AB212&lt;0, NA(), IF(ISERROR(DataH!$AA212/DataH!$AB212), "", DataH!$AA212/DataH!$AB212))</f>
        <v/>
      </c>
      <c r="H220" s="416" t="str">
        <f>IF(DataH!$AC212&lt;0, NA(), IF(ISERROR(DataH!$AA212/DataH!$AC212), "", DataH!$AA212/DataH!$AC212))</f>
        <v/>
      </c>
      <c r="I220" s="417" t="str">
        <f>IF(DataH!$AD212&lt;0, NA(), IF(ISERROR(DataH!$AA212/DataH!$AD212), "", DataH!$AA212/DataH!$AD212))</f>
        <v/>
      </c>
      <c r="J220" s="216"/>
      <c r="K220" s="216"/>
      <c r="L220" s="216"/>
      <c r="M220" s="216"/>
      <c r="N220" s="216"/>
      <c r="O220" s="216"/>
      <c r="P220" s="216"/>
      <c r="Q220" s="216"/>
      <c r="R220" s="216"/>
      <c r="S220" s="216"/>
      <c r="T220" s="216"/>
      <c r="U220" s="216"/>
      <c r="V220" s="216"/>
    </row>
    <row r="221" spans="2:22" ht="15" customHeight="1">
      <c r="B221" s="318" t="str">
        <f>IF(DataH!$V213="", "", DataH!$V213)</f>
        <v/>
      </c>
      <c r="C221" s="419" t="str">
        <f>IF(DataH!$X213&lt;0, NA(), IF(ISERROR(DataH!$W213/DataH!$X213), "", DataH!$W213/DataH!$X213))</f>
        <v/>
      </c>
      <c r="D221" s="419" t="str">
        <f>IF(DataH!$Y213&lt;0, NA(), IF(ISERROR(DataH!$W213/DataH!$Y213), "", DataH!$W213/DataH!$Y213))</f>
        <v/>
      </c>
      <c r="E221" s="420" t="str">
        <f>IF(DataH!$Z213&lt;0, NA(), IF(ISERROR(DataH!$W213/DataH!$Z213), "", DataH!$W213/DataH!$Z213))</f>
        <v/>
      </c>
      <c r="G221" s="421" t="str">
        <f>IF(DataH!$AB213&lt;0, NA(), IF(ISERROR(DataH!$AA213/DataH!$AB213), "", DataH!$AA213/DataH!$AB213))</f>
        <v/>
      </c>
      <c r="H221" s="419" t="str">
        <f>IF(DataH!$AC213&lt;0, NA(), IF(ISERROR(DataH!$AA213/DataH!$AC213), "", DataH!$AA213/DataH!$AC213))</f>
        <v/>
      </c>
      <c r="I221" s="420" t="str">
        <f>IF(DataH!$AD213&lt;0, NA(), IF(ISERROR(DataH!$AA213/DataH!$AD213), "", DataH!$AA213/DataH!$AD213))</f>
        <v/>
      </c>
      <c r="J221" s="216"/>
      <c r="K221" s="216"/>
      <c r="L221" s="216"/>
      <c r="M221" s="216"/>
      <c r="N221" s="216"/>
      <c r="O221" s="216"/>
      <c r="P221" s="216"/>
      <c r="Q221" s="216"/>
      <c r="R221" s="216"/>
      <c r="S221" s="216"/>
      <c r="T221" s="216"/>
      <c r="U221" s="216"/>
      <c r="V221" s="216"/>
    </row>
    <row r="222" spans="2:22" ht="15" customHeight="1">
      <c r="B222" s="322" t="str">
        <f>IF(DataH!$V214="", "", DataH!$V214)</f>
        <v/>
      </c>
      <c r="C222" s="416" t="str">
        <f>IF(DataH!$X214&lt;0, NA(), IF(ISERROR(DataH!$W214/DataH!$X214), "", DataH!$W214/DataH!$X214))</f>
        <v/>
      </c>
      <c r="D222" s="416" t="str">
        <f>IF(DataH!$Y214&lt;0, NA(), IF(ISERROR(DataH!$W214/DataH!$Y214), "", DataH!$W214/DataH!$Y214))</f>
        <v/>
      </c>
      <c r="E222" s="417" t="str">
        <f>IF(DataH!$Z214&lt;0, NA(), IF(ISERROR(DataH!$W214/DataH!$Z214), "", DataH!$W214/DataH!$Z214))</f>
        <v/>
      </c>
      <c r="G222" s="418" t="str">
        <f>IF(DataH!$AB214&lt;0, NA(), IF(ISERROR(DataH!$AA214/DataH!$AB214), "", DataH!$AA214/DataH!$AB214))</f>
        <v/>
      </c>
      <c r="H222" s="416" t="str">
        <f>IF(DataH!$AC214&lt;0, NA(), IF(ISERROR(DataH!$AA214/DataH!$AC214), "", DataH!$AA214/DataH!$AC214))</f>
        <v/>
      </c>
      <c r="I222" s="417" t="str">
        <f>IF(DataH!$AD214&lt;0, NA(), IF(ISERROR(DataH!$AA214/DataH!$AD214), "", DataH!$AA214/DataH!$AD214))</f>
        <v/>
      </c>
      <c r="J222" s="216"/>
      <c r="K222" s="216"/>
      <c r="L222" s="216"/>
      <c r="M222" s="216"/>
      <c r="N222" s="216"/>
      <c r="O222" s="216"/>
      <c r="P222" s="216"/>
      <c r="Q222" s="216"/>
      <c r="R222" s="216"/>
      <c r="S222" s="216"/>
      <c r="T222" s="216"/>
      <c r="U222" s="216"/>
      <c r="V222" s="216"/>
    </row>
    <row r="223" spans="2:22" ht="15" customHeight="1">
      <c r="B223" s="318" t="str">
        <f>IF(DataH!$V215="", "", DataH!$V215)</f>
        <v/>
      </c>
      <c r="C223" s="419" t="str">
        <f>IF(DataH!$X215&lt;0, NA(), IF(ISERROR(DataH!$W215/DataH!$X215), "", DataH!$W215/DataH!$X215))</f>
        <v/>
      </c>
      <c r="D223" s="419" t="str">
        <f>IF(DataH!$Y215&lt;0, NA(), IF(ISERROR(DataH!$W215/DataH!$Y215), "", DataH!$W215/DataH!$Y215))</f>
        <v/>
      </c>
      <c r="E223" s="420" t="str">
        <f>IF(DataH!$Z215&lt;0, NA(), IF(ISERROR(DataH!$W215/DataH!$Z215), "", DataH!$W215/DataH!$Z215))</f>
        <v/>
      </c>
      <c r="G223" s="421" t="str">
        <f>IF(DataH!$AB215&lt;0, NA(), IF(ISERROR(DataH!$AA215/DataH!$AB215), "", DataH!$AA215/DataH!$AB215))</f>
        <v/>
      </c>
      <c r="H223" s="419" t="str">
        <f>IF(DataH!$AC215&lt;0, NA(), IF(ISERROR(DataH!$AA215/DataH!$AC215), "", DataH!$AA215/DataH!$AC215))</f>
        <v/>
      </c>
      <c r="I223" s="420" t="str">
        <f>IF(DataH!$AD215&lt;0, NA(), IF(ISERROR(DataH!$AA215/DataH!$AD215), "", DataH!$AA215/DataH!$AD215))</f>
        <v/>
      </c>
      <c r="J223" s="216"/>
      <c r="K223" s="216"/>
      <c r="L223" s="216"/>
      <c r="M223" s="216"/>
      <c r="N223" s="216"/>
      <c r="O223" s="216"/>
      <c r="P223" s="216"/>
      <c r="Q223" s="216"/>
      <c r="R223" s="216"/>
      <c r="S223" s="216"/>
      <c r="T223" s="216"/>
      <c r="U223" s="216"/>
      <c r="V223" s="216"/>
    </row>
    <row r="224" spans="2:22" ht="15" customHeight="1">
      <c r="B224" s="322" t="str">
        <f>IF(DataH!$V216="", "", DataH!$V216)</f>
        <v/>
      </c>
      <c r="C224" s="416" t="str">
        <f>IF(DataH!$X216&lt;0, NA(), IF(ISERROR(DataH!$W216/DataH!$X216), "", DataH!$W216/DataH!$X216))</f>
        <v/>
      </c>
      <c r="D224" s="416" t="str">
        <f>IF(DataH!$Y216&lt;0, NA(), IF(ISERROR(DataH!$W216/DataH!$Y216), "", DataH!$W216/DataH!$Y216))</f>
        <v/>
      </c>
      <c r="E224" s="417" t="str">
        <f>IF(DataH!$Z216&lt;0, NA(), IF(ISERROR(DataH!$W216/DataH!$Z216), "", DataH!$W216/DataH!$Z216))</f>
        <v/>
      </c>
      <c r="G224" s="418" t="str">
        <f>IF(DataH!$AB216&lt;0, NA(), IF(ISERROR(DataH!$AA216/DataH!$AB216), "", DataH!$AA216/DataH!$AB216))</f>
        <v/>
      </c>
      <c r="H224" s="416" t="str">
        <f>IF(DataH!$AC216&lt;0, NA(), IF(ISERROR(DataH!$AA216/DataH!$AC216), "", DataH!$AA216/DataH!$AC216))</f>
        <v/>
      </c>
      <c r="I224" s="417" t="str">
        <f>IF(DataH!$AD216&lt;0, NA(), IF(ISERROR(DataH!$AA216/DataH!$AD216), "", DataH!$AA216/DataH!$AD216))</f>
        <v/>
      </c>
      <c r="J224" s="216"/>
      <c r="K224" s="216"/>
      <c r="L224" s="216"/>
      <c r="M224" s="216"/>
      <c r="N224" s="216"/>
      <c r="O224" s="216"/>
      <c r="P224" s="216"/>
      <c r="Q224" s="216"/>
      <c r="R224" s="216"/>
      <c r="S224" s="216"/>
      <c r="T224" s="216"/>
      <c r="U224" s="216"/>
      <c r="V224" s="216"/>
    </row>
    <row r="225" spans="2:22" ht="15" customHeight="1">
      <c r="B225" s="318" t="str">
        <f>IF(DataH!$V217="", "", DataH!$V217)</f>
        <v/>
      </c>
      <c r="C225" s="419" t="str">
        <f>IF(DataH!$X217&lt;0, NA(), IF(ISERROR(DataH!$W217/DataH!$X217), "", DataH!$W217/DataH!$X217))</f>
        <v/>
      </c>
      <c r="D225" s="419" t="str">
        <f>IF(DataH!$Y217&lt;0, NA(), IF(ISERROR(DataH!$W217/DataH!$Y217), "", DataH!$W217/DataH!$Y217))</f>
        <v/>
      </c>
      <c r="E225" s="420" t="str">
        <f>IF(DataH!$Z217&lt;0, NA(), IF(ISERROR(DataH!$W217/DataH!$Z217), "", DataH!$W217/DataH!$Z217))</f>
        <v/>
      </c>
      <c r="G225" s="421" t="str">
        <f>IF(DataH!$AB217&lt;0, NA(), IF(ISERROR(DataH!$AA217/DataH!$AB217), "", DataH!$AA217/DataH!$AB217))</f>
        <v/>
      </c>
      <c r="H225" s="419" t="str">
        <f>IF(DataH!$AC217&lt;0, NA(), IF(ISERROR(DataH!$AA217/DataH!$AC217), "", DataH!$AA217/DataH!$AC217))</f>
        <v/>
      </c>
      <c r="I225" s="420" t="str">
        <f>IF(DataH!$AD217&lt;0, NA(), IF(ISERROR(DataH!$AA217/DataH!$AD217), "", DataH!$AA217/DataH!$AD217))</f>
        <v/>
      </c>
      <c r="J225" s="216"/>
      <c r="K225" s="216"/>
      <c r="L225" s="216"/>
      <c r="M225" s="216"/>
      <c r="N225" s="216"/>
      <c r="O225" s="216"/>
      <c r="P225" s="216"/>
      <c r="Q225" s="216"/>
      <c r="R225" s="216"/>
      <c r="S225" s="216"/>
      <c r="T225" s="216"/>
      <c r="U225" s="216"/>
      <c r="V225" s="216"/>
    </row>
    <row r="226" spans="2:22" ht="15" customHeight="1">
      <c r="B226" s="322" t="str">
        <f>IF(DataH!$V218="", "", DataH!$V218)</f>
        <v/>
      </c>
      <c r="C226" s="416" t="str">
        <f>IF(DataH!$X218&lt;0, NA(), IF(ISERROR(DataH!$W218/DataH!$X218), "", DataH!$W218/DataH!$X218))</f>
        <v/>
      </c>
      <c r="D226" s="416" t="str">
        <f>IF(DataH!$Y218&lt;0, NA(), IF(ISERROR(DataH!$W218/DataH!$Y218), "", DataH!$W218/DataH!$Y218))</f>
        <v/>
      </c>
      <c r="E226" s="417" t="str">
        <f>IF(DataH!$Z218&lt;0, NA(), IF(ISERROR(DataH!$W218/DataH!$Z218), "", DataH!$W218/DataH!$Z218))</f>
        <v/>
      </c>
      <c r="G226" s="418" t="str">
        <f>IF(DataH!$AB218&lt;0, NA(), IF(ISERROR(DataH!$AA218/DataH!$AB218), "", DataH!$AA218/DataH!$AB218))</f>
        <v/>
      </c>
      <c r="H226" s="416" t="str">
        <f>IF(DataH!$AC218&lt;0, NA(), IF(ISERROR(DataH!$AA218/DataH!$AC218), "", DataH!$AA218/DataH!$AC218))</f>
        <v/>
      </c>
      <c r="I226" s="417" t="str">
        <f>IF(DataH!$AD218&lt;0, NA(), IF(ISERROR(DataH!$AA218/DataH!$AD218), "", DataH!$AA218/DataH!$AD218))</f>
        <v/>
      </c>
      <c r="J226" s="216"/>
      <c r="K226" s="216"/>
      <c r="L226" s="216"/>
      <c r="M226" s="216"/>
      <c r="N226" s="216"/>
      <c r="O226" s="216"/>
      <c r="P226" s="216"/>
      <c r="Q226" s="216"/>
      <c r="R226" s="216"/>
      <c r="S226" s="216"/>
      <c r="T226" s="216"/>
      <c r="U226" s="216"/>
      <c r="V226" s="216"/>
    </row>
    <row r="227" spans="2:22" ht="15" customHeight="1">
      <c r="B227" s="318" t="str">
        <f>IF(DataH!$V219="", "", DataH!$V219)</f>
        <v/>
      </c>
      <c r="C227" s="419" t="str">
        <f>IF(DataH!$X219&lt;0, NA(), IF(ISERROR(DataH!$W219/DataH!$X219), "", DataH!$W219/DataH!$X219))</f>
        <v/>
      </c>
      <c r="D227" s="419" t="str">
        <f>IF(DataH!$Y219&lt;0, NA(), IF(ISERROR(DataH!$W219/DataH!$Y219), "", DataH!$W219/DataH!$Y219))</f>
        <v/>
      </c>
      <c r="E227" s="420" t="str">
        <f>IF(DataH!$Z219&lt;0, NA(), IF(ISERROR(DataH!$W219/DataH!$Z219), "", DataH!$W219/DataH!$Z219))</f>
        <v/>
      </c>
      <c r="G227" s="421" t="str">
        <f>IF(DataH!$AB219&lt;0, NA(), IF(ISERROR(DataH!$AA219/DataH!$AB219), "", DataH!$AA219/DataH!$AB219))</f>
        <v/>
      </c>
      <c r="H227" s="419" t="str">
        <f>IF(DataH!$AC219&lt;0, NA(), IF(ISERROR(DataH!$AA219/DataH!$AC219), "", DataH!$AA219/DataH!$AC219))</f>
        <v/>
      </c>
      <c r="I227" s="420" t="str">
        <f>IF(DataH!$AD219&lt;0, NA(), IF(ISERROR(DataH!$AA219/DataH!$AD219), "", DataH!$AA219/DataH!$AD219))</f>
        <v/>
      </c>
      <c r="J227" s="216"/>
      <c r="K227" s="216"/>
      <c r="L227" s="216"/>
      <c r="M227" s="216"/>
      <c r="N227" s="216"/>
      <c r="O227" s="216"/>
      <c r="P227" s="216"/>
      <c r="Q227" s="216"/>
      <c r="R227" s="216"/>
      <c r="S227" s="216"/>
      <c r="T227" s="216"/>
      <c r="U227" s="216"/>
      <c r="V227" s="216"/>
    </row>
    <row r="228" spans="2:22" ht="15" customHeight="1">
      <c r="B228" s="322" t="str">
        <f>IF(DataH!$V220="", "", DataH!$V220)</f>
        <v/>
      </c>
      <c r="C228" s="416" t="str">
        <f>IF(DataH!$X220&lt;0, NA(), IF(ISERROR(DataH!$W220/DataH!$X220), "", DataH!$W220/DataH!$X220))</f>
        <v/>
      </c>
      <c r="D228" s="416" t="str">
        <f>IF(DataH!$Y220&lt;0, NA(), IF(ISERROR(DataH!$W220/DataH!$Y220), "", DataH!$W220/DataH!$Y220))</f>
        <v/>
      </c>
      <c r="E228" s="417" t="str">
        <f>IF(DataH!$Z220&lt;0, NA(), IF(ISERROR(DataH!$W220/DataH!$Z220), "", DataH!$W220/DataH!$Z220))</f>
        <v/>
      </c>
      <c r="G228" s="418" t="str">
        <f>IF(DataH!$AB220&lt;0, NA(), IF(ISERROR(DataH!$AA220/DataH!$AB220), "", DataH!$AA220/DataH!$AB220))</f>
        <v/>
      </c>
      <c r="H228" s="416" t="str">
        <f>IF(DataH!$AC220&lt;0, NA(), IF(ISERROR(DataH!$AA220/DataH!$AC220), "", DataH!$AA220/DataH!$AC220))</f>
        <v/>
      </c>
      <c r="I228" s="417" t="str">
        <f>IF(DataH!$AD220&lt;0, NA(), IF(ISERROR(DataH!$AA220/DataH!$AD220), "", DataH!$AA220/DataH!$AD220))</f>
        <v/>
      </c>
      <c r="J228" s="216"/>
      <c r="K228" s="216"/>
      <c r="L228" s="216"/>
      <c r="M228" s="216"/>
      <c r="N228" s="216"/>
      <c r="O228" s="216"/>
      <c r="P228" s="216"/>
      <c r="Q228" s="216"/>
      <c r="R228" s="216"/>
      <c r="S228" s="216"/>
      <c r="T228" s="216"/>
      <c r="U228" s="216"/>
      <c r="V228" s="216"/>
    </row>
    <row r="229" spans="2:22" ht="15" customHeight="1">
      <c r="B229" s="318" t="str">
        <f>IF(DataH!$V221="", "", DataH!$V221)</f>
        <v/>
      </c>
      <c r="C229" s="419" t="str">
        <f>IF(DataH!$X221&lt;0, NA(), IF(ISERROR(DataH!$W221/DataH!$X221), "", DataH!$W221/DataH!$X221))</f>
        <v/>
      </c>
      <c r="D229" s="419" t="str">
        <f>IF(DataH!$Y221&lt;0, NA(), IF(ISERROR(DataH!$W221/DataH!$Y221), "", DataH!$W221/DataH!$Y221))</f>
        <v/>
      </c>
      <c r="E229" s="420" t="str">
        <f>IF(DataH!$Z221&lt;0, NA(), IF(ISERROR(DataH!$W221/DataH!$Z221), "", DataH!$W221/DataH!$Z221))</f>
        <v/>
      </c>
      <c r="G229" s="421" t="str">
        <f>IF(DataH!$AB221&lt;0, NA(), IF(ISERROR(DataH!$AA221/DataH!$AB221), "", DataH!$AA221/DataH!$AB221))</f>
        <v/>
      </c>
      <c r="H229" s="419" t="str">
        <f>IF(DataH!$AC221&lt;0, NA(), IF(ISERROR(DataH!$AA221/DataH!$AC221), "", DataH!$AA221/DataH!$AC221))</f>
        <v/>
      </c>
      <c r="I229" s="420" t="str">
        <f>IF(DataH!$AD221&lt;0, NA(), IF(ISERROR(DataH!$AA221/DataH!$AD221), "", DataH!$AA221/DataH!$AD221))</f>
        <v/>
      </c>
      <c r="J229" s="216"/>
      <c r="K229" s="216"/>
      <c r="L229" s="216"/>
      <c r="M229" s="216"/>
      <c r="N229" s="216"/>
      <c r="O229" s="216"/>
      <c r="P229" s="216"/>
      <c r="Q229" s="216"/>
      <c r="R229" s="216"/>
      <c r="S229" s="216"/>
      <c r="T229" s="216"/>
      <c r="U229" s="216"/>
      <c r="V229" s="216"/>
    </row>
    <row r="230" spans="2:22" ht="15" customHeight="1">
      <c r="B230" s="322" t="str">
        <f>IF(DataH!$V222="", "", DataH!$V222)</f>
        <v/>
      </c>
      <c r="C230" s="416" t="str">
        <f>IF(DataH!$X222&lt;0, NA(), IF(ISERROR(DataH!$W222/DataH!$X222), "", DataH!$W222/DataH!$X222))</f>
        <v/>
      </c>
      <c r="D230" s="416" t="str">
        <f>IF(DataH!$Y222&lt;0, NA(), IF(ISERROR(DataH!$W222/DataH!$Y222), "", DataH!$W222/DataH!$Y222))</f>
        <v/>
      </c>
      <c r="E230" s="417" t="str">
        <f>IF(DataH!$Z222&lt;0, NA(), IF(ISERROR(DataH!$W222/DataH!$Z222), "", DataH!$W222/DataH!$Z222))</f>
        <v/>
      </c>
      <c r="G230" s="418" t="str">
        <f>IF(DataH!$AB222&lt;0, NA(), IF(ISERROR(DataH!$AA222/DataH!$AB222), "", DataH!$AA222/DataH!$AB222))</f>
        <v/>
      </c>
      <c r="H230" s="416" t="str">
        <f>IF(DataH!$AC222&lt;0, NA(), IF(ISERROR(DataH!$AA222/DataH!$AC222), "", DataH!$AA222/DataH!$AC222))</f>
        <v/>
      </c>
      <c r="I230" s="417" t="str">
        <f>IF(DataH!$AD222&lt;0, NA(), IF(ISERROR(DataH!$AA222/DataH!$AD222), "", DataH!$AA222/DataH!$AD222))</f>
        <v/>
      </c>
      <c r="J230" s="216"/>
      <c r="K230" s="216"/>
      <c r="L230" s="216"/>
      <c r="M230" s="216"/>
      <c r="N230" s="216"/>
      <c r="O230" s="216"/>
      <c r="P230" s="216"/>
      <c r="Q230" s="216"/>
      <c r="R230" s="216"/>
      <c r="S230" s="216"/>
      <c r="T230" s="216"/>
      <c r="U230" s="216"/>
      <c r="V230" s="216"/>
    </row>
    <row r="231" spans="2:22" ht="15" customHeight="1">
      <c r="B231" s="318" t="str">
        <f>IF(DataH!$V223="", "", DataH!$V223)</f>
        <v/>
      </c>
      <c r="C231" s="419" t="str">
        <f>IF(DataH!$X223&lt;0, NA(), IF(ISERROR(DataH!$W223/DataH!$X223), "", DataH!$W223/DataH!$X223))</f>
        <v/>
      </c>
      <c r="D231" s="419" t="str">
        <f>IF(DataH!$Y223&lt;0, NA(), IF(ISERROR(DataH!$W223/DataH!$Y223), "", DataH!$W223/DataH!$Y223))</f>
        <v/>
      </c>
      <c r="E231" s="420" t="str">
        <f>IF(DataH!$Z223&lt;0, NA(), IF(ISERROR(DataH!$W223/DataH!$Z223), "", DataH!$W223/DataH!$Z223))</f>
        <v/>
      </c>
      <c r="G231" s="421" t="str">
        <f>IF(DataH!$AB223&lt;0, NA(), IF(ISERROR(DataH!$AA223/DataH!$AB223), "", DataH!$AA223/DataH!$AB223))</f>
        <v/>
      </c>
      <c r="H231" s="419" t="str">
        <f>IF(DataH!$AC223&lt;0, NA(), IF(ISERROR(DataH!$AA223/DataH!$AC223), "", DataH!$AA223/DataH!$AC223))</f>
        <v/>
      </c>
      <c r="I231" s="420" t="str">
        <f>IF(DataH!$AD223&lt;0, NA(), IF(ISERROR(DataH!$AA223/DataH!$AD223), "", DataH!$AA223/DataH!$AD223))</f>
        <v/>
      </c>
      <c r="J231" s="216"/>
      <c r="K231" s="216"/>
      <c r="L231" s="216"/>
      <c r="M231" s="216"/>
      <c r="N231" s="216"/>
      <c r="O231" s="216"/>
      <c r="P231" s="216"/>
      <c r="Q231" s="216"/>
      <c r="R231" s="216"/>
      <c r="S231" s="216"/>
      <c r="T231" s="216"/>
      <c r="U231" s="216"/>
      <c r="V231" s="216"/>
    </row>
    <row r="232" spans="2:22" ht="15" customHeight="1">
      <c r="B232" s="322" t="str">
        <f>IF(DataH!$V224="", "", DataH!$V224)</f>
        <v/>
      </c>
      <c r="C232" s="416" t="str">
        <f>IF(DataH!$X224&lt;0, NA(), IF(ISERROR(DataH!$W224/DataH!$X224), "", DataH!$W224/DataH!$X224))</f>
        <v/>
      </c>
      <c r="D232" s="416" t="str">
        <f>IF(DataH!$Y224&lt;0, NA(), IF(ISERROR(DataH!$W224/DataH!$Y224), "", DataH!$W224/DataH!$Y224))</f>
        <v/>
      </c>
      <c r="E232" s="417" t="str">
        <f>IF(DataH!$Z224&lt;0, NA(), IF(ISERROR(DataH!$W224/DataH!$Z224), "", DataH!$W224/DataH!$Z224))</f>
        <v/>
      </c>
      <c r="G232" s="418" t="str">
        <f>IF(DataH!$AB224&lt;0, NA(), IF(ISERROR(DataH!$AA224/DataH!$AB224), "", DataH!$AA224/DataH!$AB224))</f>
        <v/>
      </c>
      <c r="H232" s="416" t="str">
        <f>IF(DataH!$AC224&lt;0, NA(), IF(ISERROR(DataH!$AA224/DataH!$AC224), "", DataH!$AA224/DataH!$AC224))</f>
        <v/>
      </c>
      <c r="I232" s="417" t="str">
        <f>IF(DataH!$AD224&lt;0, NA(), IF(ISERROR(DataH!$AA224/DataH!$AD224), "", DataH!$AA224/DataH!$AD224))</f>
        <v/>
      </c>
      <c r="J232" s="216"/>
      <c r="K232" s="216"/>
      <c r="L232" s="216"/>
      <c r="M232" s="216"/>
      <c r="N232" s="216"/>
      <c r="O232" s="216"/>
      <c r="P232" s="216"/>
      <c r="Q232" s="216"/>
      <c r="R232" s="216"/>
      <c r="S232" s="216"/>
      <c r="T232" s="216"/>
      <c r="U232" s="216"/>
      <c r="V232" s="216"/>
    </row>
    <row r="233" spans="2:22" ht="15" customHeight="1">
      <c r="B233" s="318" t="str">
        <f>IF(DataH!$V225="", "", DataH!$V225)</f>
        <v/>
      </c>
      <c r="C233" s="419" t="str">
        <f>IF(DataH!$X225&lt;0, NA(), IF(ISERROR(DataH!$W225/DataH!$X225), "", DataH!$W225/DataH!$X225))</f>
        <v/>
      </c>
      <c r="D233" s="419" t="str">
        <f>IF(DataH!$Y225&lt;0, NA(), IF(ISERROR(DataH!$W225/DataH!$Y225), "", DataH!$W225/DataH!$Y225))</f>
        <v/>
      </c>
      <c r="E233" s="420" t="str">
        <f>IF(DataH!$Z225&lt;0, NA(), IF(ISERROR(DataH!$W225/DataH!$Z225), "", DataH!$W225/DataH!$Z225))</f>
        <v/>
      </c>
      <c r="G233" s="421" t="str">
        <f>IF(DataH!$AB225&lt;0, NA(), IF(ISERROR(DataH!$AA225/DataH!$AB225), "", DataH!$AA225/DataH!$AB225))</f>
        <v/>
      </c>
      <c r="H233" s="419" t="str">
        <f>IF(DataH!$AC225&lt;0, NA(), IF(ISERROR(DataH!$AA225/DataH!$AC225), "", DataH!$AA225/DataH!$AC225))</f>
        <v/>
      </c>
      <c r="I233" s="420" t="str">
        <f>IF(DataH!$AD225&lt;0, NA(), IF(ISERROR(DataH!$AA225/DataH!$AD225), "", DataH!$AA225/DataH!$AD225))</f>
        <v/>
      </c>
      <c r="J233" s="216"/>
      <c r="K233" s="216"/>
      <c r="L233" s="216"/>
      <c r="M233" s="216"/>
      <c r="N233" s="216"/>
      <c r="O233" s="216"/>
      <c r="P233" s="216"/>
      <c r="Q233" s="216"/>
      <c r="R233" s="216"/>
      <c r="S233" s="216"/>
      <c r="T233" s="216"/>
      <c r="U233" s="216"/>
      <c r="V233" s="216"/>
    </row>
    <row r="234" spans="2:22" ht="15" customHeight="1">
      <c r="B234" s="322" t="str">
        <f>IF(DataH!$V226="", "", DataH!$V226)</f>
        <v/>
      </c>
      <c r="C234" s="416" t="str">
        <f>IF(DataH!$X226&lt;0, NA(), IF(ISERROR(DataH!$W226/DataH!$X226), "", DataH!$W226/DataH!$X226))</f>
        <v/>
      </c>
      <c r="D234" s="416" t="str">
        <f>IF(DataH!$Y226&lt;0, NA(), IF(ISERROR(DataH!$W226/DataH!$Y226), "", DataH!$W226/DataH!$Y226))</f>
        <v/>
      </c>
      <c r="E234" s="417" t="str">
        <f>IF(DataH!$Z226&lt;0, NA(), IF(ISERROR(DataH!$W226/DataH!$Z226), "", DataH!$W226/DataH!$Z226))</f>
        <v/>
      </c>
      <c r="G234" s="418" t="str">
        <f>IF(DataH!$AB226&lt;0, NA(), IF(ISERROR(DataH!$AA226/DataH!$AB226), "", DataH!$AA226/DataH!$AB226))</f>
        <v/>
      </c>
      <c r="H234" s="416" t="str">
        <f>IF(DataH!$AC226&lt;0, NA(), IF(ISERROR(DataH!$AA226/DataH!$AC226), "", DataH!$AA226/DataH!$AC226))</f>
        <v/>
      </c>
      <c r="I234" s="417" t="str">
        <f>IF(DataH!$AD226&lt;0, NA(), IF(ISERROR(DataH!$AA226/DataH!$AD226), "", DataH!$AA226/DataH!$AD226))</f>
        <v/>
      </c>
      <c r="J234" s="216"/>
      <c r="K234" s="216"/>
      <c r="L234" s="216"/>
      <c r="M234" s="216"/>
      <c r="N234" s="216"/>
      <c r="O234" s="216"/>
      <c r="P234" s="216"/>
      <c r="Q234" s="216"/>
      <c r="R234" s="216"/>
      <c r="S234" s="216"/>
      <c r="T234" s="216"/>
      <c r="U234" s="216"/>
      <c r="V234" s="216"/>
    </row>
    <row r="235" spans="2:22" ht="15" customHeight="1">
      <c r="B235" s="318" t="str">
        <f>IF(DataH!$V227="", "", DataH!$V227)</f>
        <v/>
      </c>
      <c r="C235" s="419" t="str">
        <f>IF(DataH!$X227&lt;0, NA(), IF(ISERROR(DataH!$W227/DataH!$X227), "", DataH!$W227/DataH!$X227))</f>
        <v/>
      </c>
      <c r="D235" s="419" t="str">
        <f>IF(DataH!$Y227&lt;0, NA(), IF(ISERROR(DataH!$W227/DataH!$Y227), "", DataH!$W227/DataH!$Y227))</f>
        <v/>
      </c>
      <c r="E235" s="420" t="str">
        <f>IF(DataH!$Z227&lt;0, NA(), IF(ISERROR(DataH!$W227/DataH!$Z227), "", DataH!$W227/DataH!$Z227))</f>
        <v/>
      </c>
      <c r="G235" s="421" t="str">
        <f>IF(DataH!$AB227&lt;0, NA(), IF(ISERROR(DataH!$AA227/DataH!$AB227), "", DataH!$AA227/DataH!$AB227))</f>
        <v/>
      </c>
      <c r="H235" s="419" t="str">
        <f>IF(DataH!$AC227&lt;0, NA(), IF(ISERROR(DataH!$AA227/DataH!$AC227), "", DataH!$AA227/DataH!$AC227))</f>
        <v/>
      </c>
      <c r="I235" s="420" t="str">
        <f>IF(DataH!$AD227&lt;0, NA(), IF(ISERROR(DataH!$AA227/DataH!$AD227), "", DataH!$AA227/DataH!$AD227))</f>
        <v/>
      </c>
      <c r="J235" s="216"/>
      <c r="K235" s="216"/>
      <c r="L235" s="216"/>
      <c r="M235" s="216"/>
      <c r="N235" s="216"/>
      <c r="O235" s="216"/>
      <c r="P235" s="216"/>
      <c r="Q235" s="216"/>
      <c r="R235" s="216"/>
      <c r="S235" s="216"/>
      <c r="T235" s="216"/>
      <c r="U235" s="216"/>
      <c r="V235" s="216"/>
    </row>
    <row r="236" spans="2:22" ht="15" customHeight="1">
      <c r="B236" s="322" t="str">
        <f>IF(DataH!$V228="", "", DataH!$V228)</f>
        <v/>
      </c>
      <c r="C236" s="416" t="str">
        <f>IF(DataH!$X228&lt;0, NA(), IF(ISERROR(DataH!$W228/DataH!$X228), "", DataH!$W228/DataH!$X228))</f>
        <v/>
      </c>
      <c r="D236" s="416" t="str">
        <f>IF(DataH!$Y228&lt;0, NA(), IF(ISERROR(DataH!$W228/DataH!$Y228), "", DataH!$W228/DataH!$Y228))</f>
        <v/>
      </c>
      <c r="E236" s="417" t="str">
        <f>IF(DataH!$Z228&lt;0, NA(), IF(ISERROR(DataH!$W228/DataH!$Z228), "", DataH!$W228/DataH!$Z228))</f>
        <v/>
      </c>
      <c r="G236" s="418" t="str">
        <f>IF(DataH!$AB228&lt;0, NA(), IF(ISERROR(DataH!$AA228/DataH!$AB228), "", DataH!$AA228/DataH!$AB228))</f>
        <v/>
      </c>
      <c r="H236" s="416" t="str">
        <f>IF(DataH!$AC228&lt;0, NA(), IF(ISERROR(DataH!$AA228/DataH!$AC228), "", DataH!$AA228/DataH!$AC228))</f>
        <v/>
      </c>
      <c r="I236" s="417" t="str">
        <f>IF(DataH!$AD228&lt;0, NA(), IF(ISERROR(DataH!$AA228/DataH!$AD228), "", DataH!$AA228/DataH!$AD228))</f>
        <v/>
      </c>
      <c r="J236" s="216"/>
      <c r="K236" s="216"/>
      <c r="L236" s="216"/>
      <c r="M236" s="216"/>
      <c r="N236" s="216"/>
      <c r="O236" s="216"/>
      <c r="P236" s="216"/>
      <c r="Q236" s="216"/>
      <c r="R236" s="216"/>
      <c r="S236" s="216"/>
      <c r="T236" s="216"/>
      <c r="U236" s="216"/>
      <c r="V236" s="216"/>
    </row>
    <row r="237" spans="2:22" ht="15" customHeight="1">
      <c r="B237" s="318" t="str">
        <f>IF(DataH!$V229="", "", DataH!$V229)</f>
        <v/>
      </c>
      <c r="C237" s="419" t="str">
        <f>IF(DataH!$X229&lt;0, NA(), IF(ISERROR(DataH!$W229/DataH!$X229), "", DataH!$W229/DataH!$X229))</f>
        <v/>
      </c>
      <c r="D237" s="419" t="str">
        <f>IF(DataH!$Y229&lt;0, NA(), IF(ISERROR(DataH!$W229/DataH!$Y229), "", DataH!$W229/DataH!$Y229))</f>
        <v/>
      </c>
      <c r="E237" s="420" t="str">
        <f>IF(DataH!$Z229&lt;0, NA(), IF(ISERROR(DataH!$W229/DataH!$Z229), "", DataH!$W229/DataH!$Z229))</f>
        <v/>
      </c>
      <c r="G237" s="421" t="str">
        <f>IF(DataH!$AB229&lt;0, NA(), IF(ISERROR(DataH!$AA229/DataH!$AB229), "", DataH!$AA229/DataH!$AB229))</f>
        <v/>
      </c>
      <c r="H237" s="419" t="str">
        <f>IF(DataH!$AC229&lt;0, NA(), IF(ISERROR(DataH!$AA229/DataH!$AC229), "", DataH!$AA229/DataH!$AC229))</f>
        <v/>
      </c>
      <c r="I237" s="420" t="str">
        <f>IF(DataH!$AD229&lt;0, NA(), IF(ISERROR(DataH!$AA229/DataH!$AD229), "", DataH!$AA229/DataH!$AD229))</f>
        <v/>
      </c>
      <c r="J237" s="216"/>
      <c r="K237" s="216"/>
      <c r="L237" s="216"/>
      <c r="M237" s="216"/>
      <c r="N237" s="216"/>
      <c r="O237" s="216"/>
      <c r="P237" s="216"/>
      <c r="Q237" s="216"/>
      <c r="R237" s="216"/>
      <c r="S237" s="216"/>
      <c r="T237" s="216"/>
      <c r="U237" s="216"/>
      <c r="V237" s="216"/>
    </row>
    <row r="238" spans="2:22" ht="15" customHeight="1">
      <c r="B238" s="322" t="str">
        <f>IF(DataH!$V230="", "", DataH!$V230)</f>
        <v/>
      </c>
      <c r="C238" s="416" t="str">
        <f>IF(DataH!$X230&lt;0, NA(), IF(ISERROR(DataH!$W230/DataH!$X230), "", DataH!$W230/DataH!$X230))</f>
        <v/>
      </c>
      <c r="D238" s="416" t="str">
        <f>IF(DataH!$Y230&lt;0, NA(), IF(ISERROR(DataH!$W230/DataH!$Y230), "", DataH!$W230/DataH!$Y230))</f>
        <v/>
      </c>
      <c r="E238" s="417" t="str">
        <f>IF(DataH!$Z230&lt;0, NA(), IF(ISERROR(DataH!$W230/DataH!$Z230), "", DataH!$W230/DataH!$Z230))</f>
        <v/>
      </c>
      <c r="G238" s="418" t="str">
        <f>IF(DataH!$AB230&lt;0, NA(), IF(ISERROR(DataH!$AA230/DataH!$AB230), "", DataH!$AA230/DataH!$AB230))</f>
        <v/>
      </c>
      <c r="H238" s="416" t="str">
        <f>IF(DataH!$AC230&lt;0, NA(), IF(ISERROR(DataH!$AA230/DataH!$AC230), "", DataH!$AA230/DataH!$AC230))</f>
        <v/>
      </c>
      <c r="I238" s="417" t="str">
        <f>IF(DataH!$AD230&lt;0, NA(), IF(ISERROR(DataH!$AA230/DataH!$AD230), "", DataH!$AA230/DataH!$AD230))</f>
        <v/>
      </c>
      <c r="J238" s="216"/>
      <c r="K238" s="216"/>
      <c r="L238" s="216"/>
      <c r="M238" s="216"/>
      <c r="N238" s="216"/>
      <c r="O238" s="216"/>
      <c r="P238" s="216"/>
      <c r="Q238" s="216"/>
      <c r="R238" s="216"/>
      <c r="S238" s="216"/>
      <c r="T238" s="216"/>
      <c r="U238" s="216"/>
      <c r="V238" s="216"/>
    </row>
    <row r="239" spans="2:22" ht="15" customHeight="1">
      <c r="B239" s="318" t="str">
        <f>IF(DataH!$V231="", "", DataH!$V231)</f>
        <v/>
      </c>
      <c r="C239" s="419" t="str">
        <f>IF(DataH!$X231&lt;0, NA(), IF(ISERROR(DataH!$W231/DataH!$X231), "", DataH!$W231/DataH!$X231))</f>
        <v/>
      </c>
      <c r="D239" s="419" t="str">
        <f>IF(DataH!$Y231&lt;0, NA(), IF(ISERROR(DataH!$W231/DataH!$Y231), "", DataH!$W231/DataH!$Y231))</f>
        <v/>
      </c>
      <c r="E239" s="420" t="str">
        <f>IF(DataH!$Z231&lt;0, NA(), IF(ISERROR(DataH!$W231/DataH!$Z231), "", DataH!$W231/DataH!$Z231))</f>
        <v/>
      </c>
      <c r="G239" s="421" t="str">
        <f>IF(DataH!$AB231&lt;0, NA(), IF(ISERROR(DataH!$AA231/DataH!$AB231), "", DataH!$AA231/DataH!$AB231))</f>
        <v/>
      </c>
      <c r="H239" s="419" t="str">
        <f>IF(DataH!$AC231&lt;0, NA(), IF(ISERROR(DataH!$AA231/DataH!$AC231), "", DataH!$AA231/DataH!$AC231))</f>
        <v/>
      </c>
      <c r="I239" s="420" t="str">
        <f>IF(DataH!$AD231&lt;0, NA(), IF(ISERROR(DataH!$AA231/DataH!$AD231), "", DataH!$AA231/DataH!$AD231))</f>
        <v/>
      </c>
      <c r="J239" s="216"/>
      <c r="K239" s="216"/>
      <c r="L239" s="216"/>
      <c r="M239" s="216"/>
      <c r="N239" s="216"/>
      <c r="O239" s="216"/>
      <c r="P239" s="216"/>
      <c r="Q239" s="216"/>
      <c r="R239" s="216"/>
      <c r="S239" s="216"/>
      <c r="T239" s="216"/>
      <c r="U239" s="216"/>
      <c r="V239" s="216"/>
    </row>
    <row r="240" spans="2:22" ht="15" customHeight="1">
      <c r="B240" s="322" t="str">
        <f>IF(DataH!$V232="", "", DataH!$V232)</f>
        <v/>
      </c>
      <c r="C240" s="416" t="str">
        <f>IF(DataH!$X232&lt;0, NA(), IF(ISERROR(DataH!$W232/DataH!$X232), "", DataH!$W232/DataH!$X232))</f>
        <v/>
      </c>
      <c r="D240" s="416" t="str">
        <f>IF(DataH!$Y232&lt;0, NA(), IF(ISERROR(DataH!$W232/DataH!$Y232), "", DataH!$W232/DataH!$Y232))</f>
        <v/>
      </c>
      <c r="E240" s="417" t="str">
        <f>IF(DataH!$Z232&lt;0, NA(), IF(ISERROR(DataH!$W232/DataH!$Z232), "", DataH!$W232/DataH!$Z232))</f>
        <v/>
      </c>
      <c r="G240" s="418" t="str">
        <f>IF(DataH!$AB232&lt;0, NA(), IF(ISERROR(DataH!$AA232/DataH!$AB232), "", DataH!$AA232/DataH!$AB232))</f>
        <v/>
      </c>
      <c r="H240" s="416" t="str">
        <f>IF(DataH!$AC232&lt;0, NA(), IF(ISERROR(DataH!$AA232/DataH!$AC232), "", DataH!$AA232/DataH!$AC232))</f>
        <v/>
      </c>
      <c r="I240" s="417" t="str">
        <f>IF(DataH!$AD232&lt;0, NA(), IF(ISERROR(DataH!$AA232/DataH!$AD232), "", DataH!$AA232/DataH!$AD232))</f>
        <v/>
      </c>
      <c r="J240" s="216"/>
      <c r="K240" s="216"/>
      <c r="L240" s="216"/>
      <c r="M240" s="216"/>
      <c r="N240" s="216"/>
      <c r="O240" s="216"/>
      <c r="P240" s="216"/>
      <c r="Q240" s="216"/>
      <c r="R240" s="216"/>
      <c r="S240" s="216"/>
      <c r="T240" s="216"/>
      <c r="U240" s="216"/>
      <c r="V240" s="216"/>
    </row>
    <row r="241" spans="2:22" ht="15" customHeight="1">
      <c r="B241" s="318" t="str">
        <f>IF(DataH!$V233="", "", DataH!$V233)</f>
        <v/>
      </c>
      <c r="C241" s="419" t="str">
        <f>IF(DataH!$X233&lt;0, NA(), IF(ISERROR(DataH!$W233/DataH!$X233), "", DataH!$W233/DataH!$X233))</f>
        <v/>
      </c>
      <c r="D241" s="419" t="str">
        <f>IF(DataH!$Y233&lt;0, NA(), IF(ISERROR(DataH!$W233/DataH!$Y233), "", DataH!$W233/DataH!$Y233))</f>
        <v/>
      </c>
      <c r="E241" s="420" t="str">
        <f>IF(DataH!$Z233&lt;0, NA(), IF(ISERROR(DataH!$W233/DataH!$Z233), "", DataH!$W233/DataH!$Z233))</f>
        <v/>
      </c>
      <c r="G241" s="421" t="str">
        <f>IF(DataH!$AB233&lt;0, NA(), IF(ISERROR(DataH!$AA233/DataH!$AB233), "", DataH!$AA233/DataH!$AB233))</f>
        <v/>
      </c>
      <c r="H241" s="419" t="str">
        <f>IF(DataH!$AC233&lt;0, NA(), IF(ISERROR(DataH!$AA233/DataH!$AC233), "", DataH!$AA233/DataH!$AC233))</f>
        <v/>
      </c>
      <c r="I241" s="420" t="str">
        <f>IF(DataH!$AD233&lt;0, NA(), IF(ISERROR(DataH!$AA233/DataH!$AD233), "", DataH!$AA233/DataH!$AD233))</f>
        <v/>
      </c>
      <c r="J241" s="216"/>
      <c r="K241" s="216"/>
      <c r="L241" s="216"/>
      <c r="M241" s="216"/>
      <c r="N241" s="216"/>
      <c r="O241" s="216"/>
      <c r="P241" s="216"/>
      <c r="Q241" s="216"/>
      <c r="R241" s="216"/>
      <c r="S241" s="216"/>
      <c r="T241" s="216"/>
      <c r="U241" s="216"/>
      <c r="V241" s="216"/>
    </row>
    <row r="242" spans="2:22" ht="15" customHeight="1">
      <c r="B242" s="322" t="str">
        <f>IF(DataH!$V234="", "", DataH!$V234)</f>
        <v/>
      </c>
      <c r="C242" s="416" t="str">
        <f>IF(DataH!$X234&lt;0, NA(), IF(ISERROR(DataH!$W234/DataH!$X234), "", DataH!$W234/DataH!$X234))</f>
        <v/>
      </c>
      <c r="D242" s="416" t="str">
        <f>IF(DataH!$Y234&lt;0, NA(), IF(ISERROR(DataH!$W234/DataH!$Y234), "", DataH!$W234/DataH!$Y234))</f>
        <v/>
      </c>
      <c r="E242" s="417" t="str">
        <f>IF(DataH!$Z234&lt;0, NA(), IF(ISERROR(DataH!$W234/DataH!$Z234), "", DataH!$W234/DataH!$Z234))</f>
        <v/>
      </c>
      <c r="G242" s="418" t="str">
        <f>IF(DataH!$AB234&lt;0, NA(), IF(ISERROR(DataH!$AA234/DataH!$AB234), "", DataH!$AA234/DataH!$AB234))</f>
        <v/>
      </c>
      <c r="H242" s="416" t="str">
        <f>IF(DataH!$AC234&lt;0, NA(), IF(ISERROR(DataH!$AA234/DataH!$AC234), "", DataH!$AA234/DataH!$AC234))</f>
        <v/>
      </c>
      <c r="I242" s="417" t="str">
        <f>IF(DataH!$AD234&lt;0, NA(), IF(ISERROR(DataH!$AA234/DataH!$AD234), "", DataH!$AA234/DataH!$AD234))</f>
        <v/>
      </c>
      <c r="J242" s="216"/>
      <c r="K242" s="216"/>
      <c r="L242" s="216"/>
      <c r="M242" s="216"/>
      <c r="N242" s="216"/>
      <c r="O242" s="216"/>
      <c r="P242" s="216"/>
      <c r="Q242" s="216"/>
      <c r="R242" s="216"/>
      <c r="S242" s="216"/>
      <c r="T242" s="216"/>
      <c r="U242" s="216"/>
      <c r="V242" s="216"/>
    </row>
    <row r="243" spans="2:22" ht="15" customHeight="1">
      <c r="B243" s="318" t="str">
        <f>IF(DataH!$V235="", "", DataH!$V235)</f>
        <v/>
      </c>
      <c r="C243" s="419" t="str">
        <f>IF(DataH!$X235&lt;0, NA(), IF(ISERROR(DataH!$W235/DataH!$X235), "", DataH!$W235/DataH!$X235))</f>
        <v/>
      </c>
      <c r="D243" s="419" t="str">
        <f>IF(DataH!$Y235&lt;0, NA(), IF(ISERROR(DataH!$W235/DataH!$Y235), "", DataH!$W235/DataH!$Y235))</f>
        <v/>
      </c>
      <c r="E243" s="420" t="str">
        <f>IF(DataH!$Z235&lt;0, NA(), IF(ISERROR(DataH!$W235/DataH!$Z235), "", DataH!$W235/DataH!$Z235))</f>
        <v/>
      </c>
      <c r="G243" s="421" t="str">
        <f>IF(DataH!$AB235&lt;0, NA(), IF(ISERROR(DataH!$AA235/DataH!$AB235), "", DataH!$AA235/DataH!$AB235))</f>
        <v/>
      </c>
      <c r="H243" s="419" t="str">
        <f>IF(DataH!$AC235&lt;0, NA(), IF(ISERROR(DataH!$AA235/DataH!$AC235), "", DataH!$AA235/DataH!$AC235))</f>
        <v/>
      </c>
      <c r="I243" s="420" t="str">
        <f>IF(DataH!$AD235&lt;0, NA(), IF(ISERROR(DataH!$AA235/DataH!$AD235), "", DataH!$AA235/DataH!$AD235))</f>
        <v/>
      </c>
      <c r="J243" s="216"/>
      <c r="K243" s="216"/>
      <c r="L243" s="216"/>
      <c r="M243" s="216"/>
      <c r="N243" s="216"/>
      <c r="O243" s="216"/>
      <c r="P243" s="216"/>
      <c r="Q243" s="216"/>
      <c r="R243" s="216"/>
      <c r="S243" s="216"/>
      <c r="T243" s="216"/>
      <c r="U243" s="216"/>
      <c r="V243" s="216"/>
    </row>
    <row r="244" spans="2:22" ht="15" customHeight="1">
      <c r="B244" s="322" t="str">
        <f>IF(DataH!$V236="", "", DataH!$V236)</f>
        <v/>
      </c>
      <c r="C244" s="416" t="str">
        <f>IF(DataH!$X236&lt;0, NA(), IF(ISERROR(DataH!$W236/DataH!$X236), "", DataH!$W236/DataH!$X236))</f>
        <v/>
      </c>
      <c r="D244" s="416" t="str">
        <f>IF(DataH!$Y236&lt;0, NA(), IF(ISERROR(DataH!$W236/DataH!$Y236), "", DataH!$W236/DataH!$Y236))</f>
        <v/>
      </c>
      <c r="E244" s="417" t="str">
        <f>IF(DataH!$Z236&lt;0, NA(), IF(ISERROR(DataH!$W236/DataH!$Z236), "", DataH!$W236/DataH!$Z236))</f>
        <v/>
      </c>
      <c r="G244" s="418" t="str">
        <f>IF(DataH!$AB236&lt;0, NA(), IF(ISERROR(DataH!$AA236/DataH!$AB236), "", DataH!$AA236/DataH!$AB236))</f>
        <v/>
      </c>
      <c r="H244" s="416" t="str">
        <f>IF(DataH!$AC236&lt;0, NA(), IF(ISERROR(DataH!$AA236/DataH!$AC236), "", DataH!$AA236/DataH!$AC236))</f>
        <v/>
      </c>
      <c r="I244" s="417" t="str">
        <f>IF(DataH!$AD236&lt;0, NA(), IF(ISERROR(DataH!$AA236/DataH!$AD236), "", DataH!$AA236/DataH!$AD236))</f>
        <v/>
      </c>
      <c r="J244" s="216"/>
      <c r="K244" s="216"/>
      <c r="L244" s="216"/>
      <c r="M244" s="216"/>
      <c r="N244" s="216"/>
      <c r="O244" s="216"/>
      <c r="P244" s="216"/>
      <c r="Q244" s="216"/>
      <c r="R244" s="216"/>
      <c r="S244" s="216"/>
      <c r="T244" s="216"/>
      <c r="U244" s="216"/>
      <c r="V244" s="216"/>
    </row>
    <row r="245" spans="2:22" ht="15" customHeight="1">
      <c r="B245" s="318" t="str">
        <f>IF(DataH!$V237="", "", DataH!$V237)</f>
        <v/>
      </c>
      <c r="C245" s="419" t="str">
        <f>IF(DataH!$X237&lt;0, NA(), IF(ISERROR(DataH!$W237/DataH!$X237), "", DataH!$W237/DataH!$X237))</f>
        <v/>
      </c>
      <c r="D245" s="419" t="str">
        <f>IF(DataH!$Y237&lt;0, NA(), IF(ISERROR(DataH!$W237/DataH!$Y237), "", DataH!$W237/DataH!$Y237))</f>
        <v/>
      </c>
      <c r="E245" s="420" t="str">
        <f>IF(DataH!$Z237&lt;0, NA(), IF(ISERROR(DataH!$W237/DataH!$Z237), "", DataH!$W237/DataH!$Z237))</f>
        <v/>
      </c>
      <c r="G245" s="421" t="str">
        <f>IF(DataH!$AB237&lt;0, NA(), IF(ISERROR(DataH!$AA237/DataH!$AB237), "", DataH!$AA237/DataH!$AB237))</f>
        <v/>
      </c>
      <c r="H245" s="419" t="str">
        <f>IF(DataH!$AC237&lt;0, NA(), IF(ISERROR(DataH!$AA237/DataH!$AC237), "", DataH!$AA237/DataH!$AC237))</f>
        <v/>
      </c>
      <c r="I245" s="420" t="str">
        <f>IF(DataH!$AD237&lt;0, NA(), IF(ISERROR(DataH!$AA237/DataH!$AD237), "", DataH!$AA237/DataH!$AD237))</f>
        <v/>
      </c>
      <c r="J245" s="216"/>
      <c r="K245" s="216"/>
      <c r="L245" s="216"/>
      <c r="M245" s="216"/>
      <c r="N245" s="216"/>
      <c r="O245" s="216"/>
      <c r="P245" s="216"/>
      <c r="Q245" s="216"/>
      <c r="R245" s="216"/>
      <c r="S245" s="216"/>
      <c r="T245" s="216"/>
      <c r="U245" s="216"/>
      <c r="V245" s="216"/>
    </row>
    <row r="246" spans="2:22" ht="15" customHeight="1">
      <c r="B246" s="322" t="str">
        <f>IF(DataH!$V238="", "", DataH!$V238)</f>
        <v/>
      </c>
      <c r="C246" s="416" t="str">
        <f>IF(DataH!$X238&lt;0, NA(), IF(ISERROR(DataH!$W238/DataH!$X238), "", DataH!$W238/DataH!$X238))</f>
        <v/>
      </c>
      <c r="D246" s="416" t="str">
        <f>IF(DataH!$Y238&lt;0, NA(), IF(ISERROR(DataH!$W238/DataH!$Y238), "", DataH!$W238/DataH!$Y238))</f>
        <v/>
      </c>
      <c r="E246" s="417" t="str">
        <f>IF(DataH!$Z238&lt;0, NA(), IF(ISERROR(DataH!$W238/DataH!$Z238), "", DataH!$W238/DataH!$Z238))</f>
        <v/>
      </c>
      <c r="G246" s="418" t="str">
        <f>IF(DataH!$AB238&lt;0, NA(), IF(ISERROR(DataH!$AA238/DataH!$AB238), "", DataH!$AA238/DataH!$AB238))</f>
        <v/>
      </c>
      <c r="H246" s="416" t="str">
        <f>IF(DataH!$AC238&lt;0, NA(), IF(ISERROR(DataH!$AA238/DataH!$AC238), "", DataH!$AA238/DataH!$AC238))</f>
        <v/>
      </c>
      <c r="I246" s="417" t="str">
        <f>IF(DataH!$AD238&lt;0, NA(), IF(ISERROR(DataH!$AA238/DataH!$AD238), "", DataH!$AA238/DataH!$AD238))</f>
        <v/>
      </c>
      <c r="J246" s="216"/>
      <c r="K246" s="216"/>
      <c r="L246" s="216"/>
      <c r="M246" s="216"/>
      <c r="N246" s="216"/>
      <c r="O246" s="216"/>
      <c r="P246" s="216"/>
      <c r="Q246" s="216"/>
      <c r="R246" s="216"/>
      <c r="S246" s="216"/>
      <c r="T246" s="216"/>
      <c r="U246" s="216"/>
      <c r="V246" s="216"/>
    </row>
    <row r="247" spans="2:22" ht="15" customHeight="1">
      <c r="B247" s="318" t="str">
        <f>IF(DataH!$V239="", "", DataH!$V239)</f>
        <v/>
      </c>
      <c r="C247" s="419" t="str">
        <f>IF(DataH!$X239&lt;0, NA(), IF(ISERROR(DataH!$W239/DataH!$X239), "", DataH!$W239/DataH!$X239))</f>
        <v/>
      </c>
      <c r="D247" s="419" t="str">
        <f>IF(DataH!$Y239&lt;0, NA(), IF(ISERROR(DataH!$W239/DataH!$Y239), "", DataH!$W239/DataH!$Y239))</f>
        <v/>
      </c>
      <c r="E247" s="420" t="str">
        <f>IF(DataH!$Z239&lt;0, NA(), IF(ISERROR(DataH!$W239/DataH!$Z239), "", DataH!$W239/DataH!$Z239))</f>
        <v/>
      </c>
      <c r="G247" s="421" t="str">
        <f>IF(DataH!$AB239&lt;0, NA(), IF(ISERROR(DataH!$AA239/DataH!$AB239), "", DataH!$AA239/DataH!$AB239))</f>
        <v/>
      </c>
      <c r="H247" s="419" t="str">
        <f>IF(DataH!$AC239&lt;0, NA(), IF(ISERROR(DataH!$AA239/DataH!$AC239), "", DataH!$AA239/DataH!$AC239))</f>
        <v/>
      </c>
      <c r="I247" s="420" t="str">
        <f>IF(DataH!$AD239&lt;0, NA(), IF(ISERROR(DataH!$AA239/DataH!$AD239), "", DataH!$AA239/DataH!$AD239))</f>
        <v/>
      </c>
      <c r="J247" s="216"/>
      <c r="K247" s="216"/>
      <c r="L247" s="216"/>
      <c r="M247" s="216"/>
      <c r="N247" s="216"/>
      <c r="O247" s="216"/>
      <c r="P247" s="216"/>
      <c r="Q247" s="216"/>
      <c r="R247" s="216"/>
      <c r="S247" s="216"/>
      <c r="T247" s="216"/>
      <c r="U247" s="216"/>
      <c r="V247" s="216"/>
    </row>
    <row r="248" spans="2:22" ht="15" customHeight="1">
      <c r="B248" s="322" t="str">
        <f>IF(DataH!$V240="", "", DataH!$V240)</f>
        <v/>
      </c>
      <c r="C248" s="416" t="str">
        <f>IF(DataH!$X240&lt;0, NA(), IF(ISERROR(DataH!$W240/DataH!$X240), "", DataH!$W240/DataH!$X240))</f>
        <v/>
      </c>
      <c r="D248" s="416" t="str">
        <f>IF(DataH!$Y240&lt;0, NA(), IF(ISERROR(DataH!$W240/DataH!$Y240), "", DataH!$W240/DataH!$Y240))</f>
        <v/>
      </c>
      <c r="E248" s="417" t="str">
        <f>IF(DataH!$Z240&lt;0, NA(), IF(ISERROR(DataH!$W240/DataH!$Z240), "", DataH!$W240/DataH!$Z240))</f>
        <v/>
      </c>
      <c r="G248" s="418" t="str">
        <f>IF(DataH!$AB240&lt;0, NA(), IF(ISERROR(DataH!$AA240/DataH!$AB240), "", DataH!$AA240/DataH!$AB240))</f>
        <v/>
      </c>
      <c r="H248" s="416" t="str">
        <f>IF(DataH!$AC240&lt;0, NA(), IF(ISERROR(DataH!$AA240/DataH!$AC240), "", DataH!$AA240/DataH!$AC240))</f>
        <v/>
      </c>
      <c r="I248" s="417" t="str">
        <f>IF(DataH!$AD240&lt;0, NA(), IF(ISERROR(DataH!$AA240/DataH!$AD240), "", DataH!$AA240/DataH!$AD240))</f>
        <v/>
      </c>
      <c r="J248" s="216"/>
      <c r="K248" s="216"/>
      <c r="L248" s="216"/>
      <c r="M248" s="216"/>
      <c r="N248" s="216"/>
      <c r="O248" s="216"/>
      <c r="P248" s="216"/>
      <c r="Q248" s="216"/>
      <c r="R248" s="216"/>
      <c r="S248" s="216"/>
      <c r="T248" s="216"/>
      <c r="U248" s="216"/>
      <c r="V248" s="216"/>
    </row>
    <row r="249" spans="2:22" ht="15" customHeight="1">
      <c r="B249" s="318" t="str">
        <f>IF(DataH!$V241="", "", DataH!$V241)</f>
        <v/>
      </c>
      <c r="C249" s="419" t="str">
        <f>IF(DataH!$X241&lt;0, NA(), IF(ISERROR(DataH!$W241/DataH!$X241), "", DataH!$W241/DataH!$X241))</f>
        <v/>
      </c>
      <c r="D249" s="419" t="str">
        <f>IF(DataH!$Y241&lt;0, NA(), IF(ISERROR(DataH!$W241/DataH!$Y241), "", DataH!$W241/DataH!$Y241))</f>
        <v/>
      </c>
      <c r="E249" s="420" t="str">
        <f>IF(DataH!$Z241&lt;0, NA(), IF(ISERROR(DataH!$W241/DataH!$Z241), "", DataH!$W241/DataH!$Z241))</f>
        <v/>
      </c>
      <c r="G249" s="421" t="str">
        <f>IF(DataH!$AB241&lt;0, NA(), IF(ISERROR(DataH!$AA241/DataH!$AB241), "", DataH!$AA241/DataH!$AB241))</f>
        <v/>
      </c>
      <c r="H249" s="419" t="str">
        <f>IF(DataH!$AC241&lt;0, NA(), IF(ISERROR(DataH!$AA241/DataH!$AC241), "", DataH!$AA241/DataH!$AC241))</f>
        <v/>
      </c>
      <c r="I249" s="420" t="str">
        <f>IF(DataH!$AD241&lt;0, NA(), IF(ISERROR(DataH!$AA241/DataH!$AD241), "", DataH!$AA241/DataH!$AD241))</f>
        <v/>
      </c>
      <c r="J249" s="216"/>
      <c r="K249" s="216"/>
      <c r="L249" s="216"/>
      <c r="M249" s="216"/>
      <c r="N249" s="216"/>
      <c r="O249" s="216"/>
      <c r="P249" s="216"/>
      <c r="Q249" s="216"/>
      <c r="R249" s="216"/>
      <c r="S249" s="216"/>
      <c r="T249" s="216"/>
      <c r="U249" s="216"/>
      <c r="V249" s="216"/>
    </row>
    <row r="250" spans="2:22" ht="15" customHeight="1">
      <c r="B250" s="322" t="str">
        <f>IF(DataH!$V242="", "", DataH!$V242)</f>
        <v/>
      </c>
      <c r="C250" s="416" t="str">
        <f>IF(DataH!$X242&lt;0, NA(), IF(ISERROR(DataH!$W242/DataH!$X242), "", DataH!$W242/DataH!$X242))</f>
        <v/>
      </c>
      <c r="D250" s="416" t="str">
        <f>IF(DataH!$Y242&lt;0, NA(), IF(ISERROR(DataH!$W242/DataH!$Y242), "", DataH!$W242/DataH!$Y242))</f>
        <v/>
      </c>
      <c r="E250" s="417" t="str">
        <f>IF(DataH!$Z242&lt;0, NA(), IF(ISERROR(DataH!$W242/DataH!$Z242), "", DataH!$W242/DataH!$Z242))</f>
        <v/>
      </c>
      <c r="G250" s="418" t="str">
        <f>IF(DataH!$AB242&lt;0, NA(), IF(ISERROR(DataH!$AA242/DataH!$AB242), "", DataH!$AA242/DataH!$AB242))</f>
        <v/>
      </c>
      <c r="H250" s="416" t="str">
        <f>IF(DataH!$AC242&lt;0, NA(), IF(ISERROR(DataH!$AA242/DataH!$AC242), "", DataH!$AA242/DataH!$AC242))</f>
        <v/>
      </c>
      <c r="I250" s="417" t="str">
        <f>IF(DataH!$AD242&lt;0, NA(), IF(ISERROR(DataH!$AA242/DataH!$AD242), "", DataH!$AA242/DataH!$AD242))</f>
        <v/>
      </c>
      <c r="J250" s="216"/>
      <c r="K250" s="216"/>
      <c r="L250" s="216"/>
      <c r="M250" s="216"/>
      <c r="N250" s="216"/>
      <c r="O250" s="216"/>
      <c r="P250" s="216"/>
      <c r="Q250" s="216"/>
      <c r="R250" s="216"/>
      <c r="S250" s="216"/>
      <c r="T250" s="216"/>
      <c r="U250" s="216"/>
      <c r="V250" s="216"/>
    </row>
    <row r="251" spans="2:22" ht="15" customHeight="1">
      <c r="B251" s="318" t="str">
        <f>IF(DataH!$V243="", "", DataH!$V243)</f>
        <v/>
      </c>
      <c r="C251" s="419" t="str">
        <f>IF(DataH!$X243&lt;0, NA(), IF(ISERROR(DataH!$W243/DataH!$X243), "", DataH!$W243/DataH!$X243))</f>
        <v/>
      </c>
      <c r="D251" s="419" t="str">
        <f>IF(DataH!$Y243&lt;0, NA(), IF(ISERROR(DataH!$W243/DataH!$Y243), "", DataH!$W243/DataH!$Y243))</f>
        <v/>
      </c>
      <c r="E251" s="420" t="str">
        <f>IF(DataH!$Z243&lt;0, NA(), IF(ISERROR(DataH!$W243/DataH!$Z243), "", DataH!$W243/DataH!$Z243))</f>
        <v/>
      </c>
      <c r="G251" s="421" t="str">
        <f>IF(DataH!$AB243&lt;0, NA(), IF(ISERROR(DataH!$AA243/DataH!$AB243), "", DataH!$AA243/DataH!$AB243))</f>
        <v/>
      </c>
      <c r="H251" s="419" t="str">
        <f>IF(DataH!$AC243&lt;0, NA(), IF(ISERROR(DataH!$AA243/DataH!$AC243), "", DataH!$AA243/DataH!$AC243))</f>
        <v/>
      </c>
      <c r="I251" s="420" t="str">
        <f>IF(DataH!$AD243&lt;0, NA(), IF(ISERROR(DataH!$AA243/DataH!$AD243), "", DataH!$AA243/DataH!$AD243))</f>
        <v/>
      </c>
      <c r="J251" s="216"/>
      <c r="K251" s="216"/>
      <c r="L251" s="216"/>
      <c r="M251" s="216"/>
      <c r="N251" s="216"/>
      <c r="O251" s="216"/>
      <c r="P251" s="216"/>
      <c r="Q251" s="216"/>
      <c r="R251" s="216"/>
      <c r="S251" s="216"/>
      <c r="T251" s="216"/>
      <c r="U251" s="216"/>
      <c r="V251" s="216"/>
    </row>
    <row r="252" spans="2:22" ht="15" customHeight="1">
      <c r="B252" s="322" t="str">
        <f>IF(DataH!$V244="", "", DataH!$V244)</f>
        <v/>
      </c>
      <c r="C252" s="416" t="str">
        <f>IF(DataH!$X244&lt;0, NA(), IF(ISERROR(DataH!$W244/DataH!$X244), "", DataH!$W244/DataH!$X244))</f>
        <v/>
      </c>
      <c r="D252" s="416" t="str">
        <f>IF(DataH!$Y244&lt;0, NA(), IF(ISERROR(DataH!$W244/DataH!$Y244), "", DataH!$W244/DataH!$Y244))</f>
        <v/>
      </c>
      <c r="E252" s="417" t="str">
        <f>IF(DataH!$Z244&lt;0, NA(), IF(ISERROR(DataH!$W244/DataH!$Z244), "", DataH!$W244/DataH!$Z244))</f>
        <v/>
      </c>
      <c r="G252" s="418" t="str">
        <f>IF(DataH!$AB244&lt;0, NA(), IF(ISERROR(DataH!$AA244/DataH!$AB244), "", DataH!$AA244/DataH!$AB244))</f>
        <v/>
      </c>
      <c r="H252" s="416" t="str">
        <f>IF(DataH!$AC244&lt;0, NA(), IF(ISERROR(DataH!$AA244/DataH!$AC244), "", DataH!$AA244/DataH!$AC244))</f>
        <v/>
      </c>
      <c r="I252" s="417" t="str">
        <f>IF(DataH!$AD244&lt;0, NA(), IF(ISERROR(DataH!$AA244/DataH!$AD244), "", DataH!$AA244/DataH!$AD244))</f>
        <v/>
      </c>
      <c r="J252" s="216"/>
      <c r="K252" s="216"/>
      <c r="L252" s="216"/>
      <c r="M252" s="216"/>
      <c r="N252" s="216"/>
      <c r="O252" s="216"/>
      <c r="P252" s="216"/>
      <c r="Q252" s="216"/>
      <c r="R252" s="216"/>
      <c r="S252" s="216"/>
      <c r="T252" s="216"/>
      <c r="U252" s="216"/>
      <c r="V252" s="216"/>
    </row>
    <row r="253" spans="2:22" ht="15" customHeight="1">
      <c r="B253" s="318" t="str">
        <f>IF(DataH!$V245="", "", DataH!$V245)</f>
        <v/>
      </c>
      <c r="C253" s="419" t="str">
        <f>IF(DataH!$X245&lt;0, NA(), IF(ISERROR(DataH!$W245/DataH!$X245), "", DataH!$W245/DataH!$X245))</f>
        <v/>
      </c>
      <c r="D253" s="419" t="str">
        <f>IF(DataH!$Y245&lt;0, NA(), IF(ISERROR(DataH!$W245/DataH!$Y245), "", DataH!$W245/DataH!$Y245))</f>
        <v/>
      </c>
      <c r="E253" s="420" t="str">
        <f>IF(DataH!$Z245&lt;0, NA(), IF(ISERROR(DataH!$W245/DataH!$Z245), "", DataH!$W245/DataH!$Z245))</f>
        <v/>
      </c>
      <c r="G253" s="421" t="str">
        <f>IF(DataH!$AB245&lt;0, NA(), IF(ISERROR(DataH!$AA245/DataH!$AB245), "", DataH!$AA245/DataH!$AB245))</f>
        <v/>
      </c>
      <c r="H253" s="419" t="str">
        <f>IF(DataH!$AC245&lt;0, NA(), IF(ISERROR(DataH!$AA245/DataH!$AC245), "", DataH!$AA245/DataH!$AC245))</f>
        <v/>
      </c>
      <c r="I253" s="420" t="str">
        <f>IF(DataH!$AD245&lt;0, NA(), IF(ISERROR(DataH!$AA245/DataH!$AD245), "", DataH!$AA245/DataH!$AD245))</f>
        <v/>
      </c>
      <c r="J253" s="216"/>
      <c r="K253" s="216"/>
      <c r="L253" s="216"/>
      <c r="M253" s="216"/>
      <c r="N253" s="216"/>
      <c r="O253" s="216"/>
      <c r="P253" s="216"/>
      <c r="Q253" s="216"/>
      <c r="R253" s="216"/>
      <c r="S253" s="216"/>
      <c r="T253" s="216"/>
      <c r="U253" s="216"/>
      <c r="V253" s="216"/>
    </row>
    <row r="254" spans="2:22" ht="15" customHeight="1">
      <c r="B254" s="322" t="str">
        <f>IF(DataH!$V246="", "", DataH!$V246)</f>
        <v/>
      </c>
      <c r="C254" s="416" t="str">
        <f>IF(DataH!$X246&lt;0, NA(), IF(ISERROR(DataH!$W246/DataH!$X246), "", DataH!$W246/DataH!$X246))</f>
        <v/>
      </c>
      <c r="D254" s="416" t="str">
        <f>IF(DataH!$Y246&lt;0, NA(), IF(ISERROR(DataH!$W246/DataH!$Y246), "", DataH!$W246/DataH!$Y246))</f>
        <v/>
      </c>
      <c r="E254" s="417" t="str">
        <f>IF(DataH!$Z246&lt;0, NA(), IF(ISERROR(DataH!$W246/DataH!$Z246), "", DataH!$W246/DataH!$Z246))</f>
        <v/>
      </c>
      <c r="G254" s="418" t="str">
        <f>IF(DataH!$AB246&lt;0, NA(), IF(ISERROR(DataH!$AA246/DataH!$AB246), "", DataH!$AA246/DataH!$AB246))</f>
        <v/>
      </c>
      <c r="H254" s="416" t="str">
        <f>IF(DataH!$AC246&lt;0, NA(), IF(ISERROR(DataH!$AA246/DataH!$AC246), "", DataH!$AA246/DataH!$AC246))</f>
        <v/>
      </c>
      <c r="I254" s="417" t="str">
        <f>IF(DataH!$AD246&lt;0, NA(), IF(ISERROR(DataH!$AA246/DataH!$AD246), "", DataH!$AA246/DataH!$AD246))</f>
        <v/>
      </c>
      <c r="J254" s="216"/>
      <c r="K254" s="216"/>
      <c r="L254" s="216"/>
      <c r="M254" s="216"/>
      <c r="N254" s="216"/>
      <c r="O254" s="216"/>
      <c r="P254" s="216"/>
      <c r="Q254" s="216"/>
      <c r="R254" s="216"/>
      <c r="S254" s="216"/>
      <c r="T254" s="216"/>
      <c r="U254" s="216"/>
      <c r="V254" s="216"/>
    </row>
    <row r="255" spans="2:22" ht="15" customHeight="1">
      <c r="B255" s="318" t="str">
        <f>IF(DataH!$V247="", "", DataH!$V247)</f>
        <v/>
      </c>
      <c r="C255" s="419" t="str">
        <f>IF(DataH!$X247&lt;0, NA(), IF(ISERROR(DataH!$W247/DataH!$X247), "", DataH!$W247/DataH!$X247))</f>
        <v/>
      </c>
      <c r="D255" s="419" t="str">
        <f>IF(DataH!$Y247&lt;0, NA(), IF(ISERROR(DataH!$W247/DataH!$Y247), "", DataH!$W247/DataH!$Y247))</f>
        <v/>
      </c>
      <c r="E255" s="420" t="str">
        <f>IF(DataH!$Z247&lt;0, NA(), IF(ISERROR(DataH!$W247/DataH!$Z247), "", DataH!$W247/DataH!$Z247))</f>
        <v/>
      </c>
      <c r="G255" s="421" t="str">
        <f>IF(DataH!$AB247&lt;0, NA(), IF(ISERROR(DataH!$AA247/DataH!$AB247), "", DataH!$AA247/DataH!$AB247))</f>
        <v/>
      </c>
      <c r="H255" s="419" t="str">
        <f>IF(DataH!$AC247&lt;0, NA(), IF(ISERROR(DataH!$AA247/DataH!$AC247), "", DataH!$AA247/DataH!$AC247))</f>
        <v/>
      </c>
      <c r="I255" s="420" t="str">
        <f>IF(DataH!$AD247&lt;0, NA(), IF(ISERROR(DataH!$AA247/DataH!$AD247), "", DataH!$AA247/DataH!$AD247))</f>
        <v/>
      </c>
      <c r="J255" s="216"/>
      <c r="K255" s="216"/>
      <c r="L255" s="216"/>
      <c r="M255" s="216"/>
      <c r="N255" s="216"/>
      <c r="O255" s="216"/>
      <c r="P255" s="216"/>
      <c r="Q255" s="216"/>
      <c r="R255" s="216"/>
      <c r="S255" s="216"/>
      <c r="T255" s="216"/>
      <c r="U255" s="216"/>
      <c r="V255" s="216"/>
    </row>
    <row r="256" spans="2:22" ht="15" customHeight="1">
      <c r="B256" s="322" t="str">
        <f>IF(DataH!$V248="", "", DataH!$V248)</f>
        <v/>
      </c>
      <c r="C256" s="416" t="str">
        <f>IF(DataH!$X248&lt;0, NA(), IF(ISERROR(DataH!$W248/DataH!$X248), "", DataH!$W248/DataH!$X248))</f>
        <v/>
      </c>
      <c r="D256" s="416" t="str">
        <f>IF(DataH!$Y248&lt;0, NA(), IF(ISERROR(DataH!$W248/DataH!$Y248), "", DataH!$W248/DataH!$Y248))</f>
        <v/>
      </c>
      <c r="E256" s="417" t="str">
        <f>IF(DataH!$Z248&lt;0, NA(), IF(ISERROR(DataH!$W248/DataH!$Z248), "", DataH!$W248/DataH!$Z248))</f>
        <v/>
      </c>
      <c r="G256" s="418" t="str">
        <f>IF(DataH!$AB248&lt;0, NA(), IF(ISERROR(DataH!$AA248/DataH!$AB248), "", DataH!$AA248/DataH!$AB248))</f>
        <v/>
      </c>
      <c r="H256" s="416" t="str">
        <f>IF(DataH!$AC248&lt;0, NA(), IF(ISERROR(DataH!$AA248/DataH!$AC248), "", DataH!$AA248/DataH!$AC248))</f>
        <v/>
      </c>
      <c r="I256" s="417" t="str">
        <f>IF(DataH!$AD248&lt;0, NA(), IF(ISERROR(DataH!$AA248/DataH!$AD248), "", DataH!$AA248/DataH!$AD248))</f>
        <v/>
      </c>
      <c r="J256" s="216"/>
      <c r="K256" s="216"/>
      <c r="L256" s="216"/>
      <c r="M256" s="216"/>
      <c r="N256" s="216"/>
      <c r="O256" s="216"/>
      <c r="P256" s="216"/>
      <c r="Q256" s="216"/>
      <c r="R256" s="216"/>
      <c r="S256" s="216"/>
      <c r="T256" s="216"/>
      <c r="U256" s="216"/>
      <c r="V256" s="216"/>
    </row>
    <row r="257" spans="2:22" ht="15" customHeight="1">
      <c r="B257" s="318" t="str">
        <f>IF(DataH!$V249="", "", DataH!$V249)</f>
        <v/>
      </c>
      <c r="C257" s="419" t="str">
        <f>IF(DataH!$X249&lt;0, NA(), IF(ISERROR(DataH!$W249/DataH!$X249), "", DataH!$W249/DataH!$X249))</f>
        <v/>
      </c>
      <c r="D257" s="419" t="str">
        <f>IF(DataH!$Y249&lt;0, NA(), IF(ISERROR(DataH!$W249/DataH!$Y249), "", DataH!$W249/DataH!$Y249))</f>
        <v/>
      </c>
      <c r="E257" s="420" t="str">
        <f>IF(DataH!$Z249&lt;0, NA(), IF(ISERROR(DataH!$W249/DataH!$Z249), "", DataH!$W249/DataH!$Z249))</f>
        <v/>
      </c>
      <c r="G257" s="421" t="str">
        <f>IF(DataH!$AB249&lt;0, NA(), IF(ISERROR(DataH!$AA249/DataH!$AB249), "", DataH!$AA249/DataH!$AB249))</f>
        <v/>
      </c>
      <c r="H257" s="419" t="str">
        <f>IF(DataH!$AC249&lt;0, NA(), IF(ISERROR(DataH!$AA249/DataH!$AC249), "", DataH!$AA249/DataH!$AC249))</f>
        <v/>
      </c>
      <c r="I257" s="420" t="str">
        <f>IF(DataH!$AD249&lt;0, NA(), IF(ISERROR(DataH!$AA249/DataH!$AD249), "", DataH!$AA249/DataH!$AD249))</f>
        <v/>
      </c>
      <c r="J257" s="216"/>
      <c r="K257" s="216"/>
      <c r="L257" s="216"/>
      <c r="M257" s="216"/>
      <c r="N257" s="216"/>
      <c r="O257" s="216"/>
      <c r="P257" s="216"/>
      <c r="Q257" s="216"/>
      <c r="R257" s="216"/>
      <c r="S257" s="216"/>
      <c r="T257" s="216"/>
      <c r="U257" s="216"/>
      <c r="V257" s="216"/>
    </row>
    <row r="258" spans="2:22" ht="15" customHeight="1">
      <c r="B258" s="322" t="str">
        <f>IF(DataH!$V250="", "", DataH!$V250)</f>
        <v/>
      </c>
      <c r="C258" s="416" t="str">
        <f>IF(DataH!$X250&lt;0, NA(), IF(ISERROR(DataH!$W250/DataH!$X250), "", DataH!$W250/DataH!$X250))</f>
        <v/>
      </c>
      <c r="D258" s="416" t="str">
        <f>IF(DataH!$Y250&lt;0, NA(), IF(ISERROR(DataH!$W250/DataH!$Y250), "", DataH!$W250/DataH!$Y250))</f>
        <v/>
      </c>
      <c r="E258" s="417" t="str">
        <f>IF(DataH!$Z250&lt;0, NA(), IF(ISERROR(DataH!$W250/DataH!$Z250), "", DataH!$W250/DataH!$Z250))</f>
        <v/>
      </c>
      <c r="G258" s="418" t="str">
        <f>IF(DataH!$AB250&lt;0, NA(), IF(ISERROR(DataH!$AA250/DataH!$AB250), "", DataH!$AA250/DataH!$AB250))</f>
        <v/>
      </c>
      <c r="H258" s="416" t="str">
        <f>IF(DataH!$AC250&lt;0, NA(), IF(ISERROR(DataH!$AA250/DataH!$AC250), "", DataH!$AA250/DataH!$AC250))</f>
        <v/>
      </c>
      <c r="I258" s="417" t="str">
        <f>IF(DataH!$AD250&lt;0, NA(), IF(ISERROR(DataH!$AA250/DataH!$AD250), "", DataH!$AA250/DataH!$AD250))</f>
        <v/>
      </c>
      <c r="J258" s="216"/>
      <c r="K258" s="216"/>
      <c r="L258" s="216"/>
      <c r="M258" s="216"/>
      <c r="N258" s="216"/>
      <c r="O258" s="216"/>
      <c r="P258" s="216"/>
      <c r="Q258" s="216"/>
      <c r="R258" s="216"/>
      <c r="S258" s="216"/>
      <c r="T258" s="216"/>
      <c r="U258" s="216"/>
      <c r="V258" s="216"/>
    </row>
    <row r="259" spans="2:22" ht="15" customHeight="1">
      <c r="B259" s="318" t="str">
        <f>IF(DataH!$V251="", "", DataH!$V251)</f>
        <v/>
      </c>
      <c r="C259" s="419" t="str">
        <f>IF(DataH!$X251&lt;0, NA(), IF(ISERROR(DataH!$W251/DataH!$X251), "", DataH!$W251/DataH!$X251))</f>
        <v/>
      </c>
      <c r="D259" s="419" t="str">
        <f>IF(DataH!$Y251&lt;0, NA(), IF(ISERROR(DataH!$W251/DataH!$Y251), "", DataH!$W251/DataH!$Y251))</f>
        <v/>
      </c>
      <c r="E259" s="420" t="str">
        <f>IF(DataH!$Z251&lt;0, NA(), IF(ISERROR(DataH!$W251/DataH!$Z251), "", DataH!$W251/DataH!$Z251))</f>
        <v/>
      </c>
      <c r="G259" s="421" t="str">
        <f>IF(DataH!$AB251&lt;0, NA(), IF(ISERROR(DataH!$AA251/DataH!$AB251), "", DataH!$AA251/DataH!$AB251))</f>
        <v/>
      </c>
      <c r="H259" s="419" t="str">
        <f>IF(DataH!$AC251&lt;0, NA(), IF(ISERROR(DataH!$AA251/DataH!$AC251), "", DataH!$AA251/DataH!$AC251))</f>
        <v/>
      </c>
      <c r="I259" s="420" t="str">
        <f>IF(DataH!$AD251&lt;0, NA(), IF(ISERROR(DataH!$AA251/DataH!$AD251), "", DataH!$AA251/DataH!$AD251))</f>
        <v/>
      </c>
      <c r="J259" s="216"/>
      <c r="K259" s="216"/>
      <c r="L259" s="216"/>
      <c r="M259" s="216"/>
      <c r="N259" s="216"/>
      <c r="O259" s="216"/>
      <c r="P259" s="216"/>
      <c r="Q259" s="216"/>
      <c r="R259" s="216"/>
      <c r="S259" s="216"/>
      <c r="T259" s="216"/>
      <c r="U259" s="216"/>
      <c r="V259" s="216"/>
    </row>
    <row r="260" spans="2:22" ht="15" customHeight="1">
      <c r="B260" s="322" t="str">
        <f>IF(DataH!$V252="", "", DataH!$V252)</f>
        <v/>
      </c>
      <c r="C260" s="416" t="str">
        <f>IF(DataH!$X252&lt;0, NA(), IF(ISERROR(DataH!$W252/DataH!$X252), "", DataH!$W252/DataH!$X252))</f>
        <v/>
      </c>
      <c r="D260" s="416" t="str">
        <f>IF(DataH!$Y252&lt;0, NA(), IF(ISERROR(DataH!$W252/DataH!$Y252), "", DataH!$W252/DataH!$Y252))</f>
        <v/>
      </c>
      <c r="E260" s="417" t="str">
        <f>IF(DataH!$Z252&lt;0, NA(), IF(ISERROR(DataH!$W252/DataH!$Z252), "", DataH!$W252/DataH!$Z252))</f>
        <v/>
      </c>
      <c r="G260" s="418" t="str">
        <f>IF(DataH!$AB252&lt;0, NA(), IF(ISERROR(DataH!$AA252/DataH!$AB252), "", DataH!$AA252/DataH!$AB252))</f>
        <v/>
      </c>
      <c r="H260" s="416" t="str">
        <f>IF(DataH!$AC252&lt;0, NA(), IF(ISERROR(DataH!$AA252/DataH!$AC252), "", DataH!$AA252/DataH!$AC252))</f>
        <v/>
      </c>
      <c r="I260" s="417" t="str">
        <f>IF(DataH!$AD252&lt;0, NA(), IF(ISERROR(DataH!$AA252/DataH!$AD252), "", DataH!$AA252/DataH!$AD252))</f>
        <v/>
      </c>
      <c r="J260" s="216"/>
      <c r="K260" s="216"/>
      <c r="L260" s="216"/>
      <c r="M260" s="216"/>
      <c r="N260" s="216"/>
      <c r="O260" s="216"/>
      <c r="P260" s="216"/>
      <c r="Q260" s="216"/>
      <c r="R260" s="216"/>
      <c r="S260" s="216"/>
      <c r="T260" s="216"/>
      <c r="U260" s="216"/>
      <c r="V260" s="216"/>
    </row>
    <row r="261" spans="2:22" ht="15" customHeight="1">
      <c r="B261" s="318" t="str">
        <f>IF(DataH!$V253="", "", DataH!$V253)</f>
        <v/>
      </c>
      <c r="C261" s="419" t="str">
        <f>IF(DataH!$X253&lt;0, NA(), IF(ISERROR(DataH!$W253/DataH!$X253), "", DataH!$W253/DataH!$X253))</f>
        <v/>
      </c>
      <c r="D261" s="419" t="str">
        <f>IF(DataH!$Y253&lt;0, NA(), IF(ISERROR(DataH!$W253/DataH!$Y253), "", DataH!$W253/DataH!$Y253))</f>
        <v/>
      </c>
      <c r="E261" s="420" t="str">
        <f>IF(DataH!$Z253&lt;0, NA(), IF(ISERROR(DataH!$W253/DataH!$Z253), "", DataH!$W253/DataH!$Z253))</f>
        <v/>
      </c>
      <c r="G261" s="421" t="str">
        <f>IF(DataH!$AB253&lt;0, NA(), IF(ISERROR(DataH!$AA253/DataH!$AB253), "", DataH!$AA253/DataH!$AB253))</f>
        <v/>
      </c>
      <c r="H261" s="419" t="str">
        <f>IF(DataH!$AC253&lt;0, NA(), IF(ISERROR(DataH!$AA253/DataH!$AC253), "", DataH!$AA253/DataH!$AC253))</f>
        <v/>
      </c>
      <c r="I261" s="420" t="str">
        <f>IF(DataH!$AD253&lt;0, NA(), IF(ISERROR(DataH!$AA253/DataH!$AD253), "", DataH!$AA253/DataH!$AD253))</f>
        <v/>
      </c>
      <c r="J261" s="216"/>
      <c r="K261" s="216"/>
      <c r="L261" s="216"/>
      <c r="M261" s="216"/>
      <c r="N261" s="216"/>
      <c r="O261" s="216"/>
      <c r="P261" s="216"/>
      <c r="Q261" s="216"/>
      <c r="R261" s="216"/>
      <c r="S261" s="216"/>
      <c r="T261" s="216"/>
      <c r="U261" s="216"/>
      <c r="V261" s="216"/>
    </row>
    <row r="262" spans="2:22" ht="15" customHeight="1">
      <c r="B262" s="322" t="str">
        <f>IF(DataH!$V254="", "", DataH!$V254)</f>
        <v/>
      </c>
      <c r="C262" s="416" t="str">
        <f>IF(DataH!$X254&lt;0, NA(), IF(ISERROR(DataH!$W254/DataH!$X254), "", DataH!$W254/DataH!$X254))</f>
        <v/>
      </c>
      <c r="D262" s="416" t="str">
        <f>IF(DataH!$Y254&lt;0, NA(), IF(ISERROR(DataH!$W254/DataH!$Y254), "", DataH!$W254/DataH!$Y254))</f>
        <v/>
      </c>
      <c r="E262" s="417" t="str">
        <f>IF(DataH!$Z254&lt;0, NA(), IF(ISERROR(DataH!$W254/DataH!$Z254), "", DataH!$W254/DataH!$Z254))</f>
        <v/>
      </c>
      <c r="G262" s="418" t="str">
        <f>IF(DataH!$AB254&lt;0, NA(), IF(ISERROR(DataH!$AA254/DataH!$AB254), "", DataH!$AA254/DataH!$AB254))</f>
        <v/>
      </c>
      <c r="H262" s="416" t="str">
        <f>IF(DataH!$AC254&lt;0, NA(), IF(ISERROR(DataH!$AA254/DataH!$AC254), "", DataH!$AA254/DataH!$AC254))</f>
        <v/>
      </c>
      <c r="I262" s="417" t="str">
        <f>IF(DataH!$AD254&lt;0, NA(), IF(ISERROR(DataH!$AA254/DataH!$AD254), "", DataH!$AA254/DataH!$AD254))</f>
        <v/>
      </c>
      <c r="J262" s="216"/>
      <c r="K262" s="216"/>
      <c r="L262" s="216"/>
      <c r="M262" s="216"/>
      <c r="N262" s="216"/>
      <c r="O262" s="216"/>
      <c r="P262" s="216"/>
      <c r="Q262" s="216"/>
      <c r="R262" s="216"/>
      <c r="S262" s="216"/>
      <c r="T262" s="216"/>
      <c r="U262" s="216"/>
      <c r="V262" s="216"/>
    </row>
    <row r="263" spans="2:22" ht="15" customHeight="1">
      <c r="B263" s="318" t="str">
        <f>IF(DataH!$V255="", "", DataH!$V255)</f>
        <v/>
      </c>
      <c r="C263" s="419" t="str">
        <f>IF(DataH!$X255&lt;0, NA(), IF(ISERROR(DataH!$W255/DataH!$X255), "", DataH!$W255/DataH!$X255))</f>
        <v/>
      </c>
      <c r="D263" s="419" t="str">
        <f>IF(DataH!$Y255&lt;0, NA(), IF(ISERROR(DataH!$W255/DataH!$Y255), "", DataH!$W255/DataH!$Y255))</f>
        <v/>
      </c>
      <c r="E263" s="420" t="str">
        <f>IF(DataH!$Z255&lt;0, NA(), IF(ISERROR(DataH!$W255/DataH!$Z255), "", DataH!$W255/DataH!$Z255))</f>
        <v/>
      </c>
      <c r="G263" s="421" t="str">
        <f>IF(DataH!$AB255&lt;0, NA(), IF(ISERROR(DataH!$AA255/DataH!$AB255), "", DataH!$AA255/DataH!$AB255))</f>
        <v/>
      </c>
      <c r="H263" s="419" t="str">
        <f>IF(DataH!$AC255&lt;0, NA(), IF(ISERROR(DataH!$AA255/DataH!$AC255), "", DataH!$AA255/DataH!$AC255))</f>
        <v/>
      </c>
      <c r="I263" s="420" t="str">
        <f>IF(DataH!$AD255&lt;0, NA(), IF(ISERROR(DataH!$AA255/DataH!$AD255), "", DataH!$AA255/DataH!$AD255))</f>
        <v/>
      </c>
      <c r="J263" s="216"/>
      <c r="K263" s="216"/>
      <c r="L263" s="216"/>
      <c r="M263" s="216"/>
      <c r="N263" s="216"/>
      <c r="O263" s="216"/>
      <c r="P263" s="216"/>
      <c r="Q263" s="216"/>
      <c r="R263" s="216"/>
      <c r="S263" s="216"/>
      <c r="T263" s="216"/>
      <c r="U263" s="216"/>
      <c r="V263" s="216"/>
    </row>
    <row r="264" spans="2:22" ht="15" customHeight="1">
      <c r="B264" s="322" t="str">
        <f>IF(DataH!$V256="", "", DataH!$V256)</f>
        <v/>
      </c>
      <c r="C264" s="416" t="str">
        <f>IF(DataH!$X256&lt;0, NA(), IF(ISERROR(DataH!$W256/DataH!$X256), "", DataH!$W256/DataH!$X256))</f>
        <v/>
      </c>
      <c r="D264" s="416" t="str">
        <f>IF(DataH!$Y256&lt;0, NA(), IF(ISERROR(DataH!$W256/DataH!$Y256), "", DataH!$W256/DataH!$Y256))</f>
        <v/>
      </c>
      <c r="E264" s="417" t="str">
        <f>IF(DataH!$Z256&lt;0, NA(), IF(ISERROR(DataH!$W256/DataH!$Z256), "", DataH!$W256/DataH!$Z256))</f>
        <v/>
      </c>
      <c r="G264" s="418" t="str">
        <f>IF(DataH!$AB256&lt;0, NA(), IF(ISERROR(DataH!$AA256/DataH!$AB256), "", DataH!$AA256/DataH!$AB256))</f>
        <v/>
      </c>
      <c r="H264" s="416" t="str">
        <f>IF(DataH!$AC256&lt;0, NA(), IF(ISERROR(DataH!$AA256/DataH!$AC256), "", DataH!$AA256/DataH!$AC256))</f>
        <v/>
      </c>
      <c r="I264" s="417" t="str">
        <f>IF(DataH!$AD256&lt;0, NA(), IF(ISERROR(DataH!$AA256/DataH!$AD256), "", DataH!$AA256/DataH!$AD256))</f>
        <v/>
      </c>
      <c r="J264" s="216"/>
      <c r="K264" s="216"/>
      <c r="L264" s="216"/>
      <c r="M264" s="216"/>
      <c r="N264" s="216"/>
      <c r="O264" s="216"/>
      <c r="P264" s="216"/>
      <c r="Q264" s="216"/>
      <c r="R264" s="216"/>
      <c r="S264" s="216"/>
      <c r="T264" s="216"/>
      <c r="U264" s="216"/>
      <c r="V264" s="216"/>
    </row>
    <row r="265" spans="2:22" ht="15" customHeight="1">
      <c r="B265" s="318" t="str">
        <f>IF(DataH!$V257="", "", DataH!$V257)</f>
        <v/>
      </c>
      <c r="C265" s="419" t="str">
        <f>IF(DataH!$X257&lt;0, NA(), IF(ISERROR(DataH!$W257/DataH!$X257), "", DataH!$W257/DataH!$X257))</f>
        <v/>
      </c>
      <c r="D265" s="419" t="str">
        <f>IF(DataH!$Y257&lt;0, NA(), IF(ISERROR(DataH!$W257/DataH!$Y257), "", DataH!$W257/DataH!$Y257))</f>
        <v/>
      </c>
      <c r="E265" s="420" t="str">
        <f>IF(DataH!$Z257&lt;0, NA(), IF(ISERROR(DataH!$W257/DataH!$Z257), "", DataH!$W257/DataH!$Z257))</f>
        <v/>
      </c>
      <c r="G265" s="421" t="str">
        <f>IF(DataH!$AB257&lt;0, NA(), IF(ISERROR(DataH!$AA257/DataH!$AB257), "", DataH!$AA257/DataH!$AB257))</f>
        <v/>
      </c>
      <c r="H265" s="419" t="str">
        <f>IF(DataH!$AC257&lt;0, NA(), IF(ISERROR(DataH!$AA257/DataH!$AC257), "", DataH!$AA257/DataH!$AC257))</f>
        <v/>
      </c>
      <c r="I265" s="420" t="str">
        <f>IF(DataH!$AD257&lt;0, NA(), IF(ISERROR(DataH!$AA257/DataH!$AD257), "", DataH!$AA257/DataH!$AD257))</f>
        <v/>
      </c>
      <c r="J265" s="216"/>
      <c r="K265" s="216"/>
      <c r="L265" s="216"/>
      <c r="M265" s="216"/>
      <c r="N265" s="216"/>
      <c r="O265" s="216"/>
      <c r="P265" s="216"/>
      <c r="Q265" s="216"/>
      <c r="R265" s="216"/>
      <c r="S265" s="216"/>
      <c r="T265" s="216"/>
      <c r="U265" s="216"/>
      <c r="V265" s="216"/>
    </row>
    <row r="266" spans="2:22" ht="15" customHeight="1">
      <c r="B266" s="322" t="str">
        <f>IF(DataH!$V258="", "", DataH!$V258)</f>
        <v/>
      </c>
      <c r="C266" s="416" t="str">
        <f>IF(DataH!$X258&lt;0, NA(), IF(ISERROR(DataH!$W258/DataH!$X258), "", DataH!$W258/DataH!$X258))</f>
        <v/>
      </c>
      <c r="D266" s="416" t="str">
        <f>IF(DataH!$Y258&lt;0, NA(), IF(ISERROR(DataH!$W258/DataH!$Y258), "", DataH!$W258/DataH!$Y258))</f>
        <v/>
      </c>
      <c r="E266" s="417" t="str">
        <f>IF(DataH!$Z258&lt;0, NA(), IF(ISERROR(DataH!$W258/DataH!$Z258), "", DataH!$W258/DataH!$Z258))</f>
        <v/>
      </c>
      <c r="G266" s="418" t="str">
        <f>IF(DataH!$AB258&lt;0, NA(), IF(ISERROR(DataH!$AA258/DataH!$AB258), "", DataH!$AA258/DataH!$AB258))</f>
        <v/>
      </c>
      <c r="H266" s="416" t="str">
        <f>IF(DataH!$AC258&lt;0, NA(), IF(ISERROR(DataH!$AA258/DataH!$AC258), "", DataH!$AA258/DataH!$AC258))</f>
        <v/>
      </c>
      <c r="I266" s="417" t="str">
        <f>IF(DataH!$AD258&lt;0, NA(), IF(ISERROR(DataH!$AA258/DataH!$AD258), "", DataH!$AA258/DataH!$AD258))</f>
        <v/>
      </c>
      <c r="J266" s="216"/>
      <c r="K266" s="216"/>
      <c r="L266" s="216"/>
      <c r="M266" s="216"/>
      <c r="N266" s="216"/>
      <c r="O266" s="216"/>
      <c r="P266" s="216"/>
      <c r="Q266" s="216"/>
      <c r="R266" s="216"/>
      <c r="S266" s="216"/>
      <c r="T266" s="216"/>
      <c r="U266" s="216"/>
      <c r="V266" s="216"/>
    </row>
    <row r="267" spans="2:22" ht="15" customHeight="1">
      <c r="B267" s="318" t="str">
        <f>IF(DataH!$V259="", "", DataH!$V259)</f>
        <v/>
      </c>
      <c r="C267" s="419" t="str">
        <f>IF(DataH!$X259&lt;0, NA(), IF(ISERROR(DataH!$W259/DataH!$X259), "", DataH!$W259/DataH!$X259))</f>
        <v/>
      </c>
      <c r="D267" s="419" t="str">
        <f>IF(DataH!$Y259&lt;0, NA(), IF(ISERROR(DataH!$W259/DataH!$Y259), "", DataH!$W259/DataH!$Y259))</f>
        <v/>
      </c>
      <c r="E267" s="420" t="str">
        <f>IF(DataH!$Z259&lt;0, NA(), IF(ISERROR(DataH!$W259/DataH!$Z259), "", DataH!$W259/DataH!$Z259))</f>
        <v/>
      </c>
      <c r="G267" s="421" t="str">
        <f>IF(DataH!$AB259&lt;0, NA(), IF(ISERROR(DataH!$AA259/DataH!$AB259), "", DataH!$AA259/DataH!$AB259))</f>
        <v/>
      </c>
      <c r="H267" s="419" t="str">
        <f>IF(DataH!$AC259&lt;0, NA(), IF(ISERROR(DataH!$AA259/DataH!$AC259), "", DataH!$AA259/DataH!$AC259))</f>
        <v/>
      </c>
      <c r="I267" s="420" t="str">
        <f>IF(DataH!$AD259&lt;0, NA(), IF(ISERROR(DataH!$AA259/DataH!$AD259), "", DataH!$AA259/DataH!$AD259))</f>
        <v/>
      </c>
      <c r="J267" s="216"/>
      <c r="K267" s="216"/>
      <c r="L267" s="216"/>
      <c r="M267" s="216"/>
      <c r="N267" s="216"/>
      <c r="O267" s="216"/>
      <c r="P267" s="216"/>
      <c r="Q267" s="216"/>
      <c r="R267" s="216"/>
      <c r="S267" s="216"/>
      <c r="T267" s="216"/>
      <c r="U267" s="216"/>
      <c r="V267" s="216"/>
    </row>
    <row r="268" spans="2:22" ht="15" customHeight="1">
      <c r="B268" s="322" t="str">
        <f>IF(DataH!$V260="", "", DataH!$V260)</f>
        <v/>
      </c>
      <c r="C268" s="416" t="str">
        <f>IF(DataH!$X260&lt;0, NA(), IF(ISERROR(DataH!$W260/DataH!$X260), "", DataH!$W260/DataH!$X260))</f>
        <v/>
      </c>
      <c r="D268" s="416" t="str">
        <f>IF(DataH!$Y260&lt;0, NA(), IF(ISERROR(DataH!$W260/DataH!$Y260), "", DataH!$W260/DataH!$Y260))</f>
        <v/>
      </c>
      <c r="E268" s="417" t="str">
        <f>IF(DataH!$Z260&lt;0, NA(), IF(ISERROR(DataH!$W260/DataH!$Z260), "", DataH!$W260/DataH!$Z260))</f>
        <v/>
      </c>
      <c r="G268" s="418" t="str">
        <f>IF(DataH!$AB260&lt;0, NA(), IF(ISERROR(DataH!$AA260/DataH!$AB260), "", DataH!$AA260/DataH!$AB260))</f>
        <v/>
      </c>
      <c r="H268" s="416" t="str">
        <f>IF(DataH!$AC260&lt;0, NA(), IF(ISERROR(DataH!$AA260/DataH!$AC260), "", DataH!$AA260/DataH!$AC260))</f>
        <v/>
      </c>
      <c r="I268" s="417" t="str">
        <f>IF(DataH!$AD260&lt;0, NA(), IF(ISERROR(DataH!$AA260/DataH!$AD260), "", DataH!$AA260/DataH!$AD260))</f>
        <v/>
      </c>
      <c r="J268" s="216"/>
      <c r="K268" s="216"/>
      <c r="L268" s="216"/>
      <c r="M268" s="216"/>
      <c r="N268" s="216"/>
      <c r="O268" s="216"/>
      <c r="P268" s="216"/>
      <c r="Q268" s="216"/>
      <c r="R268" s="216"/>
      <c r="S268" s="216"/>
      <c r="T268" s="216"/>
      <c r="U268" s="216"/>
      <c r="V268" s="216"/>
    </row>
    <row r="269" spans="2:22" ht="15" customHeight="1">
      <c r="B269" s="318" t="str">
        <f>IF(DataH!$V261="", "", DataH!$V261)</f>
        <v/>
      </c>
      <c r="C269" s="419" t="str">
        <f>IF(DataH!$X261&lt;0, NA(), IF(ISERROR(DataH!$W261/DataH!$X261), "", DataH!$W261/DataH!$X261))</f>
        <v/>
      </c>
      <c r="D269" s="419" t="str">
        <f>IF(DataH!$Y261&lt;0, NA(), IF(ISERROR(DataH!$W261/DataH!$Y261), "", DataH!$W261/DataH!$Y261))</f>
        <v/>
      </c>
      <c r="E269" s="420" t="str">
        <f>IF(DataH!$Z261&lt;0, NA(), IF(ISERROR(DataH!$W261/DataH!$Z261), "", DataH!$W261/DataH!$Z261))</f>
        <v/>
      </c>
      <c r="G269" s="421" t="str">
        <f>IF(DataH!$AB261&lt;0, NA(), IF(ISERROR(DataH!$AA261/DataH!$AB261), "", DataH!$AA261/DataH!$AB261))</f>
        <v/>
      </c>
      <c r="H269" s="419" t="str">
        <f>IF(DataH!$AC261&lt;0, NA(), IF(ISERROR(DataH!$AA261/DataH!$AC261), "", DataH!$AA261/DataH!$AC261))</f>
        <v/>
      </c>
      <c r="I269" s="420" t="str">
        <f>IF(DataH!$AD261&lt;0, NA(), IF(ISERROR(DataH!$AA261/DataH!$AD261), "", DataH!$AA261/DataH!$AD261))</f>
        <v/>
      </c>
      <c r="J269" s="216"/>
      <c r="K269" s="216"/>
      <c r="L269" s="216"/>
      <c r="M269" s="216"/>
      <c r="N269" s="216"/>
      <c r="O269" s="216"/>
      <c r="P269" s="216"/>
      <c r="Q269" s="216"/>
      <c r="R269" s="216"/>
      <c r="S269" s="216"/>
      <c r="T269" s="216"/>
      <c r="U269" s="216"/>
      <c r="V269" s="216"/>
    </row>
    <row r="270" spans="2:22" ht="15" customHeight="1">
      <c r="B270" s="322" t="str">
        <f>IF(DataH!$V262="", "", DataH!$V262)</f>
        <v/>
      </c>
      <c r="C270" s="416" t="str">
        <f>IF(DataH!$X262&lt;0, NA(), IF(ISERROR(DataH!$W262/DataH!$X262), "", DataH!$W262/DataH!$X262))</f>
        <v/>
      </c>
      <c r="D270" s="416" t="str">
        <f>IF(DataH!$Y262&lt;0, NA(), IF(ISERROR(DataH!$W262/DataH!$Y262), "", DataH!$W262/DataH!$Y262))</f>
        <v/>
      </c>
      <c r="E270" s="417" t="str">
        <f>IF(DataH!$Z262&lt;0, NA(), IF(ISERROR(DataH!$W262/DataH!$Z262), "", DataH!$W262/DataH!$Z262))</f>
        <v/>
      </c>
      <c r="G270" s="418" t="str">
        <f>IF(DataH!$AB262&lt;0, NA(), IF(ISERROR(DataH!$AA262/DataH!$AB262), "", DataH!$AA262/DataH!$AB262))</f>
        <v/>
      </c>
      <c r="H270" s="416" t="str">
        <f>IF(DataH!$AC262&lt;0, NA(), IF(ISERROR(DataH!$AA262/DataH!$AC262), "", DataH!$AA262/DataH!$AC262))</f>
        <v/>
      </c>
      <c r="I270" s="417" t="str">
        <f>IF(DataH!$AD262&lt;0, NA(), IF(ISERROR(DataH!$AA262/DataH!$AD262), "", DataH!$AA262/DataH!$AD262))</f>
        <v/>
      </c>
      <c r="J270" s="216"/>
      <c r="K270" s="216"/>
      <c r="L270" s="216"/>
      <c r="M270" s="216"/>
      <c r="N270" s="216"/>
      <c r="O270" s="216"/>
      <c r="P270" s="216"/>
      <c r="Q270" s="216"/>
      <c r="R270" s="216"/>
      <c r="S270" s="216"/>
      <c r="T270" s="216"/>
      <c r="U270" s="216"/>
      <c r="V270" s="216"/>
    </row>
    <row r="271" spans="2:22" ht="15" customHeight="1">
      <c r="B271" s="318" t="str">
        <f>IF(DataH!$V263="", "", DataH!$V263)</f>
        <v/>
      </c>
      <c r="C271" s="419" t="str">
        <f>IF(DataH!$X263&lt;0, NA(), IF(ISERROR(DataH!$W263/DataH!$X263), "", DataH!$W263/DataH!$X263))</f>
        <v/>
      </c>
      <c r="D271" s="419" t="str">
        <f>IF(DataH!$Y263&lt;0, NA(), IF(ISERROR(DataH!$W263/DataH!$Y263), "", DataH!$W263/DataH!$Y263))</f>
        <v/>
      </c>
      <c r="E271" s="420" t="str">
        <f>IF(DataH!$Z263&lt;0, NA(), IF(ISERROR(DataH!$W263/DataH!$Z263), "", DataH!$W263/DataH!$Z263))</f>
        <v/>
      </c>
      <c r="G271" s="421" t="str">
        <f>IF(DataH!$AB263&lt;0, NA(), IF(ISERROR(DataH!$AA263/DataH!$AB263), "", DataH!$AA263/DataH!$AB263))</f>
        <v/>
      </c>
      <c r="H271" s="419" t="str">
        <f>IF(DataH!$AC263&lt;0, NA(), IF(ISERROR(DataH!$AA263/DataH!$AC263), "", DataH!$AA263/DataH!$AC263))</f>
        <v/>
      </c>
      <c r="I271" s="420" t="str">
        <f>IF(DataH!$AD263&lt;0, NA(), IF(ISERROR(DataH!$AA263/DataH!$AD263), "", DataH!$AA263/DataH!$AD263))</f>
        <v/>
      </c>
      <c r="J271" s="216"/>
      <c r="K271" s="216"/>
      <c r="L271" s="216"/>
      <c r="M271" s="216"/>
      <c r="N271" s="216"/>
      <c r="O271" s="216"/>
      <c r="P271" s="216"/>
      <c r="Q271" s="216"/>
      <c r="R271" s="216"/>
      <c r="S271" s="216"/>
      <c r="T271" s="216"/>
      <c r="U271" s="216"/>
      <c r="V271" s="216"/>
    </row>
    <row r="272" spans="2:22" ht="15" customHeight="1">
      <c r="B272" s="322" t="str">
        <f>IF(DataH!$V264="", "", DataH!$V264)</f>
        <v/>
      </c>
      <c r="C272" s="416" t="str">
        <f>IF(DataH!$X264&lt;0, NA(), IF(ISERROR(DataH!$W264/DataH!$X264), "", DataH!$W264/DataH!$X264))</f>
        <v/>
      </c>
      <c r="D272" s="416" t="str">
        <f>IF(DataH!$Y264&lt;0, NA(), IF(ISERROR(DataH!$W264/DataH!$Y264), "", DataH!$W264/DataH!$Y264))</f>
        <v/>
      </c>
      <c r="E272" s="417" t="str">
        <f>IF(DataH!$Z264&lt;0, NA(), IF(ISERROR(DataH!$W264/DataH!$Z264), "", DataH!$W264/DataH!$Z264))</f>
        <v/>
      </c>
      <c r="G272" s="418" t="str">
        <f>IF(DataH!$AB264&lt;0, NA(), IF(ISERROR(DataH!$AA264/DataH!$AB264), "", DataH!$AA264/DataH!$AB264))</f>
        <v/>
      </c>
      <c r="H272" s="416" t="str">
        <f>IF(DataH!$AC264&lt;0, NA(), IF(ISERROR(DataH!$AA264/DataH!$AC264), "", DataH!$AA264/DataH!$AC264))</f>
        <v/>
      </c>
      <c r="I272" s="417" t="str">
        <f>IF(DataH!$AD264&lt;0, NA(), IF(ISERROR(DataH!$AA264/DataH!$AD264), "", DataH!$AA264/DataH!$AD264))</f>
        <v/>
      </c>
      <c r="J272" s="216"/>
      <c r="K272" s="216"/>
      <c r="L272" s="216"/>
      <c r="M272" s="216"/>
      <c r="N272" s="216"/>
      <c r="O272" s="216"/>
      <c r="P272" s="216"/>
      <c r="Q272" s="216"/>
      <c r="R272" s="216"/>
      <c r="S272" s="216"/>
      <c r="T272" s="216"/>
      <c r="U272" s="216"/>
      <c r="V272" s="216"/>
    </row>
    <row r="273" spans="2:22" ht="15" customHeight="1">
      <c r="B273" s="318" t="str">
        <f>IF(DataH!$V265="", "", DataH!$V265)</f>
        <v/>
      </c>
      <c r="C273" s="419" t="str">
        <f>IF(DataH!$X265&lt;0, NA(), IF(ISERROR(DataH!$W265/DataH!$X265), "", DataH!$W265/DataH!$X265))</f>
        <v/>
      </c>
      <c r="D273" s="419" t="str">
        <f>IF(DataH!$Y265&lt;0, NA(), IF(ISERROR(DataH!$W265/DataH!$Y265), "", DataH!$W265/DataH!$Y265))</f>
        <v/>
      </c>
      <c r="E273" s="420" t="str">
        <f>IF(DataH!$Z265&lt;0, NA(), IF(ISERROR(DataH!$W265/DataH!$Z265), "", DataH!$W265/DataH!$Z265))</f>
        <v/>
      </c>
      <c r="G273" s="421" t="str">
        <f>IF(DataH!$AB265&lt;0, NA(), IF(ISERROR(DataH!$AA265/DataH!$AB265), "", DataH!$AA265/DataH!$AB265))</f>
        <v/>
      </c>
      <c r="H273" s="419" t="str">
        <f>IF(DataH!$AC265&lt;0, NA(), IF(ISERROR(DataH!$AA265/DataH!$AC265), "", DataH!$AA265/DataH!$AC265))</f>
        <v/>
      </c>
      <c r="I273" s="420" t="str">
        <f>IF(DataH!$AD265&lt;0, NA(), IF(ISERROR(DataH!$AA265/DataH!$AD265), "", DataH!$AA265/DataH!$AD265))</f>
        <v/>
      </c>
      <c r="J273" s="216"/>
      <c r="K273" s="216"/>
      <c r="L273" s="216"/>
      <c r="M273" s="216"/>
      <c r="N273" s="216"/>
      <c r="O273" s="216"/>
      <c r="P273" s="216"/>
      <c r="Q273" s="216"/>
      <c r="R273" s="216"/>
      <c r="S273" s="216"/>
      <c r="T273" s="216"/>
      <c r="U273" s="216"/>
      <c r="V273" s="216"/>
    </row>
    <row r="274" spans="2:22" ht="15" customHeight="1">
      <c r="B274" s="322" t="str">
        <f>IF(DataH!$V266="", "", DataH!$V266)</f>
        <v/>
      </c>
      <c r="C274" s="416" t="str">
        <f>IF(DataH!$X266&lt;0, NA(), IF(ISERROR(DataH!$W266/DataH!$X266), "", DataH!$W266/DataH!$X266))</f>
        <v/>
      </c>
      <c r="D274" s="416" t="str">
        <f>IF(DataH!$Y266&lt;0, NA(), IF(ISERROR(DataH!$W266/DataH!$Y266), "", DataH!$W266/DataH!$Y266))</f>
        <v/>
      </c>
      <c r="E274" s="417" t="str">
        <f>IF(DataH!$Z266&lt;0, NA(), IF(ISERROR(DataH!$W266/DataH!$Z266), "", DataH!$W266/DataH!$Z266))</f>
        <v/>
      </c>
      <c r="G274" s="418" t="str">
        <f>IF(DataH!$AB266&lt;0, NA(), IF(ISERROR(DataH!$AA266/DataH!$AB266), "", DataH!$AA266/DataH!$AB266))</f>
        <v/>
      </c>
      <c r="H274" s="416" t="str">
        <f>IF(DataH!$AC266&lt;0, NA(), IF(ISERROR(DataH!$AA266/DataH!$AC266), "", DataH!$AA266/DataH!$AC266))</f>
        <v/>
      </c>
      <c r="I274" s="417" t="str">
        <f>IF(DataH!$AD266&lt;0, NA(), IF(ISERROR(DataH!$AA266/DataH!$AD266), "", DataH!$AA266/DataH!$AD266))</f>
        <v/>
      </c>
      <c r="J274" s="216"/>
      <c r="K274" s="216"/>
      <c r="L274" s="216"/>
      <c r="M274" s="216"/>
      <c r="N274" s="216"/>
      <c r="O274" s="216"/>
      <c r="P274" s="216"/>
      <c r="Q274" s="216"/>
      <c r="R274" s="216"/>
      <c r="S274" s="216"/>
      <c r="T274" s="216"/>
      <c r="U274" s="216"/>
      <c r="V274" s="216"/>
    </row>
    <row r="275" spans="2:22" ht="15" customHeight="1">
      <c r="B275" s="318" t="str">
        <f>IF(DataH!$V267="", "", DataH!$V267)</f>
        <v/>
      </c>
      <c r="C275" s="419" t="str">
        <f>IF(DataH!$X267&lt;0, NA(), IF(ISERROR(DataH!$W267/DataH!$X267), "", DataH!$W267/DataH!$X267))</f>
        <v/>
      </c>
      <c r="D275" s="419" t="str">
        <f>IF(DataH!$Y267&lt;0, NA(), IF(ISERROR(DataH!$W267/DataH!$Y267), "", DataH!$W267/DataH!$Y267))</f>
        <v/>
      </c>
      <c r="E275" s="420" t="str">
        <f>IF(DataH!$Z267&lt;0, NA(), IF(ISERROR(DataH!$W267/DataH!$Z267), "", DataH!$W267/DataH!$Z267))</f>
        <v/>
      </c>
      <c r="G275" s="421" t="str">
        <f>IF(DataH!$AB267&lt;0, NA(), IF(ISERROR(DataH!$AA267/DataH!$AB267), "", DataH!$AA267/DataH!$AB267))</f>
        <v/>
      </c>
      <c r="H275" s="419" t="str">
        <f>IF(DataH!$AC267&lt;0, NA(), IF(ISERROR(DataH!$AA267/DataH!$AC267), "", DataH!$AA267/DataH!$AC267))</f>
        <v/>
      </c>
      <c r="I275" s="420" t="str">
        <f>IF(DataH!$AD267&lt;0, NA(), IF(ISERROR(DataH!$AA267/DataH!$AD267), "", DataH!$AA267/DataH!$AD267))</f>
        <v/>
      </c>
      <c r="J275" s="216"/>
      <c r="K275" s="216"/>
      <c r="L275" s="216"/>
      <c r="M275" s="216"/>
      <c r="N275" s="216"/>
      <c r="O275" s="216"/>
      <c r="P275" s="216"/>
      <c r="Q275" s="216"/>
      <c r="R275" s="216"/>
      <c r="S275" s="216"/>
      <c r="T275" s="216"/>
      <c r="U275" s="216"/>
      <c r="V275" s="216"/>
    </row>
    <row r="276" spans="2:22" ht="15" customHeight="1">
      <c r="B276" s="322" t="str">
        <f>IF(DataH!$V268="", "", DataH!$V268)</f>
        <v/>
      </c>
      <c r="C276" s="416" t="str">
        <f>IF(DataH!$X268&lt;0, NA(), IF(ISERROR(DataH!$W268/DataH!$X268), "", DataH!$W268/DataH!$X268))</f>
        <v/>
      </c>
      <c r="D276" s="416" t="str">
        <f>IF(DataH!$Y268&lt;0, NA(), IF(ISERROR(DataH!$W268/DataH!$Y268), "", DataH!$W268/DataH!$Y268))</f>
        <v/>
      </c>
      <c r="E276" s="417" t="str">
        <f>IF(DataH!$Z268&lt;0, NA(), IF(ISERROR(DataH!$W268/DataH!$Z268), "", DataH!$W268/DataH!$Z268))</f>
        <v/>
      </c>
      <c r="G276" s="418" t="str">
        <f>IF(DataH!$AB268&lt;0, NA(), IF(ISERROR(DataH!$AA268/DataH!$AB268), "", DataH!$AA268/DataH!$AB268))</f>
        <v/>
      </c>
      <c r="H276" s="416" t="str">
        <f>IF(DataH!$AC268&lt;0, NA(), IF(ISERROR(DataH!$AA268/DataH!$AC268), "", DataH!$AA268/DataH!$AC268))</f>
        <v/>
      </c>
      <c r="I276" s="417" t="str">
        <f>IF(DataH!$AD268&lt;0, NA(), IF(ISERROR(DataH!$AA268/DataH!$AD268), "", DataH!$AA268/DataH!$AD268))</f>
        <v/>
      </c>
      <c r="J276" s="216"/>
      <c r="K276" s="216"/>
      <c r="L276" s="216"/>
      <c r="M276" s="216"/>
      <c r="N276" s="216"/>
      <c r="O276" s="216"/>
      <c r="P276" s="216"/>
      <c r="Q276" s="216"/>
      <c r="R276" s="216"/>
      <c r="S276" s="216"/>
      <c r="T276" s="216"/>
      <c r="U276" s="216"/>
      <c r="V276" s="216"/>
    </row>
    <row r="277" spans="2:22" ht="15" customHeight="1">
      <c r="B277" s="318" t="str">
        <f>IF(DataH!$V269="", "", DataH!$V269)</f>
        <v/>
      </c>
      <c r="C277" s="419" t="str">
        <f>IF(DataH!$X269&lt;0, NA(), IF(ISERROR(DataH!$W269/DataH!$X269), "", DataH!$W269/DataH!$X269))</f>
        <v/>
      </c>
      <c r="D277" s="419" t="str">
        <f>IF(DataH!$Y269&lt;0, NA(), IF(ISERROR(DataH!$W269/DataH!$Y269), "", DataH!$W269/DataH!$Y269))</f>
        <v/>
      </c>
      <c r="E277" s="420" t="str">
        <f>IF(DataH!$Z269&lt;0, NA(), IF(ISERROR(DataH!$W269/DataH!$Z269), "", DataH!$W269/DataH!$Z269))</f>
        <v/>
      </c>
      <c r="G277" s="421" t="str">
        <f>IF(DataH!$AB269&lt;0, NA(), IF(ISERROR(DataH!$AA269/DataH!$AB269), "", DataH!$AA269/DataH!$AB269))</f>
        <v/>
      </c>
      <c r="H277" s="419" t="str">
        <f>IF(DataH!$AC269&lt;0, NA(), IF(ISERROR(DataH!$AA269/DataH!$AC269), "", DataH!$AA269/DataH!$AC269))</f>
        <v/>
      </c>
      <c r="I277" s="420" t="str">
        <f>IF(DataH!$AD269&lt;0, NA(), IF(ISERROR(DataH!$AA269/DataH!$AD269), "", DataH!$AA269/DataH!$AD269))</f>
        <v/>
      </c>
      <c r="J277" s="216"/>
      <c r="K277" s="216"/>
      <c r="L277" s="216"/>
      <c r="M277" s="216"/>
      <c r="N277" s="216"/>
      <c r="O277" s="216"/>
      <c r="P277" s="216"/>
      <c r="Q277" s="216"/>
      <c r="R277" s="216"/>
      <c r="S277" s="216"/>
      <c r="T277" s="216"/>
      <c r="U277" s="216"/>
      <c r="V277" s="216"/>
    </row>
    <row r="278" spans="2:22" ht="15" customHeight="1">
      <c r="B278" s="322" t="str">
        <f>IF(DataH!$V270="", "", DataH!$V270)</f>
        <v/>
      </c>
      <c r="C278" s="416" t="str">
        <f>IF(DataH!$X270&lt;0, NA(), IF(ISERROR(DataH!$W270/DataH!$X270), "", DataH!$W270/DataH!$X270))</f>
        <v/>
      </c>
      <c r="D278" s="416" t="str">
        <f>IF(DataH!$Y270&lt;0, NA(), IF(ISERROR(DataH!$W270/DataH!$Y270), "", DataH!$W270/DataH!$Y270))</f>
        <v/>
      </c>
      <c r="E278" s="417" t="str">
        <f>IF(DataH!$Z270&lt;0, NA(), IF(ISERROR(DataH!$W270/DataH!$Z270), "", DataH!$W270/DataH!$Z270))</f>
        <v/>
      </c>
      <c r="G278" s="418" t="str">
        <f>IF(DataH!$AB270&lt;0, NA(), IF(ISERROR(DataH!$AA270/DataH!$AB270), "", DataH!$AA270/DataH!$AB270))</f>
        <v/>
      </c>
      <c r="H278" s="416" t="str">
        <f>IF(DataH!$AC270&lt;0, NA(), IF(ISERROR(DataH!$AA270/DataH!$AC270), "", DataH!$AA270/DataH!$AC270))</f>
        <v/>
      </c>
      <c r="I278" s="417" t="str">
        <f>IF(DataH!$AD270&lt;0, NA(), IF(ISERROR(DataH!$AA270/DataH!$AD270), "", DataH!$AA270/DataH!$AD270))</f>
        <v/>
      </c>
      <c r="J278" s="216"/>
      <c r="K278" s="216"/>
      <c r="L278" s="216"/>
      <c r="M278" s="216"/>
      <c r="N278" s="216"/>
      <c r="O278" s="216"/>
      <c r="P278" s="216"/>
      <c r="Q278" s="216"/>
      <c r="R278" s="216"/>
      <c r="S278" s="216"/>
      <c r="T278" s="216"/>
      <c r="U278" s="216"/>
      <c r="V278" s="216"/>
    </row>
    <row r="279" spans="2:22" ht="15" customHeight="1">
      <c r="B279" s="318" t="str">
        <f>IF(DataH!$V271="", "", DataH!$V271)</f>
        <v/>
      </c>
      <c r="C279" s="419" t="str">
        <f>IF(DataH!$X271&lt;0, NA(), IF(ISERROR(DataH!$W271/DataH!$X271), "", DataH!$W271/DataH!$X271))</f>
        <v/>
      </c>
      <c r="D279" s="419" t="str">
        <f>IF(DataH!$Y271&lt;0, NA(), IF(ISERROR(DataH!$W271/DataH!$Y271), "", DataH!$W271/DataH!$Y271))</f>
        <v/>
      </c>
      <c r="E279" s="420" t="str">
        <f>IF(DataH!$Z271&lt;0, NA(), IF(ISERROR(DataH!$W271/DataH!$Z271), "", DataH!$W271/DataH!$Z271))</f>
        <v/>
      </c>
      <c r="G279" s="421" t="str">
        <f>IF(DataH!$AB271&lt;0, NA(), IF(ISERROR(DataH!$AA271/DataH!$AB271), "", DataH!$AA271/DataH!$AB271))</f>
        <v/>
      </c>
      <c r="H279" s="419" t="str">
        <f>IF(DataH!$AC271&lt;0, NA(), IF(ISERROR(DataH!$AA271/DataH!$AC271), "", DataH!$AA271/DataH!$AC271))</f>
        <v/>
      </c>
      <c r="I279" s="420" t="str">
        <f>IF(DataH!$AD271&lt;0, NA(), IF(ISERROR(DataH!$AA271/DataH!$AD271), "", DataH!$AA271/DataH!$AD271))</f>
        <v/>
      </c>
      <c r="J279" s="216"/>
      <c r="K279" s="216"/>
      <c r="L279" s="216"/>
      <c r="M279" s="216"/>
      <c r="N279" s="216"/>
      <c r="O279" s="216"/>
      <c r="P279" s="216"/>
      <c r="Q279" s="216"/>
      <c r="R279" s="216"/>
      <c r="S279" s="216"/>
      <c r="T279" s="216"/>
      <c r="U279" s="216"/>
      <c r="V279" s="216"/>
    </row>
    <row r="280" spans="2:22" ht="15" customHeight="1">
      <c r="B280" s="322" t="str">
        <f>IF(DataH!$V272="", "", DataH!$V272)</f>
        <v/>
      </c>
      <c r="C280" s="416" t="str">
        <f>IF(DataH!$X272&lt;0, NA(), IF(ISERROR(DataH!$W272/DataH!$X272), "", DataH!$W272/DataH!$X272))</f>
        <v/>
      </c>
      <c r="D280" s="416" t="str">
        <f>IF(DataH!$Y272&lt;0, NA(), IF(ISERROR(DataH!$W272/DataH!$Y272), "", DataH!$W272/DataH!$Y272))</f>
        <v/>
      </c>
      <c r="E280" s="417" t="str">
        <f>IF(DataH!$Z272&lt;0, NA(), IF(ISERROR(DataH!$W272/DataH!$Z272), "", DataH!$W272/DataH!$Z272))</f>
        <v/>
      </c>
      <c r="G280" s="418" t="str">
        <f>IF(DataH!$AB272&lt;0, NA(), IF(ISERROR(DataH!$AA272/DataH!$AB272), "", DataH!$AA272/DataH!$AB272))</f>
        <v/>
      </c>
      <c r="H280" s="416" t="str">
        <f>IF(DataH!$AC272&lt;0, NA(), IF(ISERROR(DataH!$AA272/DataH!$AC272), "", DataH!$AA272/DataH!$AC272))</f>
        <v/>
      </c>
      <c r="I280" s="417" t="str">
        <f>IF(DataH!$AD272&lt;0, NA(), IF(ISERROR(DataH!$AA272/DataH!$AD272), "", DataH!$AA272/DataH!$AD272))</f>
        <v/>
      </c>
      <c r="J280" s="216"/>
      <c r="K280" s="216"/>
      <c r="L280" s="216"/>
      <c r="M280" s="216"/>
      <c r="N280" s="216"/>
      <c r="O280" s="216"/>
      <c r="P280" s="216"/>
      <c r="Q280" s="216"/>
      <c r="R280" s="216"/>
      <c r="S280" s="216"/>
      <c r="T280" s="216"/>
      <c r="U280" s="216"/>
      <c r="V280" s="216"/>
    </row>
    <row r="281" spans="2:22" ht="15" customHeight="1">
      <c r="B281" s="318" t="str">
        <f>IF(DataH!$V273="", "", DataH!$V273)</f>
        <v/>
      </c>
      <c r="C281" s="419" t="str">
        <f>IF(DataH!$X273&lt;0, NA(), IF(ISERROR(DataH!$W273/DataH!$X273), "", DataH!$W273/DataH!$X273))</f>
        <v/>
      </c>
      <c r="D281" s="419" t="str">
        <f>IF(DataH!$Y273&lt;0, NA(), IF(ISERROR(DataH!$W273/DataH!$Y273), "", DataH!$W273/DataH!$Y273))</f>
        <v/>
      </c>
      <c r="E281" s="420" t="str">
        <f>IF(DataH!$Z273&lt;0, NA(), IF(ISERROR(DataH!$W273/DataH!$Z273), "", DataH!$W273/DataH!$Z273))</f>
        <v/>
      </c>
      <c r="G281" s="421" t="str">
        <f>IF(DataH!$AB273&lt;0, NA(), IF(ISERROR(DataH!$AA273/DataH!$AB273), "", DataH!$AA273/DataH!$AB273))</f>
        <v/>
      </c>
      <c r="H281" s="419" t="str">
        <f>IF(DataH!$AC273&lt;0, NA(), IF(ISERROR(DataH!$AA273/DataH!$AC273), "", DataH!$AA273/DataH!$AC273))</f>
        <v/>
      </c>
      <c r="I281" s="420" t="str">
        <f>IF(DataH!$AD273&lt;0, NA(), IF(ISERROR(DataH!$AA273/DataH!$AD273), "", DataH!$AA273/DataH!$AD273))</f>
        <v/>
      </c>
      <c r="J281" s="216"/>
      <c r="K281" s="216"/>
      <c r="L281" s="216"/>
      <c r="M281" s="216"/>
      <c r="N281" s="216"/>
      <c r="O281" s="216"/>
      <c r="P281" s="216"/>
      <c r="Q281" s="216"/>
      <c r="R281" s="216"/>
      <c r="S281" s="216"/>
      <c r="T281" s="216"/>
      <c r="U281" s="216"/>
      <c r="V281" s="216"/>
    </row>
    <row r="282" spans="2:22" ht="15" customHeight="1">
      <c r="B282" s="322" t="str">
        <f>IF(DataH!$V274="", "", DataH!$V274)</f>
        <v/>
      </c>
      <c r="C282" s="416" t="str">
        <f>IF(DataH!$X274&lt;0, NA(), IF(ISERROR(DataH!$W274/DataH!$X274), "", DataH!$W274/DataH!$X274))</f>
        <v/>
      </c>
      <c r="D282" s="416" t="str">
        <f>IF(DataH!$Y274&lt;0, NA(), IF(ISERROR(DataH!$W274/DataH!$Y274), "", DataH!$W274/DataH!$Y274))</f>
        <v/>
      </c>
      <c r="E282" s="417" t="str">
        <f>IF(DataH!$Z274&lt;0, NA(), IF(ISERROR(DataH!$W274/DataH!$Z274), "", DataH!$W274/DataH!$Z274))</f>
        <v/>
      </c>
      <c r="G282" s="418" t="str">
        <f>IF(DataH!$AB274&lt;0, NA(), IF(ISERROR(DataH!$AA274/DataH!$AB274), "", DataH!$AA274/DataH!$AB274))</f>
        <v/>
      </c>
      <c r="H282" s="416" t="str">
        <f>IF(DataH!$AC274&lt;0, NA(), IF(ISERROR(DataH!$AA274/DataH!$AC274), "", DataH!$AA274/DataH!$AC274))</f>
        <v/>
      </c>
      <c r="I282" s="417" t="str">
        <f>IF(DataH!$AD274&lt;0, NA(), IF(ISERROR(DataH!$AA274/DataH!$AD274), "", DataH!$AA274/DataH!$AD274))</f>
        <v/>
      </c>
      <c r="J282" s="216"/>
      <c r="K282" s="216"/>
      <c r="L282" s="216"/>
      <c r="M282" s="216"/>
      <c r="N282" s="216"/>
      <c r="O282" s="216"/>
      <c r="P282" s="216"/>
      <c r="Q282" s="216"/>
      <c r="R282" s="216"/>
      <c r="S282" s="216"/>
      <c r="T282" s="216"/>
      <c r="U282" s="216"/>
      <c r="V282" s="216"/>
    </row>
    <row r="283" spans="2:22" ht="15" customHeight="1">
      <c r="B283" s="318" t="str">
        <f>IF(DataH!$V275="", "", DataH!$V275)</f>
        <v/>
      </c>
      <c r="C283" s="419" t="str">
        <f>IF(DataH!$X275&lt;0, NA(), IF(ISERROR(DataH!$W275/DataH!$X275), "", DataH!$W275/DataH!$X275))</f>
        <v/>
      </c>
      <c r="D283" s="419" t="str">
        <f>IF(DataH!$Y275&lt;0, NA(), IF(ISERROR(DataH!$W275/DataH!$Y275), "", DataH!$W275/DataH!$Y275))</f>
        <v/>
      </c>
      <c r="E283" s="420" t="str">
        <f>IF(DataH!$Z275&lt;0, NA(), IF(ISERROR(DataH!$W275/DataH!$Z275), "", DataH!$W275/DataH!$Z275))</f>
        <v/>
      </c>
      <c r="G283" s="421" t="str">
        <f>IF(DataH!$AB275&lt;0, NA(), IF(ISERROR(DataH!$AA275/DataH!$AB275), "", DataH!$AA275/DataH!$AB275))</f>
        <v/>
      </c>
      <c r="H283" s="419" t="str">
        <f>IF(DataH!$AC275&lt;0, NA(), IF(ISERROR(DataH!$AA275/DataH!$AC275), "", DataH!$AA275/DataH!$AC275))</f>
        <v/>
      </c>
      <c r="I283" s="420" t="str">
        <f>IF(DataH!$AD275&lt;0, NA(), IF(ISERROR(DataH!$AA275/DataH!$AD275), "", DataH!$AA275/DataH!$AD275))</f>
        <v/>
      </c>
      <c r="J283" s="216"/>
      <c r="K283" s="216"/>
      <c r="L283" s="216"/>
      <c r="M283" s="216"/>
      <c r="N283" s="216"/>
      <c r="O283" s="216"/>
      <c r="P283" s="216"/>
      <c r="Q283" s="216"/>
      <c r="R283" s="216"/>
      <c r="S283" s="216"/>
      <c r="T283" s="216"/>
      <c r="U283" s="216"/>
      <c r="V283" s="216"/>
    </row>
    <row r="284" spans="2:22" ht="15" customHeight="1">
      <c r="B284" s="322" t="str">
        <f>IF(DataH!$V276="", "", DataH!$V276)</f>
        <v/>
      </c>
      <c r="C284" s="416" t="str">
        <f>IF(DataH!$X276&lt;0, NA(), IF(ISERROR(DataH!$W276/DataH!$X276), "", DataH!$W276/DataH!$X276))</f>
        <v/>
      </c>
      <c r="D284" s="416" t="str">
        <f>IF(DataH!$Y276&lt;0, NA(), IF(ISERROR(DataH!$W276/DataH!$Y276), "", DataH!$W276/DataH!$Y276))</f>
        <v/>
      </c>
      <c r="E284" s="417" t="str">
        <f>IF(DataH!$Z276&lt;0, NA(), IF(ISERROR(DataH!$W276/DataH!$Z276), "", DataH!$W276/DataH!$Z276))</f>
        <v/>
      </c>
      <c r="G284" s="418" t="str">
        <f>IF(DataH!$AB276&lt;0, NA(), IF(ISERROR(DataH!$AA276/DataH!$AB276), "", DataH!$AA276/DataH!$AB276))</f>
        <v/>
      </c>
      <c r="H284" s="416" t="str">
        <f>IF(DataH!$AC276&lt;0, NA(), IF(ISERROR(DataH!$AA276/DataH!$AC276), "", DataH!$AA276/DataH!$AC276))</f>
        <v/>
      </c>
      <c r="I284" s="417" t="str">
        <f>IF(DataH!$AD276&lt;0, NA(), IF(ISERROR(DataH!$AA276/DataH!$AD276), "", DataH!$AA276/DataH!$AD276))</f>
        <v/>
      </c>
      <c r="J284" s="216"/>
      <c r="K284" s="216"/>
      <c r="L284" s="216"/>
      <c r="M284" s="216"/>
      <c r="N284" s="216"/>
      <c r="O284" s="216"/>
      <c r="P284" s="216"/>
      <c r="Q284" s="216"/>
      <c r="R284" s="216"/>
      <c r="S284" s="216"/>
      <c r="T284" s="216"/>
      <c r="U284" s="216"/>
      <c r="V284" s="216"/>
    </row>
    <row r="285" spans="2:22" ht="15" customHeight="1">
      <c r="B285" s="318" t="str">
        <f>IF(DataH!$V277="", "", DataH!$V277)</f>
        <v/>
      </c>
      <c r="C285" s="419" t="str">
        <f>IF(DataH!$X277&lt;0, NA(), IF(ISERROR(DataH!$W277/DataH!$X277), "", DataH!$W277/DataH!$X277))</f>
        <v/>
      </c>
      <c r="D285" s="419" t="str">
        <f>IF(DataH!$Y277&lt;0, NA(), IF(ISERROR(DataH!$W277/DataH!$Y277), "", DataH!$W277/DataH!$Y277))</f>
        <v/>
      </c>
      <c r="E285" s="420" t="str">
        <f>IF(DataH!$Z277&lt;0, NA(), IF(ISERROR(DataH!$W277/DataH!$Z277), "", DataH!$W277/DataH!$Z277))</f>
        <v/>
      </c>
      <c r="G285" s="421" t="str">
        <f>IF(DataH!$AB277&lt;0, NA(), IF(ISERROR(DataH!$AA277/DataH!$AB277), "", DataH!$AA277/DataH!$AB277))</f>
        <v/>
      </c>
      <c r="H285" s="419" t="str">
        <f>IF(DataH!$AC277&lt;0, NA(), IF(ISERROR(DataH!$AA277/DataH!$AC277), "", DataH!$AA277/DataH!$AC277))</f>
        <v/>
      </c>
      <c r="I285" s="420" t="str">
        <f>IF(DataH!$AD277&lt;0, NA(), IF(ISERROR(DataH!$AA277/DataH!$AD277), "", DataH!$AA277/DataH!$AD277))</f>
        <v/>
      </c>
      <c r="J285" s="216"/>
      <c r="K285" s="216"/>
      <c r="L285" s="216"/>
      <c r="M285" s="216"/>
      <c r="N285" s="216"/>
      <c r="O285" s="216"/>
      <c r="P285" s="216"/>
      <c r="Q285" s="216"/>
      <c r="R285" s="216"/>
      <c r="S285" s="216"/>
      <c r="T285" s="216"/>
      <c r="U285" s="216"/>
      <c r="V285" s="216"/>
    </row>
    <row r="286" spans="2:22" ht="15" customHeight="1">
      <c r="B286" s="322" t="str">
        <f>IF(DataH!$V278="", "", DataH!$V278)</f>
        <v/>
      </c>
      <c r="C286" s="416" t="str">
        <f>IF(DataH!$X278&lt;0, NA(), IF(ISERROR(DataH!$W278/DataH!$X278), "", DataH!$W278/DataH!$X278))</f>
        <v/>
      </c>
      <c r="D286" s="416" t="str">
        <f>IF(DataH!$Y278&lt;0, NA(), IF(ISERROR(DataH!$W278/DataH!$Y278), "", DataH!$W278/DataH!$Y278))</f>
        <v/>
      </c>
      <c r="E286" s="417" t="str">
        <f>IF(DataH!$Z278&lt;0, NA(), IF(ISERROR(DataH!$W278/DataH!$Z278), "", DataH!$W278/DataH!$Z278))</f>
        <v/>
      </c>
      <c r="G286" s="418" t="str">
        <f>IF(DataH!$AB278&lt;0, NA(), IF(ISERROR(DataH!$AA278/DataH!$AB278), "", DataH!$AA278/DataH!$AB278))</f>
        <v/>
      </c>
      <c r="H286" s="416" t="str">
        <f>IF(DataH!$AC278&lt;0, NA(), IF(ISERROR(DataH!$AA278/DataH!$AC278), "", DataH!$AA278/DataH!$AC278))</f>
        <v/>
      </c>
      <c r="I286" s="417" t="str">
        <f>IF(DataH!$AD278&lt;0, NA(), IF(ISERROR(DataH!$AA278/DataH!$AD278), "", DataH!$AA278/DataH!$AD278))</f>
        <v/>
      </c>
      <c r="J286" s="216"/>
      <c r="K286" s="216"/>
      <c r="L286" s="216"/>
      <c r="M286" s="216"/>
      <c r="N286" s="216"/>
      <c r="O286" s="216"/>
      <c r="P286" s="216"/>
      <c r="Q286" s="216"/>
      <c r="R286" s="216"/>
      <c r="S286" s="216"/>
      <c r="T286" s="216"/>
      <c r="U286" s="216"/>
      <c r="V286" s="216"/>
    </row>
    <row r="287" spans="2:22" ht="15" customHeight="1">
      <c r="B287" s="318" t="str">
        <f>IF(DataH!$V279="", "", DataH!$V279)</f>
        <v/>
      </c>
      <c r="C287" s="419" t="str">
        <f>IF(DataH!$X279&lt;0, NA(), IF(ISERROR(DataH!$W279/DataH!$X279), "", DataH!$W279/DataH!$X279))</f>
        <v/>
      </c>
      <c r="D287" s="419" t="str">
        <f>IF(DataH!$Y279&lt;0, NA(), IF(ISERROR(DataH!$W279/DataH!$Y279), "", DataH!$W279/DataH!$Y279))</f>
        <v/>
      </c>
      <c r="E287" s="420" t="str">
        <f>IF(DataH!$Z279&lt;0, NA(), IF(ISERROR(DataH!$W279/DataH!$Z279), "", DataH!$W279/DataH!$Z279))</f>
        <v/>
      </c>
      <c r="G287" s="421" t="str">
        <f>IF(DataH!$AB279&lt;0, NA(), IF(ISERROR(DataH!$AA279/DataH!$AB279), "", DataH!$AA279/DataH!$AB279))</f>
        <v/>
      </c>
      <c r="H287" s="419" t="str">
        <f>IF(DataH!$AC279&lt;0, NA(), IF(ISERROR(DataH!$AA279/DataH!$AC279), "", DataH!$AA279/DataH!$AC279))</f>
        <v/>
      </c>
      <c r="I287" s="420" t="str">
        <f>IF(DataH!$AD279&lt;0, NA(), IF(ISERROR(DataH!$AA279/DataH!$AD279), "", DataH!$AA279/DataH!$AD279))</f>
        <v/>
      </c>
      <c r="J287" s="216"/>
      <c r="K287" s="216"/>
      <c r="L287" s="216"/>
      <c r="M287" s="216"/>
      <c r="N287" s="216"/>
      <c r="O287" s="216"/>
      <c r="P287" s="216"/>
      <c r="Q287" s="216"/>
      <c r="R287" s="216"/>
      <c r="S287" s="216"/>
      <c r="T287" s="216"/>
      <c r="U287" s="216"/>
      <c r="V287" s="216"/>
    </row>
    <row r="288" spans="2:22" ht="15" customHeight="1">
      <c r="B288" s="322" t="str">
        <f>IF(DataH!$V280="", "", DataH!$V280)</f>
        <v/>
      </c>
      <c r="C288" s="416" t="str">
        <f>IF(DataH!$X280&lt;0, NA(), IF(ISERROR(DataH!$W280/DataH!$X280), "", DataH!$W280/DataH!$X280))</f>
        <v/>
      </c>
      <c r="D288" s="416" t="str">
        <f>IF(DataH!$Y280&lt;0, NA(), IF(ISERROR(DataH!$W280/DataH!$Y280), "", DataH!$W280/DataH!$Y280))</f>
        <v/>
      </c>
      <c r="E288" s="417" t="str">
        <f>IF(DataH!$Z280&lt;0, NA(), IF(ISERROR(DataH!$W280/DataH!$Z280), "", DataH!$W280/DataH!$Z280))</f>
        <v/>
      </c>
      <c r="G288" s="418" t="str">
        <f>IF(DataH!$AB280&lt;0, NA(), IF(ISERROR(DataH!$AA280/DataH!$AB280), "", DataH!$AA280/DataH!$AB280))</f>
        <v/>
      </c>
      <c r="H288" s="416" t="str">
        <f>IF(DataH!$AC280&lt;0, NA(), IF(ISERROR(DataH!$AA280/DataH!$AC280), "", DataH!$AA280/DataH!$AC280))</f>
        <v/>
      </c>
      <c r="I288" s="417" t="str">
        <f>IF(DataH!$AD280&lt;0, NA(), IF(ISERROR(DataH!$AA280/DataH!$AD280), "", DataH!$AA280/DataH!$AD280))</f>
        <v/>
      </c>
      <c r="J288" s="216"/>
      <c r="K288" s="216"/>
      <c r="L288" s="216"/>
      <c r="M288" s="216"/>
      <c r="N288" s="216"/>
      <c r="O288" s="216"/>
      <c r="P288" s="216"/>
      <c r="Q288" s="216"/>
      <c r="R288" s="216"/>
      <c r="S288" s="216"/>
      <c r="T288" s="216"/>
      <c r="U288" s="216"/>
      <c r="V288" s="216"/>
    </row>
    <row r="289" spans="2:22" ht="15" customHeight="1">
      <c r="B289" s="318" t="str">
        <f>IF(DataH!$V281="", "", DataH!$V281)</f>
        <v/>
      </c>
      <c r="C289" s="419" t="str">
        <f>IF(DataH!$X281&lt;0, NA(), IF(ISERROR(DataH!$W281/DataH!$X281), "", DataH!$W281/DataH!$X281))</f>
        <v/>
      </c>
      <c r="D289" s="419" t="str">
        <f>IF(DataH!$Y281&lt;0, NA(), IF(ISERROR(DataH!$W281/DataH!$Y281), "", DataH!$W281/DataH!$Y281))</f>
        <v/>
      </c>
      <c r="E289" s="420" t="str">
        <f>IF(DataH!$Z281&lt;0, NA(), IF(ISERROR(DataH!$W281/DataH!$Z281), "", DataH!$W281/DataH!$Z281))</f>
        <v/>
      </c>
      <c r="G289" s="421" t="str">
        <f>IF(DataH!$AB281&lt;0, NA(), IF(ISERROR(DataH!$AA281/DataH!$AB281), "", DataH!$AA281/DataH!$AB281))</f>
        <v/>
      </c>
      <c r="H289" s="419" t="str">
        <f>IF(DataH!$AC281&lt;0, NA(), IF(ISERROR(DataH!$AA281/DataH!$AC281), "", DataH!$AA281/DataH!$AC281))</f>
        <v/>
      </c>
      <c r="I289" s="420" t="str">
        <f>IF(DataH!$AD281&lt;0, NA(), IF(ISERROR(DataH!$AA281/DataH!$AD281), "", DataH!$AA281/DataH!$AD281))</f>
        <v/>
      </c>
      <c r="J289" s="216"/>
      <c r="K289" s="216"/>
      <c r="L289" s="216"/>
      <c r="M289" s="216"/>
      <c r="N289" s="216"/>
      <c r="O289" s="216"/>
      <c r="P289" s="216"/>
      <c r="Q289" s="216"/>
      <c r="R289" s="216"/>
      <c r="S289" s="216"/>
      <c r="T289" s="216"/>
      <c r="U289" s="216"/>
      <c r="V289" s="216"/>
    </row>
    <row r="290" spans="2:22" ht="15" customHeight="1">
      <c r="B290" s="322" t="str">
        <f>IF(DataH!$V282="", "", DataH!$V282)</f>
        <v/>
      </c>
      <c r="C290" s="416" t="str">
        <f>IF(DataH!$X282&lt;0, NA(), IF(ISERROR(DataH!$W282/DataH!$X282), "", DataH!$W282/DataH!$X282))</f>
        <v/>
      </c>
      <c r="D290" s="416" t="str">
        <f>IF(DataH!$Y282&lt;0, NA(), IF(ISERROR(DataH!$W282/DataH!$Y282), "", DataH!$W282/DataH!$Y282))</f>
        <v/>
      </c>
      <c r="E290" s="417" t="str">
        <f>IF(DataH!$Z282&lt;0, NA(), IF(ISERROR(DataH!$W282/DataH!$Z282), "", DataH!$W282/DataH!$Z282))</f>
        <v/>
      </c>
      <c r="G290" s="418" t="str">
        <f>IF(DataH!$AB282&lt;0, NA(), IF(ISERROR(DataH!$AA282/DataH!$AB282), "", DataH!$AA282/DataH!$AB282))</f>
        <v/>
      </c>
      <c r="H290" s="416" t="str">
        <f>IF(DataH!$AC282&lt;0, NA(), IF(ISERROR(DataH!$AA282/DataH!$AC282), "", DataH!$AA282/DataH!$AC282))</f>
        <v/>
      </c>
      <c r="I290" s="417" t="str">
        <f>IF(DataH!$AD282&lt;0, NA(), IF(ISERROR(DataH!$AA282/DataH!$AD282), "", DataH!$AA282/DataH!$AD282))</f>
        <v/>
      </c>
      <c r="J290" s="216"/>
      <c r="K290" s="216"/>
      <c r="L290" s="216"/>
      <c r="M290" s="216"/>
      <c r="N290" s="216"/>
      <c r="O290" s="216"/>
      <c r="P290" s="216"/>
      <c r="Q290" s="216"/>
      <c r="R290" s="216"/>
      <c r="S290" s="216"/>
      <c r="T290" s="216"/>
      <c r="U290" s="216"/>
      <c r="V290" s="216"/>
    </row>
    <row r="291" spans="2:22" ht="15" customHeight="1">
      <c r="B291" s="318" t="str">
        <f>IF(DataH!$V283="", "", DataH!$V283)</f>
        <v/>
      </c>
      <c r="C291" s="419" t="str">
        <f>IF(DataH!$X283&lt;0, NA(), IF(ISERROR(DataH!$W283/DataH!$X283), "", DataH!$W283/DataH!$X283))</f>
        <v/>
      </c>
      <c r="D291" s="419" t="str">
        <f>IF(DataH!$Y283&lt;0, NA(), IF(ISERROR(DataH!$W283/DataH!$Y283), "", DataH!$W283/DataH!$Y283))</f>
        <v/>
      </c>
      <c r="E291" s="420" t="str">
        <f>IF(DataH!$Z283&lt;0, NA(), IF(ISERROR(DataH!$W283/DataH!$Z283), "", DataH!$W283/DataH!$Z283))</f>
        <v/>
      </c>
      <c r="G291" s="421" t="str">
        <f>IF(DataH!$AB283&lt;0, NA(), IF(ISERROR(DataH!$AA283/DataH!$AB283), "", DataH!$AA283/DataH!$AB283))</f>
        <v/>
      </c>
      <c r="H291" s="419" t="str">
        <f>IF(DataH!$AC283&lt;0, NA(), IF(ISERROR(DataH!$AA283/DataH!$AC283), "", DataH!$AA283/DataH!$AC283))</f>
        <v/>
      </c>
      <c r="I291" s="420" t="str">
        <f>IF(DataH!$AD283&lt;0, NA(), IF(ISERROR(DataH!$AA283/DataH!$AD283), "", DataH!$AA283/DataH!$AD283))</f>
        <v/>
      </c>
      <c r="J291" s="216"/>
      <c r="K291" s="216"/>
      <c r="L291" s="216"/>
      <c r="M291" s="216"/>
      <c r="N291" s="216"/>
      <c r="O291" s="216"/>
      <c r="P291" s="216"/>
      <c r="Q291" s="216"/>
      <c r="R291" s="216"/>
      <c r="S291" s="216"/>
      <c r="T291" s="216"/>
      <c r="U291" s="216"/>
      <c r="V291" s="216"/>
    </row>
    <row r="292" spans="2:22" ht="15" customHeight="1">
      <c r="B292" s="322" t="str">
        <f>IF(DataH!$V284="", "", DataH!$V284)</f>
        <v/>
      </c>
      <c r="C292" s="416" t="str">
        <f>IF(DataH!$X284&lt;0, NA(), IF(ISERROR(DataH!$W284/DataH!$X284), "", DataH!$W284/DataH!$X284))</f>
        <v/>
      </c>
      <c r="D292" s="416" t="str">
        <f>IF(DataH!$Y284&lt;0, NA(), IF(ISERROR(DataH!$W284/DataH!$Y284), "", DataH!$W284/DataH!$Y284))</f>
        <v/>
      </c>
      <c r="E292" s="417" t="str">
        <f>IF(DataH!$Z284&lt;0, NA(), IF(ISERROR(DataH!$W284/DataH!$Z284), "", DataH!$W284/DataH!$Z284))</f>
        <v/>
      </c>
      <c r="G292" s="418" t="str">
        <f>IF(DataH!$AB284&lt;0, NA(), IF(ISERROR(DataH!$AA284/DataH!$AB284), "", DataH!$AA284/DataH!$AB284))</f>
        <v/>
      </c>
      <c r="H292" s="416" t="str">
        <f>IF(DataH!$AC284&lt;0, NA(), IF(ISERROR(DataH!$AA284/DataH!$AC284), "", DataH!$AA284/DataH!$AC284))</f>
        <v/>
      </c>
      <c r="I292" s="417" t="str">
        <f>IF(DataH!$AD284&lt;0, NA(), IF(ISERROR(DataH!$AA284/DataH!$AD284), "", DataH!$AA284/DataH!$AD284))</f>
        <v/>
      </c>
      <c r="J292" s="216"/>
      <c r="K292" s="216"/>
      <c r="L292" s="216"/>
      <c r="M292" s="216"/>
      <c r="N292" s="216"/>
      <c r="O292" s="216"/>
      <c r="P292" s="216"/>
      <c r="Q292" s="216"/>
      <c r="R292" s="216"/>
      <c r="S292" s="216"/>
      <c r="T292" s="216"/>
      <c r="U292" s="216"/>
      <c r="V292" s="216"/>
    </row>
    <row r="293" spans="2:22" ht="15" customHeight="1">
      <c r="B293" s="318" t="str">
        <f>IF(DataH!$V285="", "", DataH!$V285)</f>
        <v/>
      </c>
      <c r="C293" s="419" t="str">
        <f>IF(DataH!$X285&lt;0, NA(), IF(ISERROR(DataH!$W285/DataH!$X285), "", DataH!$W285/DataH!$X285))</f>
        <v/>
      </c>
      <c r="D293" s="419" t="str">
        <f>IF(DataH!$Y285&lt;0, NA(), IF(ISERROR(DataH!$W285/DataH!$Y285), "", DataH!$W285/DataH!$Y285))</f>
        <v/>
      </c>
      <c r="E293" s="420" t="str">
        <f>IF(DataH!$Z285&lt;0, NA(), IF(ISERROR(DataH!$W285/DataH!$Z285), "", DataH!$W285/DataH!$Z285))</f>
        <v/>
      </c>
      <c r="G293" s="421" t="str">
        <f>IF(DataH!$AB285&lt;0, NA(), IF(ISERROR(DataH!$AA285/DataH!$AB285), "", DataH!$AA285/DataH!$AB285))</f>
        <v/>
      </c>
      <c r="H293" s="419" t="str">
        <f>IF(DataH!$AC285&lt;0, NA(), IF(ISERROR(DataH!$AA285/DataH!$AC285), "", DataH!$AA285/DataH!$AC285))</f>
        <v/>
      </c>
      <c r="I293" s="420" t="str">
        <f>IF(DataH!$AD285&lt;0, NA(), IF(ISERROR(DataH!$AA285/DataH!$AD285), "", DataH!$AA285/DataH!$AD285))</f>
        <v/>
      </c>
      <c r="J293" s="216"/>
      <c r="K293" s="216"/>
      <c r="L293" s="216"/>
      <c r="M293" s="216"/>
      <c r="N293" s="216"/>
      <c r="O293" s="216"/>
      <c r="P293" s="216"/>
      <c r="Q293" s="216"/>
      <c r="R293" s="216"/>
      <c r="S293" s="216"/>
      <c r="T293" s="216"/>
      <c r="U293" s="216"/>
      <c r="V293" s="216"/>
    </row>
    <row r="294" spans="2:22" ht="15" customHeight="1">
      <c r="B294" s="322" t="str">
        <f>IF(DataH!$V286="", "", DataH!$V286)</f>
        <v/>
      </c>
      <c r="C294" s="416" t="str">
        <f>IF(DataH!$X286&lt;0, NA(), IF(ISERROR(DataH!$W286/DataH!$X286), "", DataH!$W286/DataH!$X286))</f>
        <v/>
      </c>
      <c r="D294" s="416" t="str">
        <f>IF(DataH!$Y286&lt;0, NA(), IF(ISERROR(DataH!$W286/DataH!$Y286), "", DataH!$W286/DataH!$Y286))</f>
        <v/>
      </c>
      <c r="E294" s="417" t="str">
        <f>IF(DataH!$Z286&lt;0, NA(), IF(ISERROR(DataH!$W286/DataH!$Z286), "", DataH!$W286/DataH!$Z286))</f>
        <v/>
      </c>
      <c r="G294" s="418" t="str">
        <f>IF(DataH!$AB286&lt;0, NA(), IF(ISERROR(DataH!$AA286/DataH!$AB286), "", DataH!$AA286/DataH!$AB286))</f>
        <v/>
      </c>
      <c r="H294" s="416" t="str">
        <f>IF(DataH!$AC286&lt;0, NA(), IF(ISERROR(DataH!$AA286/DataH!$AC286), "", DataH!$AA286/DataH!$AC286))</f>
        <v/>
      </c>
      <c r="I294" s="417" t="str">
        <f>IF(DataH!$AD286&lt;0, NA(), IF(ISERROR(DataH!$AA286/DataH!$AD286), "", DataH!$AA286/DataH!$AD286))</f>
        <v/>
      </c>
      <c r="J294" s="216"/>
      <c r="K294" s="216"/>
      <c r="L294" s="216"/>
      <c r="M294" s="216"/>
      <c r="N294" s="216"/>
      <c r="O294" s="216"/>
      <c r="P294" s="216"/>
      <c r="Q294" s="216"/>
      <c r="R294" s="216"/>
      <c r="S294" s="216"/>
      <c r="T294" s="216"/>
      <c r="U294" s="216"/>
      <c r="V294" s="216"/>
    </row>
    <row r="295" spans="2:22" ht="15" customHeight="1">
      <c r="B295" s="318" t="str">
        <f>IF(DataH!$V287="", "", DataH!$V287)</f>
        <v/>
      </c>
      <c r="C295" s="419" t="str">
        <f>IF(DataH!$X287&lt;0, NA(), IF(ISERROR(DataH!$W287/DataH!$X287), "", DataH!$W287/DataH!$X287))</f>
        <v/>
      </c>
      <c r="D295" s="419" t="str">
        <f>IF(DataH!$Y287&lt;0, NA(), IF(ISERROR(DataH!$W287/DataH!$Y287), "", DataH!$W287/DataH!$Y287))</f>
        <v/>
      </c>
      <c r="E295" s="420" t="str">
        <f>IF(DataH!$Z287&lt;0, NA(), IF(ISERROR(DataH!$W287/DataH!$Z287), "", DataH!$W287/DataH!$Z287))</f>
        <v/>
      </c>
      <c r="G295" s="421" t="str">
        <f>IF(DataH!$AB287&lt;0, NA(), IF(ISERROR(DataH!$AA287/DataH!$AB287), "", DataH!$AA287/DataH!$AB287))</f>
        <v/>
      </c>
      <c r="H295" s="419" t="str">
        <f>IF(DataH!$AC287&lt;0, NA(), IF(ISERROR(DataH!$AA287/DataH!$AC287), "", DataH!$AA287/DataH!$AC287))</f>
        <v/>
      </c>
      <c r="I295" s="420" t="str">
        <f>IF(DataH!$AD287&lt;0, NA(), IF(ISERROR(DataH!$AA287/DataH!$AD287), "", DataH!$AA287/DataH!$AD287))</f>
        <v/>
      </c>
      <c r="J295" s="216"/>
      <c r="K295" s="216"/>
      <c r="L295" s="216"/>
      <c r="M295" s="216"/>
      <c r="N295" s="216"/>
      <c r="O295" s="216"/>
      <c r="P295" s="216"/>
      <c r="Q295" s="216"/>
      <c r="R295" s="216"/>
      <c r="S295" s="216"/>
      <c r="T295" s="216"/>
      <c r="U295" s="216"/>
      <c r="V295" s="216"/>
    </row>
    <row r="296" spans="2:22" ht="15" customHeight="1">
      <c r="B296" s="322" t="str">
        <f>IF(DataH!$V288="", "", DataH!$V288)</f>
        <v/>
      </c>
      <c r="C296" s="416" t="str">
        <f>IF(DataH!$X288&lt;0, NA(), IF(ISERROR(DataH!$W288/DataH!$X288), "", DataH!$W288/DataH!$X288))</f>
        <v/>
      </c>
      <c r="D296" s="416" t="str">
        <f>IF(DataH!$Y288&lt;0, NA(), IF(ISERROR(DataH!$W288/DataH!$Y288), "", DataH!$W288/DataH!$Y288))</f>
        <v/>
      </c>
      <c r="E296" s="417" t="str">
        <f>IF(DataH!$Z288&lt;0, NA(), IF(ISERROR(DataH!$W288/DataH!$Z288), "", DataH!$W288/DataH!$Z288))</f>
        <v/>
      </c>
      <c r="G296" s="418" t="str">
        <f>IF(DataH!$AB288&lt;0, NA(), IF(ISERROR(DataH!$AA288/DataH!$AB288), "", DataH!$AA288/DataH!$AB288))</f>
        <v/>
      </c>
      <c r="H296" s="416" t="str">
        <f>IF(DataH!$AC288&lt;0, NA(), IF(ISERROR(DataH!$AA288/DataH!$AC288), "", DataH!$AA288/DataH!$AC288))</f>
        <v/>
      </c>
      <c r="I296" s="417" t="str">
        <f>IF(DataH!$AD288&lt;0, NA(), IF(ISERROR(DataH!$AA288/DataH!$AD288), "", DataH!$AA288/DataH!$AD288))</f>
        <v/>
      </c>
      <c r="J296" s="216"/>
      <c r="K296" s="216"/>
      <c r="L296" s="216"/>
      <c r="M296" s="216"/>
      <c r="N296" s="216"/>
      <c r="O296" s="216"/>
      <c r="P296" s="216"/>
      <c r="Q296" s="216"/>
      <c r="R296" s="216"/>
      <c r="S296" s="216"/>
      <c r="T296" s="216"/>
      <c r="U296" s="216"/>
      <c r="V296" s="216"/>
    </row>
    <row r="297" spans="2:22" ht="15" customHeight="1">
      <c r="B297" s="318" t="str">
        <f>IF(DataH!$V289="", "", DataH!$V289)</f>
        <v/>
      </c>
      <c r="C297" s="419" t="str">
        <f>IF(DataH!$X289&lt;0, NA(), IF(ISERROR(DataH!$W289/DataH!$X289), "", DataH!$W289/DataH!$X289))</f>
        <v/>
      </c>
      <c r="D297" s="419" t="str">
        <f>IF(DataH!$Y289&lt;0, NA(), IF(ISERROR(DataH!$W289/DataH!$Y289), "", DataH!$W289/DataH!$Y289))</f>
        <v/>
      </c>
      <c r="E297" s="420" t="str">
        <f>IF(DataH!$Z289&lt;0, NA(), IF(ISERROR(DataH!$W289/DataH!$Z289), "", DataH!$W289/DataH!$Z289))</f>
        <v/>
      </c>
      <c r="G297" s="421" t="str">
        <f>IF(DataH!$AB289&lt;0, NA(), IF(ISERROR(DataH!$AA289/DataH!$AB289), "", DataH!$AA289/DataH!$AB289))</f>
        <v/>
      </c>
      <c r="H297" s="419" t="str">
        <f>IF(DataH!$AC289&lt;0, NA(), IF(ISERROR(DataH!$AA289/DataH!$AC289), "", DataH!$AA289/DataH!$AC289))</f>
        <v/>
      </c>
      <c r="I297" s="420" t="str">
        <f>IF(DataH!$AD289&lt;0, NA(), IF(ISERROR(DataH!$AA289/DataH!$AD289), "", DataH!$AA289/DataH!$AD289))</f>
        <v/>
      </c>
      <c r="J297" s="216"/>
      <c r="K297" s="216"/>
      <c r="L297" s="216"/>
      <c r="M297" s="216"/>
      <c r="N297" s="216"/>
      <c r="O297" s="216"/>
      <c r="P297" s="216"/>
      <c r="Q297" s="216"/>
      <c r="R297" s="216"/>
      <c r="S297" s="216"/>
      <c r="T297" s="216"/>
      <c r="U297" s="216"/>
      <c r="V297" s="216"/>
    </row>
    <row r="298" spans="2:22" ht="15" customHeight="1">
      <c r="B298" s="322" t="str">
        <f>IF(DataH!$V290="", "", DataH!$V290)</f>
        <v/>
      </c>
      <c r="C298" s="416" t="str">
        <f>IF(DataH!$X290&lt;0, NA(), IF(ISERROR(DataH!$W290/DataH!$X290), "", DataH!$W290/DataH!$X290))</f>
        <v/>
      </c>
      <c r="D298" s="416" t="str">
        <f>IF(DataH!$Y290&lt;0, NA(), IF(ISERROR(DataH!$W290/DataH!$Y290), "", DataH!$W290/DataH!$Y290))</f>
        <v/>
      </c>
      <c r="E298" s="417" t="str">
        <f>IF(DataH!$Z290&lt;0, NA(), IF(ISERROR(DataH!$W290/DataH!$Z290), "", DataH!$W290/DataH!$Z290))</f>
        <v/>
      </c>
      <c r="G298" s="418" t="str">
        <f>IF(DataH!$AB290&lt;0, NA(), IF(ISERROR(DataH!$AA290/DataH!$AB290), "", DataH!$AA290/DataH!$AB290))</f>
        <v/>
      </c>
      <c r="H298" s="416" t="str">
        <f>IF(DataH!$AC290&lt;0, NA(), IF(ISERROR(DataH!$AA290/DataH!$AC290), "", DataH!$AA290/DataH!$AC290))</f>
        <v/>
      </c>
      <c r="I298" s="417" t="str">
        <f>IF(DataH!$AD290&lt;0, NA(), IF(ISERROR(DataH!$AA290/DataH!$AD290), "", DataH!$AA290/DataH!$AD290))</f>
        <v/>
      </c>
      <c r="J298" s="216"/>
      <c r="K298" s="216"/>
      <c r="L298" s="216"/>
      <c r="M298" s="216"/>
      <c r="N298" s="216"/>
      <c r="O298" s="216"/>
      <c r="P298" s="216"/>
      <c r="Q298" s="216"/>
      <c r="R298" s="216"/>
      <c r="S298" s="216"/>
      <c r="T298" s="216"/>
      <c r="U298" s="216"/>
      <c r="V298" s="216"/>
    </row>
    <row r="299" spans="2:22" ht="15" customHeight="1">
      <c r="B299" s="318" t="str">
        <f>IF(DataH!$V291="", "", DataH!$V291)</f>
        <v/>
      </c>
      <c r="C299" s="419" t="str">
        <f>IF(DataH!$X291&lt;0, NA(), IF(ISERROR(DataH!$W291/DataH!$X291), "", DataH!$W291/DataH!$X291))</f>
        <v/>
      </c>
      <c r="D299" s="419" t="str">
        <f>IF(DataH!$Y291&lt;0, NA(), IF(ISERROR(DataH!$W291/DataH!$Y291), "", DataH!$W291/DataH!$Y291))</f>
        <v/>
      </c>
      <c r="E299" s="420" t="str">
        <f>IF(DataH!$Z291&lt;0, NA(), IF(ISERROR(DataH!$W291/DataH!$Z291), "", DataH!$W291/DataH!$Z291))</f>
        <v/>
      </c>
      <c r="G299" s="421" t="str">
        <f>IF(DataH!$AB291&lt;0, NA(), IF(ISERROR(DataH!$AA291/DataH!$AB291), "", DataH!$AA291/DataH!$AB291))</f>
        <v/>
      </c>
      <c r="H299" s="419" t="str">
        <f>IF(DataH!$AC291&lt;0, NA(), IF(ISERROR(DataH!$AA291/DataH!$AC291), "", DataH!$AA291/DataH!$AC291))</f>
        <v/>
      </c>
      <c r="I299" s="420" t="str">
        <f>IF(DataH!$AD291&lt;0, NA(), IF(ISERROR(DataH!$AA291/DataH!$AD291), "", DataH!$AA291/DataH!$AD291))</f>
        <v/>
      </c>
      <c r="J299" s="216"/>
      <c r="K299" s="216"/>
      <c r="L299" s="216"/>
      <c r="M299" s="216"/>
      <c r="N299" s="216"/>
      <c r="O299" s="216"/>
      <c r="P299" s="216"/>
      <c r="Q299" s="216"/>
      <c r="R299" s="216"/>
      <c r="S299" s="216"/>
      <c r="T299" s="216"/>
      <c r="U299" s="216"/>
      <c r="V299" s="216"/>
    </row>
    <row r="300" spans="2:22" ht="15" customHeight="1">
      <c r="B300" s="322" t="str">
        <f>IF(DataH!$V292="", "", DataH!$V292)</f>
        <v/>
      </c>
      <c r="C300" s="416" t="str">
        <f>IF(DataH!$X292&lt;0, NA(), IF(ISERROR(DataH!$W292/DataH!$X292), "", DataH!$W292/DataH!$X292))</f>
        <v/>
      </c>
      <c r="D300" s="416" t="str">
        <f>IF(DataH!$Y292&lt;0, NA(), IF(ISERROR(DataH!$W292/DataH!$Y292), "", DataH!$W292/DataH!$Y292))</f>
        <v/>
      </c>
      <c r="E300" s="417" t="str">
        <f>IF(DataH!$Z292&lt;0, NA(), IF(ISERROR(DataH!$W292/DataH!$Z292), "", DataH!$W292/DataH!$Z292))</f>
        <v/>
      </c>
      <c r="G300" s="418" t="str">
        <f>IF(DataH!$AB292&lt;0, NA(), IF(ISERROR(DataH!$AA292/DataH!$AB292), "", DataH!$AA292/DataH!$AB292))</f>
        <v/>
      </c>
      <c r="H300" s="416" t="str">
        <f>IF(DataH!$AC292&lt;0, NA(), IF(ISERROR(DataH!$AA292/DataH!$AC292), "", DataH!$AA292/DataH!$AC292))</f>
        <v/>
      </c>
      <c r="I300" s="417" t="str">
        <f>IF(DataH!$AD292&lt;0, NA(), IF(ISERROR(DataH!$AA292/DataH!$AD292), "", DataH!$AA292/DataH!$AD292))</f>
        <v/>
      </c>
    </row>
    <row r="301" spans="2:22" ht="15" customHeight="1">
      <c r="B301" s="318" t="str">
        <f>IF(DataH!$V293="", "", DataH!$V293)</f>
        <v/>
      </c>
      <c r="C301" s="419" t="str">
        <f>IF(DataH!$X293&lt;0, NA(), IF(ISERROR(DataH!$W293/DataH!$X293), "", DataH!$W293/DataH!$X293))</f>
        <v/>
      </c>
      <c r="D301" s="419" t="str">
        <f>IF(DataH!$Y293&lt;0, NA(), IF(ISERROR(DataH!$W293/DataH!$Y293), "", DataH!$W293/DataH!$Y293))</f>
        <v/>
      </c>
      <c r="E301" s="420" t="str">
        <f>IF(DataH!$Z293&lt;0, NA(), IF(ISERROR(DataH!$W293/DataH!$Z293), "", DataH!$W293/DataH!$Z293))</f>
        <v/>
      </c>
      <c r="G301" s="421" t="str">
        <f>IF(DataH!$AB293&lt;0, NA(), IF(ISERROR(DataH!$AA293/DataH!$AB293), "", DataH!$AA293/DataH!$AB293))</f>
        <v/>
      </c>
      <c r="H301" s="419" t="str">
        <f>IF(DataH!$AC293&lt;0, NA(), IF(ISERROR(DataH!$AA293/DataH!$AC293), "", DataH!$AA293/DataH!$AC293))</f>
        <v/>
      </c>
      <c r="I301" s="420" t="str">
        <f>IF(DataH!$AD293&lt;0, NA(), IF(ISERROR(DataH!$AA293/DataH!$AD293), "", DataH!$AA293/DataH!$AD293))</f>
        <v/>
      </c>
    </row>
    <row r="302" spans="2:22" ht="15" customHeight="1">
      <c r="B302" s="322" t="str">
        <f>IF(DataH!$V294="", "", DataH!$V294)</f>
        <v/>
      </c>
      <c r="C302" s="416" t="str">
        <f>IF(DataH!$X294&lt;0, NA(), IF(ISERROR(DataH!$W294/DataH!$X294), "", DataH!$W294/DataH!$X294))</f>
        <v/>
      </c>
      <c r="D302" s="416" t="str">
        <f>IF(DataH!$Y294&lt;0, NA(), IF(ISERROR(DataH!$W294/DataH!$Y294), "", DataH!$W294/DataH!$Y294))</f>
        <v/>
      </c>
      <c r="E302" s="417" t="str">
        <f>IF(DataH!$Z294&lt;0, NA(), IF(ISERROR(DataH!$W294/DataH!$Z294), "", DataH!$W294/DataH!$Z294))</f>
        <v/>
      </c>
      <c r="G302" s="418" t="str">
        <f>IF(DataH!$AB294&lt;0, NA(), IF(ISERROR(DataH!$AA294/DataH!$AB294), "", DataH!$AA294/DataH!$AB294))</f>
        <v/>
      </c>
      <c r="H302" s="416" t="str">
        <f>IF(DataH!$AC294&lt;0, NA(), IF(ISERROR(DataH!$AA294/DataH!$AC294), "", DataH!$AA294/DataH!$AC294))</f>
        <v/>
      </c>
      <c r="I302" s="417" t="str">
        <f>IF(DataH!$AD294&lt;0, NA(), IF(ISERROR(DataH!$AA294/DataH!$AD294), "", DataH!$AA294/DataH!$AD294))</f>
        <v/>
      </c>
    </row>
    <row r="303" spans="2:22" ht="15" customHeight="1">
      <c r="B303" s="318" t="str">
        <f>IF(DataH!$V295="", "", DataH!$V295)</f>
        <v/>
      </c>
      <c r="C303" s="419" t="str">
        <f>IF(DataH!$X295&lt;0, NA(), IF(ISERROR(DataH!$W295/DataH!$X295), "", DataH!$W295/DataH!$X295))</f>
        <v/>
      </c>
      <c r="D303" s="419" t="str">
        <f>IF(DataH!$Y295&lt;0, NA(), IF(ISERROR(DataH!$W295/DataH!$Y295), "", DataH!$W295/DataH!$Y295))</f>
        <v/>
      </c>
      <c r="E303" s="420" t="str">
        <f>IF(DataH!$Z295&lt;0, NA(), IF(ISERROR(DataH!$W295/DataH!$Z295), "", DataH!$W295/DataH!$Z295))</f>
        <v/>
      </c>
      <c r="G303" s="421" t="str">
        <f>IF(DataH!$AB295&lt;0, NA(), IF(ISERROR(DataH!$AA295/DataH!$AB295), "", DataH!$AA295/DataH!$AB295))</f>
        <v/>
      </c>
      <c r="H303" s="419" t="str">
        <f>IF(DataH!$AC295&lt;0, NA(), IF(ISERROR(DataH!$AA295/DataH!$AC295), "", DataH!$AA295/DataH!$AC295))</f>
        <v/>
      </c>
      <c r="I303" s="420" t="str">
        <f>IF(DataH!$AD295&lt;0, NA(), IF(ISERROR(DataH!$AA295/DataH!$AD295), "", DataH!$AA295/DataH!$AD295))</f>
        <v/>
      </c>
    </row>
    <row r="304" spans="2:22" ht="15" customHeight="1">
      <c r="B304" s="322" t="str">
        <f>IF(DataH!$V296="", "", DataH!$V296)</f>
        <v/>
      </c>
      <c r="C304" s="416" t="str">
        <f>IF(DataH!$X296&lt;0, NA(), IF(ISERROR(DataH!$W296/DataH!$X296), "", DataH!$W296/DataH!$X296))</f>
        <v/>
      </c>
      <c r="D304" s="416" t="str">
        <f>IF(DataH!$Y296&lt;0, NA(), IF(ISERROR(DataH!$W296/DataH!$Y296), "", DataH!$W296/DataH!$Y296))</f>
        <v/>
      </c>
      <c r="E304" s="417" t="str">
        <f>IF(DataH!$Z296&lt;0, NA(), IF(ISERROR(DataH!$W296/DataH!$Z296), "", DataH!$W296/DataH!$Z296))</f>
        <v/>
      </c>
      <c r="G304" s="418" t="str">
        <f>IF(DataH!$AB296&lt;0, NA(), IF(ISERROR(DataH!$AA296/DataH!$AB296), "", DataH!$AA296/DataH!$AB296))</f>
        <v/>
      </c>
      <c r="H304" s="416" t="str">
        <f>IF(DataH!$AC296&lt;0, NA(), IF(ISERROR(DataH!$AA296/DataH!$AC296), "", DataH!$AA296/DataH!$AC296))</f>
        <v/>
      </c>
      <c r="I304" s="417" t="str">
        <f>IF(DataH!$AD296&lt;0, NA(), IF(ISERROR(DataH!$AA296/DataH!$AD296), "", DataH!$AA296/DataH!$AD296))</f>
        <v/>
      </c>
    </row>
    <row r="305" spans="2:9" ht="15" customHeight="1">
      <c r="B305" s="318" t="str">
        <f>IF(DataH!$V297="", "", DataH!$V297)</f>
        <v/>
      </c>
      <c r="C305" s="419" t="str">
        <f>IF(DataH!$X297&lt;0, NA(), IF(ISERROR(DataH!$W297/DataH!$X297), "", DataH!$W297/DataH!$X297))</f>
        <v/>
      </c>
      <c r="D305" s="419" t="str">
        <f>IF(DataH!$Y297&lt;0, NA(), IF(ISERROR(DataH!$W297/DataH!$Y297), "", DataH!$W297/DataH!$Y297))</f>
        <v/>
      </c>
      <c r="E305" s="420" t="str">
        <f>IF(DataH!$Z297&lt;0, NA(), IF(ISERROR(DataH!$W297/DataH!$Z297), "", DataH!$W297/DataH!$Z297))</f>
        <v/>
      </c>
      <c r="G305" s="421" t="str">
        <f>IF(DataH!$AB297&lt;0, NA(), IF(ISERROR(DataH!$AA297/DataH!$AB297), "", DataH!$AA297/DataH!$AB297))</f>
        <v/>
      </c>
      <c r="H305" s="419" t="str">
        <f>IF(DataH!$AC297&lt;0, NA(), IF(ISERROR(DataH!$AA297/DataH!$AC297), "", DataH!$AA297/DataH!$AC297))</f>
        <v/>
      </c>
      <c r="I305" s="420" t="str">
        <f>IF(DataH!$AD297&lt;0, NA(), IF(ISERROR(DataH!$AA297/DataH!$AD297), "", DataH!$AA297/DataH!$AD297))</f>
        <v/>
      </c>
    </row>
    <row r="306" spans="2:9" ht="15" customHeight="1">
      <c r="B306" s="322" t="str">
        <f>IF(DataH!$V298="", "", DataH!$V298)</f>
        <v/>
      </c>
      <c r="C306" s="416" t="str">
        <f>IF(DataH!$X298&lt;0, NA(), IF(ISERROR(DataH!$W298/DataH!$X298), "", DataH!$W298/DataH!$X298))</f>
        <v/>
      </c>
      <c r="D306" s="416" t="str">
        <f>IF(DataH!$Y298&lt;0, NA(), IF(ISERROR(DataH!$W298/DataH!$Y298), "", DataH!$W298/DataH!$Y298))</f>
        <v/>
      </c>
      <c r="E306" s="417" t="str">
        <f>IF(DataH!$Z298&lt;0, NA(), IF(ISERROR(DataH!$W298/DataH!$Z298), "", DataH!$W298/DataH!$Z298))</f>
        <v/>
      </c>
      <c r="G306" s="418" t="str">
        <f>IF(DataH!$AB298&lt;0, NA(), IF(ISERROR(DataH!$AA298/DataH!$AB298), "", DataH!$AA298/DataH!$AB298))</f>
        <v/>
      </c>
      <c r="H306" s="416" t="str">
        <f>IF(DataH!$AC298&lt;0, NA(), IF(ISERROR(DataH!$AA298/DataH!$AC298), "", DataH!$AA298/DataH!$AC298))</f>
        <v/>
      </c>
      <c r="I306" s="417" t="str">
        <f>IF(DataH!$AD298&lt;0, NA(), IF(ISERROR(DataH!$AA298/DataH!$AD298), "", DataH!$AA298/DataH!$AD298))</f>
        <v/>
      </c>
    </row>
    <row r="307" spans="2:9" ht="15" customHeight="1">
      <c r="B307" s="318" t="str">
        <f>IF(DataH!$V299="", "", DataH!$V299)</f>
        <v/>
      </c>
      <c r="C307" s="419" t="str">
        <f>IF(DataH!$X299&lt;0, NA(), IF(ISERROR(DataH!$W299/DataH!$X299), "", DataH!$W299/DataH!$X299))</f>
        <v/>
      </c>
      <c r="D307" s="419" t="str">
        <f>IF(DataH!$Y299&lt;0, NA(), IF(ISERROR(DataH!$W299/DataH!$Y299), "", DataH!$W299/DataH!$Y299))</f>
        <v/>
      </c>
      <c r="E307" s="420" t="str">
        <f>IF(DataH!$Z299&lt;0, NA(), IF(ISERROR(DataH!$W299/DataH!$Z299), "", DataH!$W299/DataH!$Z299))</f>
        <v/>
      </c>
      <c r="G307" s="421" t="str">
        <f>IF(DataH!$AB299&lt;0, NA(), IF(ISERROR(DataH!$AA299/DataH!$AB299), "", DataH!$AA299/DataH!$AB299))</f>
        <v/>
      </c>
      <c r="H307" s="419" t="str">
        <f>IF(DataH!$AC299&lt;0, NA(), IF(ISERROR(DataH!$AA299/DataH!$AC299), "", DataH!$AA299/DataH!$AC299))</f>
        <v/>
      </c>
      <c r="I307" s="420" t="str">
        <f>IF(DataH!$AD299&lt;0, NA(), IF(ISERROR(DataH!$AA299/DataH!$AD299), "", DataH!$AA299/DataH!$AD299))</f>
        <v/>
      </c>
    </row>
    <row r="308" spans="2:9" ht="15" customHeight="1">
      <c r="B308" s="322" t="str">
        <f>IF(DataH!$V300="", "", DataH!$V300)</f>
        <v/>
      </c>
      <c r="C308" s="416" t="str">
        <f>IF(DataH!$X300&lt;0, NA(), IF(ISERROR(DataH!$W300/DataH!$X300), "", DataH!$W300/DataH!$X300))</f>
        <v/>
      </c>
      <c r="D308" s="416" t="str">
        <f>IF(DataH!$Y300&lt;0, NA(), IF(ISERROR(DataH!$W300/DataH!$Y300), "", DataH!$W300/DataH!$Y300))</f>
        <v/>
      </c>
      <c r="E308" s="417" t="str">
        <f>IF(DataH!$Z300&lt;0, NA(), IF(ISERROR(DataH!$W300/DataH!$Z300), "", DataH!$W300/DataH!$Z300))</f>
        <v/>
      </c>
      <c r="G308" s="418" t="str">
        <f>IF(DataH!$AB300&lt;0, NA(), IF(ISERROR(DataH!$AA300/DataH!$AB300), "", DataH!$AA300/DataH!$AB300))</f>
        <v/>
      </c>
      <c r="H308" s="416" t="str">
        <f>IF(DataH!$AC300&lt;0, NA(), IF(ISERROR(DataH!$AA300/DataH!$AC300), "", DataH!$AA300/DataH!$AC300))</f>
        <v/>
      </c>
      <c r="I308" s="417" t="str">
        <f>IF(DataH!$AD300&lt;0, NA(), IF(ISERROR(DataH!$AA300/DataH!$AD300), "", DataH!$AA300/DataH!$AD300))</f>
        <v/>
      </c>
    </row>
    <row r="309" spans="2:9" ht="15" customHeight="1">
      <c r="B309" s="318" t="str">
        <f>IF(DataH!$V301="", "", DataH!$V301)</f>
        <v/>
      </c>
      <c r="C309" s="419" t="str">
        <f>IF(DataH!$X301&lt;0, NA(), IF(ISERROR(DataH!$W301/DataH!$X301), "", DataH!$W301/DataH!$X301))</f>
        <v/>
      </c>
      <c r="D309" s="419" t="str">
        <f>IF(DataH!$Y301&lt;0, NA(), IF(ISERROR(DataH!$W301/DataH!$Y301), "", DataH!$W301/DataH!$Y301))</f>
        <v/>
      </c>
      <c r="E309" s="420" t="str">
        <f>IF(DataH!$Z301&lt;0, NA(), IF(ISERROR(DataH!$W301/DataH!$Z301), "", DataH!$W301/DataH!$Z301))</f>
        <v/>
      </c>
      <c r="G309" s="421" t="str">
        <f>IF(DataH!$AB301&lt;0, NA(), IF(ISERROR(DataH!$AA301/DataH!$AB301), "", DataH!$AA301/DataH!$AB301))</f>
        <v/>
      </c>
      <c r="H309" s="419" t="str">
        <f>IF(DataH!$AC301&lt;0, NA(), IF(ISERROR(DataH!$AA301/DataH!$AC301), "", DataH!$AA301/DataH!$AC301))</f>
        <v/>
      </c>
      <c r="I309" s="420" t="str">
        <f>IF(DataH!$AD301&lt;0, NA(), IF(ISERROR(DataH!$AA301/DataH!$AD301), "", DataH!$AA301/DataH!$AD301))</f>
        <v/>
      </c>
    </row>
    <row r="310" spans="2:9" ht="15" customHeight="1">
      <c r="B310" s="322" t="str">
        <f>IF(DataH!$V302="", "", DataH!$V302)</f>
        <v/>
      </c>
      <c r="C310" s="416" t="str">
        <f>IF(DataH!$X302&lt;0, NA(), IF(ISERROR(DataH!$W302/DataH!$X302), "", DataH!$W302/DataH!$X302))</f>
        <v/>
      </c>
      <c r="D310" s="416" t="str">
        <f>IF(DataH!$Y302&lt;0, NA(), IF(ISERROR(DataH!$W302/DataH!$Y302), "", DataH!$W302/DataH!$Y302))</f>
        <v/>
      </c>
      <c r="E310" s="417" t="str">
        <f>IF(DataH!$Z302&lt;0, NA(), IF(ISERROR(DataH!$W302/DataH!$Z302), "", DataH!$W302/DataH!$Z302))</f>
        <v/>
      </c>
      <c r="G310" s="418" t="str">
        <f>IF(DataH!$AB302&lt;0, NA(), IF(ISERROR(DataH!$AA302/DataH!$AB302), "", DataH!$AA302/DataH!$AB302))</f>
        <v/>
      </c>
      <c r="H310" s="416" t="str">
        <f>IF(DataH!$AC302&lt;0, NA(), IF(ISERROR(DataH!$AA302/DataH!$AC302), "", DataH!$AA302/DataH!$AC302))</f>
        <v/>
      </c>
      <c r="I310" s="417" t="str">
        <f>IF(DataH!$AD302&lt;0, NA(), IF(ISERROR(DataH!$AA302/DataH!$AD302), "", DataH!$AA302/DataH!$AD302))</f>
        <v/>
      </c>
    </row>
    <row r="311" spans="2:9" ht="15" customHeight="1">
      <c r="B311" s="318" t="str">
        <f>IF(DataH!$V303="", "", DataH!$V303)</f>
        <v/>
      </c>
      <c r="C311" s="419" t="str">
        <f>IF(DataH!$X303&lt;0, NA(), IF(ISERROR(DataH!$W303/DataH!$X303), "", DataH!$W303/DataH!$X303))</f>
        <v/>
      </c>
      <c r="D311" s="419" t="str">
        <f>IF(DataH!$Y303&lt;0, NA(), IF(ISERROR(DataH!$W303/DataH!$Y303), "", DataH!$W303/DataH!$Y303))</f>
        <v/>
      </c>
      <c r="E311" s="420" t="str">
        <f>IF(DataH!$Z303&lt;0, NA(), IF(ISERROR(DataH!$W303/DataH!$Z303), "", DataH!$W303/DataH!$Z303))</f>
        <v/>
      </c>
      <c r="G311" s="421" t="str">
        <f>IF(DataH!$AB303&lt;0, NA(), IF(ISERROR(DataH!$AA303/DataH!$AB303), "", DataH!$AA303/DataH!$AB303))</f>
        <v/>
      </c>
      <c r="H311" s="419" t="str">
        <f>IF(DataH!$AC303&lt;0, NA(), IF(ISERROR(DataH!$AA303/DataH!$AC303), "", DataH!$AA303/DataH!$AC303))</f>
        <v/>
      </c>
      <c r="I311" s="420" t="str">
        <f>IF(DataH!$AD303&lt;0, NA(), IF(ISERROR(DataH!$AA303/DataH!$AD303), "", DataH!$AA303/DataH!$AD303))</f>
        <v/>
      </c>
    </row>
    <row r="312" spans="2:9" ht="15" customHeight="1">
      <c r="B312" s="322" t="str">
        <f>IF(DataH!$V304="", "", DataH!$V304)</f>
        <v/>
      </c>
      <c r="C312" s="416" t="str">
        <f>IF(DataH!$X304&lt;0, NA(), IF(ISERROR(DataH!$W304/DataH!$X304), "", DataH!$W304/DataH!$X304))</f>
        <v/>
      </c>
      <c r="D312" s="416" t="str">
        <f>IF(DataH!$Y304&lt;0, NA(), IF(ISERROR(DataH!$W304/DataH!$Y304), "", DataH!$W304/DataH!$Y304))</f>
        <v/>
      </c>
      <c r="E312" s="417" t="str">
        <f>IF(DataH!$Z304&lt;0, NA(), IF(ISERROR(DataH!$W304/DataH!$Z304), "", DataH!$W304/DataH!$Z304))</f>
        <v/>
      </c>
      <c r="G312" s="418" t="str">
        <f>IF(DataH!$AB304&lt;0, NA(), IF(ISERROR(DataH!$AA304/DataH!$AB304), "", DataH!$AA304/DataH!$AB304))</f>
        <v/>
      </c>
      <c r="H312" s="416" t="str">
        <f>IF(DataH!$AC304&lt;0, NA(), IF(ISERROR(DataH!$AA304/DataH!$AC304), "", DataH!$AA304/DataH!$AC304))</f>
        <v/>
      </c>
      <c r="I312" s="417" t="str">
        <f>IF(DataH!$AD304&lt;0, NA(), IF(ISERROR(DataH!$AA304/DataH!$AD304), "", DataH!$AA304/DataH!$AD304))</f>
        <v/>
      </c>
    </row>
    <row r="313" spans="2:9" ht="15" customHeight="1">
      <c r="B313" s="318" t="str">
        <f>IF(DataH!$V305="", "", DataH!$V305)</f>
        <v/>
      </c>
      <c r="C313" s="419" t="str">
        <f>IF(DataH!$X305&lt;0, NA(), IF(ISERROR(DataH!$W305/DataH!$X305), "", DataH!$W305/DataH!$X305))</f>
        <v/>
      </c>
      <c r="D313" s="419" t="str">
        <f>IF(DataH!$Y305&lt;0, NA(), IF(ISERROR(DataH!$W305/DataH!$Y305), "", DataH!$W305/DataH!$Y305))</f>
        <v/>
      </c>
      <c r="E313" s="420" t="str">
        <f>IF(DataH!$Z305&lt;0, NA(), IF(ISERROR(DataH!$W305/DataH!$Z305), "", DataH!$W305/DataH!$Z305))</f>
        <v/>
      </c>
      <c r="G313" s="421" t="str">
        <f>IF(DataH!$AB305&lt;0, NA(), IF(ISERROR(DataH!$AA305/DataH!$AB305), "", DataH!$AA305/DataH!$AB305))</f>
        <v/>
      </c>
      <c r="H313" s="419" t="str">
        <f>IF(DataH!$AC305&lt;0, NA(), IF(ISERROR(DataH!$AA305/DataH!$AC305), "", DataH!$AA305/DataH!$AC305))</f>
        <v/>
      </c>
      <c r="I313" s="420" t="str">
        <f>IF(DataH!$AD305&lt;0, NA(), IF(ISERROR(DataH!$AA305/DataH!$AD305), "", DataH!$AA305/DataH!$AD305))</f>
        <v/>
      </c>
    </row>
    <row r="314" spans="2:9" ht="15" customHeight="1">
      <c r="B314" s="322" t="str">
        <f>IF(DataH!$V306="", "", DataH!$V306)</f>
        <v/>
      </c>
      <c r="C314" s="416" t="str">
        <f>IF(DataH!$X306&lt;0, NA(), IF(ISERROR(DataH!$W306/DataH!$X306), "", DataH!$W306/DataH!$X306))</f>
        <v/>
      </c>
      <c r="D314" s="416" t="str">
        <f>IF(DataH!$Y306&lt;0, NA(), IF(ISERROR(DataH!$W306/DataH!$Y306), "", DataH!$W306/DataH!$Y306))</f>
        <v/>
      </c>
      <c r="E314" s="417" t="str">
        <f>IF(DataH!$Z306&lt;0, NA(), IF(ISERROR(DataH!$W306/DataH!$Z306), "", DataH!$W306/DataH!$Z306))</f>
        <v/>
      </c>
      <c r="G314" s="418" t="str">
        <f>IF(DataH!$AB306&lt;0, NA(), IF(ISERROR(DataH!$AA306/DataH!$AB306), "", DataH!$AA306/DataH!$AB306))</f>
        <v/>
      </c>
      <c r="H314" s="416" t="str">
        <f>IF(DataH!$AC306&lt;0, NA(), IF(ISERROR(DataH!$AA306/DataH!$AC306), "", DataH!$AA306/DataH!$AC306))</f>
        <v/>
      </c>
      <c r="I314" s="417" t="str">
        <f>IF(DataH!$AD306&lt;0, NA(), IF(ISERROR(DataH!$AA306/DataH!$AD306), "", DataH!$AA306/DataH!$AD306))</f>
        <v/>
      </c>
    </row>
    <row r="315" spans="2:9" ht="15" customHeight="1">
      <c r="B315" s="318" t="str">
        <f>IF(DataH!$V307="", "", DataH!$V307)</f>
        <v/>
      </c>
      <c r="C315" s="419" t="str">
        <f>IF(DataH!$X307&lt;0, NA(), IF(ISERROR(DataH!$W307/DataH!$X307), "", DataH!$W307/DataH!$X307))</f>
        <v/>
      </c>
      <c r="D315" s="419" t="str">
        <f>IF(DataH!$Y307&lt;0, NA(), IF(ISERROR(DataH!$W307/DataH!$Y307), "", DataH!$W307/DataH!$Y307))</f>
        <v/>
      </c>
      <c r="E315" s="420" t="str">
        <f>IF(DataH!$Z307&lt;0, NA(), IF(ISERROR(DataH!$W307/DataH!$Z307), "", DataH!$W307/DataH!$Z307))</f>
        <v/>
      </c>
      <c r="G315" s="421" t="str">
        <f>IF(DataH!$AB307&lt;0, NA(), IF(ISERROR(DataH!$AA307/DataH!$AB307), "", DataH!$AA307/DataH!$AB307))</f>
        <v/>
      </c>
      <c r="H315" s="419" t="str">
        <f>IF(DataH!$AC307&lt;0, NA(), IF(ISERROR(DataH!$AA307/DataH!$AC307), "", DataH!$AA307/DataH!$AC307))</f>
        <v/>
      </c>
      <c r="I315" s="420" t="str">
        <f>IF(DataH!$AD307&lt;0, NA(), IF(ISERROR(DataH!$AA307/DataH!$AD307), "", DataH!$AA307/DataH!$AD307))</f>
        <v/>
      </c>
    </row>
    <row r="316" spans="2:9" ht="15" customHeight="1">
      <c r="B316" s="322" t="str">
        <f>IF(DataH!$V308="", "", DataH!$V308)</f>
        <v/>
      </c>
      <c r="C316" s="416" t="str">
        <f>IF(DataH!$X308&lt;0, NA(), IF(ISERROR(DataH!$W308/DataH!$X308), "", DataH!$W308/DataH!$X308))</f>
        <v/>
      </c>
      <c r="D316" s="416" t="str">
        <f>IF(DataH!$Y308&lt;0, NA(), IF(ISERROR(DataH!$W308/DataH!$Y308), "", DataH!$W308/DataH!$Y308))</f>
        <v/>
      </c>
      <c r="E316" s="417" t="str">
        <f>IF(DataH!$Z308&lt;0, NA(), IF(ISERROR(DataH!$W308/DataH!$Z308), "", DataH!$W308/DataH!$Z308))</f>
        <v/>
      </c>
      <c r="G316" s="418" t="str">
        <f>IF(DataH!$AB308&lt;0, NA(), IF(ISERROR(DataH!$AA308/DataH!$AB308), "", DataH!$AA308/DataH!$AB308))</f>
        <v/>
      </c>
      <c r="H316" s="416" t="str">
        <f>IF(DataH!$AC308&lt;0, NA(), IF(ISERROR(DataH!$AA308/DataH!$AC308), "", DataH!$AA308/DataH!$AC308))</f>
        <v/>
      </c>
      <c r="I316" s="417" t="str">
        <f>IF(DataH!$AD308&lt;0, NA(), IF(ISERROR(DataH!$AA308/DataH!$AD308), "", DataH!$AA308/DataH!$AD308))</f>
        <v/>
      </c>
    </row>
    <row r="317" spans="2:9" ht="15" customHeight="1">
      <c r="B317" s="318" t="str">
        <f>IF(DataH!$V309="", "", DataH!$V309)</f>
        <v/>
      </c>
      <c r="C317" s="419" t="str">
        <f>IF(DataH!$X309&lt;0, NA(), IF(ISERROR(DataH!$W309/DataH!$X309), "", DataH!$W309/DataH!$X309))</f>
        <v/>
      </c>
      <c r="D317" s="419" t="str">
        <f>IF(DataH!$Y309&lt;0, NA(), IF(ISERROR(DataH!$W309/DataH!$Y309), "", DataH!$W309/DataH!$Y309))</f>
        <v/>
      </c>
      <c r="E317" s="420" t="str">
        <f>IF(DataH!$Z309&lt;0, NA(), IF(ISERROR(DataH!$W309/DataH!$Z309), "", DataH!$W309/DataH!$Z309))</f>
        <v/>
      </c>
      <c r="G317" s="421" t="str">
        <f>IF(DataH!$AB309&lt;0, NA(), IF(ISERROR(DataH!$AA309/DataH!$AB309), "", DataH!$AA309/DataH!$AB309))</f>
        <v/>
      </c>
      <c r="H317" s="419" t="str">
        <f>IF(DataH!$AC309&lt;0, NA(), IF(ISERROR(DataH!$AA309/DataH!$AC309), "", DataH!$AA309/DataH!$AC309))</f>
        <v/>
      </c>
      <c r="I317" s="420" t="str">
        <f>IF(DataH!$AD309&lt;0, NA(), IF(ISERROR(DataH!$AA309/DataH!$AD309), "", DataH!$AA309/DataH!$AD309))</f>
        <v/>
      </c>
    </row>
    <row r="318" spans="2:9" ht="15" customHeight="1">
      <c r="B318" s="322" t="str">
        <f>IF(DataH!$V310="", "", DataH!$V310)</f>
        <v/>
      </c>
      <c r="C318" s="416" t="str">
        <f>IF(DataH!$X310&lt;0, NA(), IF(ISERROR(DataH!$W310/DataH!$X310), "", DataH!$W310/DataH!$X310))</f>
        <v/>
      </c>
      <c r="D318" s="416" t="str">
        <f>IF(DataH!$Y310&lt;0, NA(), IF(ISERROR(DataH!$W310/DataH!$Y310), "", DataH!$W310/DataH!$Y310))</f>
        <v/>
      </c>
      <c r="E318" s="417" t="str">
        <f>IF(DataH!$Z310&lt;0, NA(), IF(ISERROR(DataH!$W310/DataH!$Z310), "", DataH!$W310/DataH!$Z310))</f>
        <v/>
      </c>
      <c r="G318" s="418" t="str">
        <f>IF(DataH!$AB310&lt;0, NA(), IF(ISERROR(DataH!$AA310/DataH!$AB310), "", DataH!$AA310/DataH!$AB310))</f>
        <v/>
      </c>
      <c r="H318" s="416" t="str">
        <f>IF(DataH!$AC310&lt;0, NA(), IF(ISERROR(DataH!$AA310/DataH!$AC310), "", DataH!$AA310/DataH!$AC310))</f>
        <v/>
      </c>
      <c r="I318" s="417" t="str">
        <f>IF(DataH!$AD310&lt;0, NA(), IF(ISERROR(DataH!$AA310/DataH!$AD310), "", DataH!$AA310/DataH!$AD310))</f>
        <v/>
      </c>
    </row>
    <row r="319" spans="2:9" ht="15" customHeight="1">
      <c r="B319" s="318" t="str">
        <f>IF(DataH!$V311="", "", DataH!$V311)</f>
        <v/>
      </c>
      <c r="C319" s="419" t="str">
        <f>IF(DataH!$X311&lt;0, NA(), IF(ISERROR(DataH!$W311/DataH!$X311), "", DataH!$W311/DataH!$X311))</f>
        <v/>
      </c>
      <c r="D319" s="419" t="str">
        <f>IF(DataH!$Y311&lt;0, NA(), IF(ISERROR(DataH!$W311/DataH!$Y311), "", DataH!$W311/DataH!$Y311))</f>
        <v/>
      </c>
      <c r="E319" s="420" t="str">
        <f>IF(DataH!$Z311&lt;0, NA(), IF(ISERROR(DataH!$W311/DataH!$Z311), "", DataH!$W311/DataH!$Z311))</f>
        <v/>
      </c>
      <c r="G319" s="421" t="str">
        <f>IF(DataH!$AB311&lt;0, NA(), IF(ISERROR(DataH!$AA311/DataH!$AB311), "", DataH!$AA311/DataH!$AB311))</f>
        <v/>
      </c>
      <c r="H319" s="419" t="str">
        <f>IF(DataH!$AC311&lt;0, NA(), IF(ISERROR(DataH!$AA311/DataH!$AC311), "", DataH!$AA311/DataH!$AC311))</f>
        <v/>
      </c>
      <c r="I319" s="420" t="str">
        <f>IF(DataH!$AD311&lt;0, NA(), IF(ISERROR(DataH!$AA311/DataH!$AD311), "", DataH!$AA311/DataH!$AD311))</f>
        <v/>
      </c>
    </row>
    <row r="320" spans="2:9" ht="15" customHeight="1">
      <c r="B320" s="322" t="str">
        <f>IF(DataH!$V312="", "", DataH!$V312)</f>
        <v/>
      </c>
      <c r="C320" s="416" t="str">
        <f>IF(DataH!$X312&lt;0, NA(), IF(ISERROR(DataH!$W312/DataH!$X312), "", DataH!$W312/DataH!$X312))</f>
        <v/>
      </c>
      <c r="D320" s="416" t="str">
        <f>IF(DataH!$Y312&lt;0, NA(), IF(ISERROR(DataH!$W312/DataH!$Y312), "", DataH!$W312/DataH!$Y312))</f>
        <v/>
      </c>
      <c r="E320" s="417" t="str">
        <f>IF(DataH!$Z312&lt;0, NA(), IF(ISERROR(DataH!$W312/DataH!$Z312), "", DataH!$W312/DataH!$Z312))</f>
        <v/>
      </c>
      <c r="G320" s="418" t="str">
        <f>IF(DataH!$AB312&lt;0, NA(), IF(ISERROR(DataH!$AA312/DataH!$AB312), "", DataH!$AA312/DataH!$AB312))</f>
        <v/>
      </c>
      <c r="H320" s="416" t="str">
        <f>IF(DataH!$AC312&lt;0, NA(), IF(ISERROR(DataH!$AA312/DataH!$AC312), "", DataH!$AA312/DataH!$AC312))</f>
        <v/>
      </c>
      <c r="I320" s="417" t="str">
        <f>IF(DataH!$AD312&lt;0, NA(), IF(ISERROR(DataH!$AA312/DataH!$AD312), "", DataH!$AA312/DataH!$AD312))</f>
        <v/>
      </c>
    </row>
    <row r="321" spans="2:9" ht="15" customHeight="1">
      <c r="B321" s="318" t="str">
        <f>IF(DataH!$V313="", "", DataH!$V313)</f>
        <v/>
      </c>
      <c r="C321" s="419" t="str">
        <f>IF(DataH!$X313&lt;0, NA(), IF(ISERROR(DataH!$W313/DataH!$X313), "", DataH!$W313/DataH!$X313))</f>
        <v/>
      </c>
      <c r="D321" s="419" t="str">
        <f>IF(DataH!$Y313&lt;0, NA(), IF(ISERROR(DataH!$W313/DataH!$Y313), "", DataH!$W313/DataH!$Y313))</f>
        <v/>
      </c>
      <c r="E321" s="420" t="str">
        <f>IF(DataH!$Z313&lt;0, NA(), IF(ISERROR(DataH!$W313/DataH!$Z313), "", DataH!$W313/DataH!$Z313))</f>
        <v/>
      </c>
      <c r="G321" s="421" t="str">
        <f>IF(DataH!$AB313&lt;0, NA(), IF(ISERROR(DataH!$AA313/DataH!$AB313), "", DataH!$AA313/DataH!$AB313))</f>
        <v/>
      </c>
      <c r="H321" s="419" t="str">
        <f>IF(DataH!$AC313&lt;0, NA(), IF(ISERROR(DataH!$AA313/DataH!$AC313), "", DataH!$AA313/DataH!$AC313))</f>
        <v/>
      </c>
      <c r="I321" s="420" t="str">
        <f>IF(DataH!$AD313&lt;0, NA(), IF(ISERROR(DataH!$AA313/DataH!$AD313), "", DataH!$AA313/DataH!$AD313))</f>
        <v/>
      </c>
    </row>
    <row r="322" spans="2:9" ht="15" customHeight="1">
      <c r="B322" s="322" t="str">
        <f>IF(DataH!$V314="", "", DataH!$V314)</f>
        <v/>
      </c>
      <c r="C322" s="416" t="str">
        <f>IF(DataH!$X314&lt;0, NA(), IF(ISERROR(DataH!$W314/DataH!$X314), "", DataH!$W314/DataH!$X314))</f>
        <v/>
      </c>
      <c r="D322" s="416" t="str">
        <f>IF(DataH!$Y314&lt;0, NA(), IF(ISERROR(DataH!$W314/DataH!$Y314), "", DataH!$W314/DataH!$Y314))</f>
        <v/>
      </c>
      <c r="E322" s="417" t="str">
        <f>IF(DataH!$Z314&lt;0, NA(), IF(ISERROR(DataH!$W314/DataH!$Z314), "", DataH!$W314/DataH!$Z314))</f>
        <v/>
      </c>
      <c r="G322" s="418" t="str">
        <f>IF(DataH!$AB314&lt;0, NA(), IF(ISERROR(DataH!$AA314/DataH!$AB314), "", DataH!$AA314/DataH!$AB314))</f>
        <v/>
      </c>
      <c r="H322" s="416" t="str">
        <f>IF(DataH!$AC314&lt;0, NA(), IF(ISERROR(DataH!$AA314/DataH!$AC314), "", DataH!$AA314/DataH!$AC314))</f>
        <v/>
      </c>
      <c r="I322" s="417" t="str">
        <f>IF(DataH!$AD314&lt;0, NA(), IF(ISERROR(DataH!$AA314/DataH!$AD314), "", DataH!$AA314/DataH!$AD314))</f>
        <v/>
      </c>
    </row>
    <row r="323" spans="2:9" ht="15" customHeight="1">
      <c r="B323" s="318" t="str">
        <f>IF(DataH!$V315="", "", DataH!$V315)</f>
        <v/>
      </c>
      <c r="C323" s="419" t="str">
        <f>IF(DataH!$X315&lt;0, NA(), IF(ISERROR(DataH!$W315/DataH!$X315), "", DataH!$W315/DataH!$X315))</f>
        <v/>
      </c>
      <c r="D323" s="419" t="str">
        <f>IF(DataH!$Y315&lt;0, NA(), IF(ISERROR(DataH!$W315/DataH!$Y315), "", DataH!$W315/DataH!$Y315))</f>
        <v/>
      </c>
      <c r="E323" s="420" t="str">
        <f>IF(DataH!$Z315&lt;0, NA(), IF(ISERROR(DataH!$W315/DataH!$Z315), "", DataH!$W315/DataH!$Z315))</f>
        <v/>
      </c>
      <c r="G323" s="421" t="str">
        <f>IF(DataH!$AB315&lt;0, NA(), IF(ISERROR(DataH!$AA315/DataH!$AB315), "", DataH!$AA315/DataH!$AB315))</f>
        <v/>
      </c>
      <c r="H323" s="419" t="str">
        <f>IF(DataH!$AC315&lt;0, NA(), IF(ISERROR(DataH!$AA315/DataH!$AC315), "", DataH!$AA315/DataH!$AC315))</f>
        <v/>
      </c>
      <c r="I323" s="420" t="str">
        <f>IF(DataH!$AD315&lt;0, NA(), IF(ISERROR(DataH!$AA315/DataH!$AD315), "", DataH!$AA315/DataH!$AD315))</f>
        <v/>
      </c>
    </row>
    <row r="324" spans="2:9" ht="15" customHeight="1">
      <c r="B324" s="322" t="str">
        <f>IF(DataH!$V316="", "", DataH!$V316)</f>
        <v/>
      </c>
      <c r="C324" s="416" t="str">
        <f>IF(DataH!$X316&lt;0, NA(), IF(ISERROR(DataH!$W316/DataH!$X316), "", DataH!$W316/DataH!$X316))</f>
        <v/>
      </c>
      <c r="D324" s="416" t="str">
        <f>IF(DataH!$Y316&lt;0, NA(), IF(ISERROR(DataH!$W316/DataH!$Y316), "", DataH!$W316/DataH!$Y316))</f>
        <v/>
      </c>
      <c r="E324" s="417" t="str">
        <f>IF(DataH!$Z316&lt;0, NA(), IF(ISERROR(DataH!$W316/DataH!$Z316), "", DataH!$W316/DataH!$Z316))</f>
        <v/>
      </c>
      <c r="G324" s="418" t="str">
        <f>IF(DataH!$AB316&lt;0, NA(), IF(ISERROR(DataH!$AA316/DataH!$AB316), "", DataH!$AA316/DataH!$AB316))</f>
        <v/>
      </c>
      <c r="H324" s="416" t="str">
        <f>IF(DataH!$AC316&lt;0, NA(), IF(ISERROR(DataH!$AA316/DataH!$AC316), "", DataH!$AA316/DataH!$AC316))</f>
        <v/>
      </c>
      <c r="I324" s="417" t="str">
        <f>IF(DataH!$AD316&lt;0, NA(), IF(ISERROR(DataH!$AA316/DataH!$AD316), "", DataH!$AA316/DataH!$AD316))</f>
        <v/>
      </c>
    </row>
    <row r="325" spans="2:9" ht="15" customHeight="1">
      <c r="B325" s="318" t="str">
        <f>IF(DataH!$V317="", "", DataH!$V317)</f>
        <v/>
      </c>
      <c r="C325" s="419" t="str">
        <f>IF(DataH!$X317&lt;0, NA(), IF(ISERROR(DataH!$W317/DataH!$X317), "", DataH!$W317/DataH!$X317))</f>
        <v/>
      </c>
      <c r="D325" s="419" t="str">
        <f>IF(DataH!$Y317&lt;0, NA(), IF(ISERROR(DataH!$W317/DataH!$Y317), "", DataH!$W317/DataH!$Y317))</f>
        <v/>
      </c>
      <c r="E325" s="420" t="str">
        <f>IF(DataH!$Z317&lt;0, NA(), IF(ISERROR(DataH!$W317/DataH!$Z317), "", DataH!$W317/DataH!$Z317))</f>
        <v/>
      </c>
      <c r="G325" s="421" t="str">
        <f>IF(DataH!$AB317&lt;0, NA(), IF(ISERROR(DataH!$AA317/DataH!$AB317), "", DataH!$AA317/DataH!$AB317))</f>
        <v/>
      </c>
      <c r="H325" s="419" t="str">
        <f>IF(DataH!$AC317&lt;0, NA(), IF(ISERROR(DataH!$AA317/DataH!$AC317), "", DataH!$AA317/DataH!$AC317))</f>
        <v/>
      </c>
      <c r="I325" s="420" t="str">
        <f>IF(DataH!$AD317&lt;0, NA(), IF(ISERROR(DataH!$AA317/DataH!$AD317), "", DataH!$AA317/DataH!$AD317))</f>
        <v/>
      </c>
    </row>
    <row r="326" spans="2:9" ht="15" customHeight="1">
      <c r="B326" s="322" t="str">
        <f>IF(DataH!$V318="", "", DataH!$V318)</f>
        <v/>
      </c>
      <c r="C326" s="416" t="str">
        <f>IF(DataH!$X318&lt;0, NA(), IF(ISERROR(DataH!$W318/DataH!$X318), "", DataH!$W318/DataH!$X318))</f>
        <v/>
      </c>
      <c r="D326" s="416" t="str">
        <f>IF(DataH!$Y318&lt;0, NA(), IF(ISERROR(DataH!$W318/DataH!$Y318), "", DataH!$W318/DataH!$Y318))</f>
        <v/>
      </c>
      <c r="E326" s="417" t="str">
        <f>IF(DataH!$Z318&lt;0, NA(), IF(ISERROR(DataH!$W318/DataH!$Z318), "", DataH!$W318/DataH!$Z318))</f>
        <v/>
      </c>
      <c r="G326" s="418" t="str">
        <f>IF(DataH!$AB318&lt;0, NA(), IF(ISERROR(DataH!$AA318/DataH!$AB318), "", DataH!$AA318/DataH!$AB318))</f>
        <v/>
      </c>
      <c r="H326" s="416" t="str">
        <f>IF(DataH!$AC318&lt;0, NA(), IF(ISERROR(DataH!$AA318/DataH!$AC318), "", DataH!$AA318/DataH!$AC318))</f>
        <v/>
      </c>
      <c r="I326" s="417" t="str">
        <f>IF(DataH!$AD318&lt;0, NA(), IF(ISERROR(DataH!$AA318/DataH!$AD318), "", DataH!$AA318/DataH!$AD318))</f>
        <v/>
      </c>
    </row>
    <row r="327" spans="2:9" ht="15" customHeight="1">
      <c r="B327" s="318" t="str">
        <f>IF(DataH!$V319="", "", DataH!$V319)</f>
        <v/>
      </c>
      <c r="C327" s="419" t="str">
        <f>IF(DataH!$X319&lt;0, NA(), IF(ISERROR(DataH!$W319/DataH!$X319), "", DataH!$W319/DataH!$X319))</f>
        <v/>
      </c>
      <c r="D327" s="419" t="str">
        <f>IF(DataH!$Y319&lt;0, NA(), IF(ISERROR(DataH!$W319/DataH!$Y319), "", DataH!$W319/DataH!$Y319))</f>
        <v/>
      </c>
      <c r="E327" s="420" t="str">
        <f>IF(DataH!$Z319&lt;0, NA(), IF(ISERROR(DataH!$W319/DataH!$Z319), "", DataH!$W319/DataH!$Z319))</f>
        <v/>
      </c>
      <c r="G327" s="421" t="str">
        <f>IF(DataH!$AB319&lt;0, NA(), IF(ISERROR(DataH!$AA319/DataH!$AB319), "", DataH!$AA319/DataH!$AB319))</f>
        <v/>
      </c>
      <c r="H327" s="419" t="str">
        <f>IF(DataH!$AC319&lt;0, NA(), IF(ISERROR(DataH!$AA319/DataH!$AC319), "", DataH!$AA319/DataH!$AC319))</f>
        <v/>
      </c>
      <c r="I327" s="420" t="str">
        <f>IF(DataH!$AD319&lt;0, NA(), IF(ISERROR(DataH!$AA319/DataH!$AD319), "", DataH!$AA319/DataH!$AD319))</f>
        <v/>
      </c>
    </row>
    <row r="328" spans="2:9" ht="15" customHeight="1">
      <c r="B328" s="322" t="str">
        <f>IF(DataH!$V320="", "", DataH!$V320)</f>
        <v/>
      </c>
      <c r="C328" s="416" t="str">
        <f>IF(DataH!$X320&lt;0, NA(), IF(ISERROR(DataH!$W320/DataH!$X320), "", DataH!$W320/DataH!$X320))</f>
        <v/>
      </c>
      <c r="D328" s="416" t="str">
        <f>IF(DataH!$Y320&lt;0, NA(), IF(ISERROR(DataH!$W320/DataH!$Y320), "", DataH!$W320/DataH!$Y320))</f>
        <v/>
      </c>
      <c r="E328" s="417" t="str">
        <f>IF(DataH!$Z320&lt;0, NA(), IF(ISERROR(DataH!$W320/DataH!$Z320), "", DataH!$W320/DataH!$Z320))</f>
        <v/>
      </c>
      <c r="G328" s="418" t="str">
        <f>IF(DataH!$AB320&lt;0, NA(), IF(ISERROR(DataH!$AA320/DataH!$AB320), "", DataH!$AA320/DataH!$AB320))</f>
        <v/>
      </c>
      <c r="H328" s="416" t="str">
        <f>IF(DataH!$AC320&lt;0, NA(), IF(ISERROR(DataH!$AA320/DataH!$AC320), "", DataH!$AA320/DataH!$AC320))</f>
        <v/>
      </c>
      <c r="I328" s="417" t="str">
        <f>IF(DataH!$AD320&lt;0, NA(), IF(ISERROR(DataH!$AA320/DataH!$AD320), "", DataH!$AA320/DataH!$AD320))</f>
        <v/>
      </c>
    </row>
    <row r="329" spans="2:9" ht="15" customHeight="1">
      <c r="B329" s="318" t="str">
        <f>IF(DataH!$V321="", "", DataH!$V321)</f>
        <v/>
      </c>
      <c r="C329" s="419" t="str">
        <f>IF(DataH!$X321&lt;0, NA(), IF(ISERROR(DataH!$W321/DataH!$X321), "", DataH!$W321/DataH!$X321))</f>
        <v/>
      </c>
      <c r="D329" s="419" t="str">
        <f>IF(DataH!$Y321&lt;0, NA(), IF(ISERROR(DataH!$W321/DataH!$Y321), "", DataH!$W321/DataH!$Y321))</f>
        <v/>
      </c>
      <c r="E329" s="420" t="str">
        <f>IF(DataH!$Z321&lt;0, NA(), IF(ISERROR(DataH!$W321/DataH!$Z321), "", DataH!$W321/DataH!$Z321))</f>
        <v/>
      </c>
      <c r="G329" s="421" t="str">
        <f>IF(DataH!$AB321&lt;0, NA(), IF(ISERROR(DataH!$AA321/DataH!$AB321), "", DataH!$AA321/DataH!$AB321))</f>
        <v/>
      </c>
      <c r="H329" s="419" t="str">
        <f>IF(DataH!$AC321&lt;0, NA(), IF(ISERROR(DataH!$AA321/DataH!$AC321), "", DataH!$AA321/DataH!$AC321))</f>
        <v/>
      </c>
      <c r="I329" s="420" t="str">
        <f>IF(DataH!$AD321&lt;0, NA(), IF(ISERROR(DataH!$AA321/DataH!$AD321), "", DataH!$AA321/DataH!$AD321))</f>
        <v/>
      </c>
    </row>
    <row r="330" spans="2:9" ht="15" customHeight="1">
      <c r="B330" s="322" t="str">
        <f>IF(DataH!$V322="", "", DataH!$V322)</f>
        <v/>
      </c>
      <c r="C330" s="416" t="str">
        <f>IF(DataH!$X322&lt;0, NA(), IF(ISERROR(DataH!$W322/DataH!$X322), "", DataH!$W322/DataH!$X322))</f>
        <v/>
      </c>
      <c r="D330" s="416" t="str">
        <f>IF(DataH!$Y322&lt;0, NA(), IF(ISERROR(DataH!$W322/DataH!$Y322), "", DataH!$W322/DataH!$Y322))</f>
        <v/>
      </c>
      <c r="E330" s="417" t="str">
        <f>IF(DataH!$Z322&lt;0, NA(), IF(ISERROR(DataH!$W322/DataH!$Z322), "", DataH!$W322/DataH!$Z322))</f>
        <v/>
      </c>
      <c r="G330" s="418" t="str">
        <f>IF(DataH!$AB322&lt;0, NA(), IF(ISERROR(DataH!$AA322/DataH!$AB322), "", DataH!$AA322/DataH!$AB322))</f>
        <v/>
      </c>
      <c r="H330" s="416" t="str">
        <f>IF(DataH!$AC322&lt;0, NA(), IF(ISERROR(DataH!$AA322/DataH!$AC322), "", DataH!$AA322/DataH!$AC322))</f>
        <v/>
      </c>
      <c r="I330" s="417" t="str">
        <f>IF(DataH!$AD322&lt;0, NA(), IF(ISERROR(DataH!$AA322/DataH!$AD322), "", DataH!$AA322/DataH!$AD322))</f>
        <v/>
      </c>
    </row>
    <row r="331" spans="2:9" ht="15" customHeight="1">
      <c r="B331" s="318" t="str">
        <f>IF(DataH!$V323="", "", DataH!$V323)</f>
        <v/>
      </c>
      <c r="C331" s="419" t="str">
        <f>IF(DataH!$X323&lt;0, NA(), IF(ISERROR(DataH!$W323/DataH!$X323), "", DataH!$W323/DataH!$X323))</f>
        <v/>
      </c>
      <c r="D331" s="419" t="str">
        <f>IF(DataH!$Y323&lt;0, NA(), IF(ISERROR(DataH!$W323/DataH!$Y323), "", DataH!$W323/DataH!$Y323))</f>
        <v/>
      </c>
      <c r="E331" s="420" t="str">
        <f>IF(DataH!$Z323&lt;0, NA(), IF(ISERROR(DataH!$W323/DataH!$Z323), "", DataH!$W323/DataH!$Z323))</f>
        <v/>
      </c>
      <c r="G331" s="421" t="str">
        <f>IF(DataH!$AB323&lt;0, NA(), IF(ISERROR(DataH!$AA323/DataH!$AB323), "", DataH!$AA323/DataH!$AB323))</f>
        <v/>
      </c>
      <c r="H331" s="419" t="str">
        <f>IF(DataH!$AC323&lt;0, NA(), IF(ISERROR(DataH!$AA323/DataH!$AC323), "", DataH!$AA323/DataH!$AC323))</f>
        <v/>
      </c>
      <c r="I331" s="420" t="str">
        <f>IF(DataH!$AD323&lt;0, NA(), IF(ISERROR(DataH!$AA323/DataH!$AD323), "", DataH!$AA323/DataH!$AD323))</f>
        <v/>
      </c>
    </row>
    <row r="332" spans="2:9" ht="15" customHeight="1">
      <c r="B332" s="322" t="str">
        <f>IF(DataH!$V324="", "", DataH!$V324)</f>
        <v/>
      </c>
      <c r="C332" s="416" t="str">
        <f>IF(DataH!$X324&lt;0, NA(), IF(ISERROR(DataH!$W324/DataH!$X324), "", DataH!$W324/DataH!$X324))</f>
        <v/>
      </c>
      <c r="D332" s="416" t="str">
        <f>IF(DataH!$Y324&lt;0, NA(), IF(ISERROR(DataH!$W324/DataH!$Y324), "", DataH!$W324/DataH!$Y324))</f>
        <v/>
      </c>
      <c r="E332" s="417" t="str">
        <f>IF(DataH!$Z324&lt;0, NA(), IF(ISERROR(DataH!$W324/DataH!$Z324), "", DataH!$W324/DataH!$Z324))</f>
        <v/>
      </c>
      <c r="G332" s="418" t="str">
        <f>IF(DataH!$AB324&lt;0, NA(), IF(ISERROR(DataH!$AA324/DataH!$AB324), "", DataH!$AA324/DataH!$AB324))</f>
        <v/>
      </c>
      <c r="H332" s="416" t="str">
        <f>IF(DataH!$AC324&lt;0, NA(), IF(ISERROR(DataH!$AA324/DataH!$AC324), "", DataH!$AA324/DataH!$AC324))</f>
        <v/>
      </c>
      <c r="I332" s="417" t="str">
        <f>IF(DataH!$AD324&lt;0, NA(), IF(ISERROR(DataH!$AA324/DataH!$AD324), "", DataH!$AA324/DataH!$AD324))</f>
        <v/>
      </c>
    </row>
    <row r="333" spans="2:9" ht="15" customHeight="1">
      <c r="B333" s="318" t="str">
        <f>IF(DataH!$V325="", "", DataH!$V325)</f>
        <v/>
      </c>
      <c r="C333" s="419" t="str">
        <f>IF(DataH!$X325&lt;0, NA(), IF(ISERROR(DataH!$W325/DataH!$X325), "", DataH!$W325/DataH!$X325))</f>
        <v/>
      </c>
      <c r="D333" s="419" t="str">
        <f>IF(DataH!$Y325&lt;0, NA(), IF(ISERROR(DataH!$W325/DataH!$Y325), "", DataH!$W325/DataH!$Y325))</f>
        <v/>
      </c>
      <c r="E333" s="420" t="str">
        <f>IF(DataH!$Z325&lt;0, NA(), IF(ISERROR(DataH!$W325/DataH!$Z325), "", DataH!$W325/DataH!$Z325))</f>
        <v/>
      </c>
      <c r="G333" s="421" t="str">
        <f>IF(DataH!$AB325&lt;0, NA(), IF(ISERROR(DataH!$AA325/DataH!$AB325), "", DataH!$AA325/DataH!$AB325))</f>
        <v/>
      </c>
      <c r="H333" s="419" t="str">
        <f>IF(DataH!$AC325&lt;0, NA(), IF(ISERROR(DataH!$AA325/DataH!$AC325), "", DataH!$AA325/DataH!$AC325))</f>
        <v/>
      </c>
      <c r="I333" s="420" t="str">
        <f>IF(DataH!$AD325&lt;0, NA(), IF(ISERROR(DataH!$AA325/DataH!$AD325), "", DataH!$AA325/DataH!$AD325))</f>
        <v/>
      </c>
    </row>
    <row r="334" spans="2:9" ht="15" customHeight="1">
      <c r="B334" s="322" t="str">
        <f>IF(DataH!$V326="", "", DataH!$V326)</f>
        <v/>
      </c>
      <c r="C334" s="416" t="str">
        <f>IF(DataH!$X326&lt;0, NA(), IF(ISERROR(DataH!$W326/DataH!$X326), "", DataH!$W326/DataH!$X326))</f>
        <v/>
      </c>
      <c r="D334" s="416" t="str">
        <f>IF(DataH!$Y326&lt;0, NA(), IF(ISERROR(DataH!$W326/DataH!$Y326), "", DataH!$W326/DataH!$Y326))</f>
        <v/>
      </c>
      <c r="E334" s="417" t="str">
        <f>IF(DataH!$Z326&lt;0, NA(), IF(ISERROR(DataH!$W326/DataH!$Z326), "", DataH!$W326/DataH!$Z326))</f>
        <v/>
      </c>
      <c r="G334" s="418" t="str">
        <f>IF(DataH!$AB326&lt;0, NA(), IF(ISERROR(DataH!$AA326/DataH!$AB326), "", DataH!$AA326/DataH!$AB326))</f>
        <v/>
      </c>
      <c r="H334" s="416" t="str">
        <f>IF(DataH!$AC326&lt;0, NA(), IF(ISERROR(DataH!$AA326/DataH!$AC326), "", DataH!$AA326/DataH!$AC326))</f>
        <v/>
      </c>
      <c r="I334" s="417" t="str">
        <f>IF(DataH!$AD326&lt;0, NA(), IF(ISERROR(DataH!$AA326/DataH!$AD326), "", DataH!$AA326/DataH!$AD326))</f>
        <v/>
      </c>
    </row>
    <row r="335" spans="2:9" ht="15" customHeight="1">
      <c r="B335" s="318" t="str">
        <f>IF(DataH!$V327="", "", DataH!$V327)</f>
        <v/>
      </c>
      <c r="C335" s="419" t="str">
        <f>IF(DataH!$X327&lt;0, NA(), IF(ISERROR(DataH!$W327/DataH!$X327), "", DataH!$W327/DataH!$X327))</f>
        <v/>
      </c>
      <c r="D335" s="419" t="str">
        <f>IF(DataH!$Y327&lt;0, NA(), IF(ISERROR(DataH!$W327/DataH!$Y327), "", DataH!$W327/DataH!$Y327))</f>
        <v/>
      </c>
      <c r="E335" s="420" t="str">
        <f>IF(DataH!$Z327&lt;0, NA(), IF(ISERROR(DataH!$W327/DataH!$Z327), "", DataH!$W327/DataH!$Z327))</f>
        <v/>
      </c>
      <c r="G335" s="421" t="str">
        <f>IF(DataH!$AB327&lt;0, NA(), IF(ISERROR(DataH!$AA327/DataH!$AB327), "", DataH!$AA327/DataH!$AB327))</f>
        <v/>
      </c>
      <c r="H335" s="419" t="str">
        <f>IF(DataH!$AC327&lt;0, NA(), IF(ISERROR(DataH!$AA327/DataH!$AC327), "", DataH!$AA327/DataH!$AC327))</f>
        <v/>
      </c>
      <c r="I335" s="420" t="str">
        <f>IF(DataH!$AD327&lt;0, NA(), IF(ISERROR(DataH!$AA327/DataH!$AD327), "", DataH!$AA327/DataH!$AD327))</f>
        <v/>
      </c>
    </row>
    <row r="336" spans="2:9" ht="15" customHeight="1">
      <c r="B336" s="322" t="str">
        <f>IF(DataH!$V328="", "", DataH!$V328)</f>
        <v/>
      </c>
      <c r="C336" s="416" t="str">
        <f>IF(DataH!$X328&lt;0, NA(), IF(ISERROR(DataH!$W328/DataH!$X328), "", DataH!$W328/DataH!$X328))</f>
        <v/>
      </c>
      <c r="D336" s="416" t="str">
        <f>IF(DataH!$Y328&lt;0, NA(), IF(ISERROR(DataH!$W328/DataH!$Y328), "", DataH!$W328/DataH!$Y328))</f>
        <v/>
      </c>
      <c r="E336" s="417" t="str">
        <f>IF(DataH!$Z328&lt;0, NA(), IF(ISERROR(DataH!$W328/DataH!$Z328), "", DataH!$W328/DataH!$Z328))</f>
        <v/>
      </c>
      <c r="G336" s="418" t="str">
        <f>IF(DataH!$AB328&lt;0, NA(), IF(ISERROR(DataH!$AA328/DataH!$AB328), "", DataH!$AA328/DataH!$AB328))</f>
        <v/>
      </c>
      <c r="H336" s="416" t="str">
        <f>IF(DataH!$AC328&lt;0, NA(), IF(ISERROR(DataH!$AA328/DataH!$AC328), "", DataH!$AA328/DataH!$AC328))</f>
        <v/>
      </c>
      <c r="I336" s="417" t="str">
        <f>IF(DataH!$AD328&lt;0, NA(), IF(ISERROR(DataH!$AA328/DataH!$AD328), "", DataH!$AA328/DataH!$AD328))</f>
        <v/>
      </c>
    </row>
    <row r="337" spans="2:9" ht="15" customHeight="1">
      <c r="B337" s="318" t="str">
        <f>IF(DataH!$V329="", "", DataH!$V329)</f>
        <v/>
      </c>
      <c r="C337" s="419" t="str">
        <f>IF(DataH!$X329&lt;0, NA(), IF(ISERROR(DataH!$W329/DataH!$X329), "", DataH!$W329/DataH!$X329))</f>
        <v/>
      </c>
      <c r="D337" s="419" t="str">
        <f>IF(DataH!$Y329&lt;0, NA(), IF(ISERROR(DataH!$W329/DataH!$Y329), "", DataH!$W329/DataH!$Y329))</f>
        <v/>
      </c>
      <c r="E337" s="420" t="str">
        <f>IF(DataH!$Z329&lt;0, NA(), IF(ISERROR(DataH!$W329/DataH!$Z329), "", DataH!$W329/DataH!$Z329))</f>
        <v/>
      </c>
      <c r="G337" s="421" t="str">
        <f>IF(DataH!$AB329&lt;0, NA(), IF(ISERROR(DataH!$AA329/DataH!$AB329), "", DataH!$AA329/DataH!$AB329))</f>
        <v/>
      </c>
      <c r="H337" s="419" t="str">
        <f>IF(DataH!$AC329&lt;0, NA(), IF(ISERROR(DataH!$AA329/DataH!$AC329), "", DataH!$AA329/DataH!$AC329))</f>
        <v/>
      </c>
      <c r="I337" s="420" t="str">
        <f>IF(DataH!$AD329&lt;0, NA(), IF(ISERROR(DataH!$AA329/DataH!$AD329), "", DataH!$AA329/DataH!$AD329))</f>
        <v/>
      </c>
    </row>
    <row r="338" spans="2:9" ht="15" customHeight="1">
      <c r="B338" s="322" t="str">
        <f>IF(DataH!$V330="", "", DataH!$V330)</f>
        <v/>
      </c>
      <c r="C338" s="416" t="str">
        <f>IF(DataH!$X330&lt;0, NA(), IF(ISERROR(DataH!$W330/DataH!$X330), "", DataH!$W330/DataH!$X330))</f>
        <v/>
      </c>
      <c r="D338" s="416" t="str">
        <f>IF(DataH!$Y330&lt;0, NA(), IF(ISERROR(DataH!$W330/DataH!$Y330), "", DataH!$W330/DataH!$Y330))</f>
        <v/>
      </c>
      <c r="E338" s="417" t="str">
        <f>IF(DataH!$Z330&lt;0, NA(), IF(ISERROR(DataH!$W330/DataH!$Z330), "", DataH!$W330/DataH!$Z330))</f>
        <v/>
      </c>
      <c r="G338" s="418" t="str">
        <f>IF(DataH!$AB330&lt;0, NA(), IF(ISERROR(DataH!$AA330/DataH!$AB330), "", DataH!$AA330/DataH!$AB330))</f>
        <v/>
      </c>
      <c r="H338" s="416" t="str">
        <f>IF(DataH!$AC330&lt;0, NA(), IF(ISERROR(DataH!$AA330/DataH!$AC330), "", DataH!$AA330/DataH!$AC330))</f>
        <v/>
      </c>
      <c r="I338" s="417" t="str">
        <f>IF(DataH!$AD330&lt;0, NA(), IF(ISERROR(DataH!$AA330/DataH!$AD330), "", DataH!$AA330/DataH!$AD330))</f>
        <v/>
      </c>
    </row>
    <row r="339" spans="2:9" ht="15" customHeight="1">
      <c r="B339" s="318" t="str">
        <f>IF(DataH!$V331="", "", DataH!$V331)</f>
        <v/>
      </c>
      <c r="C339" s="419" t="str">
        <f>IF(DataH!$X331&lt;0, NA(), IF(ISERROR(DataH!$W331/DataH!$X331), "", DataH!$W331/DataH!$X331))</f>
        <v/>
      </c>
      <c r="D339" s="419" t="str">
        <f>IF(DataH!$Y331&lt;0, NA(), IF(ISERROR(DataH!$W331/DataH!$Y331), "", DataH!$W331/DataH!$Y331))</f>
        <v/>
      </c>
      <c r="E339" s="420" t="str">
        <f>IF(DataH!$Z331&lt;0, NA(), IF(ISERROR(DataH!$W331/DataH!$Z331), "", DataH!$W331/DataH!$Z331))</f>
        <v/>
      </c>
      <c r="G339" s="421" t="str">
        <f>IF(DataH!$AB331&lt;0, NA(), IF(ISERROR(DataH!$AA331/DataH!$AB331), "", DataH!$AA331/DataH!$AB331))</f>
        <v/>
      </c>
      <c r="H339" s="419" t="str">
        <f>IF(DataH!$AC331&lt;0, NA(), IF(ISERROR(DataH!$AA331/DataH!$AC331), "", DataH!$AA331/DataH!$AC331))</f>
        <v/>
      </c>
      <c r="I339" s="420" t="str">
        <f>IF(DataH!$AD331&lt;0, NA(), IF(ISERROR(DataH!$AA331/DataH!$AD331), "", DataH!$AA331/DataH!$AD331))</f>
        <v/>
      </c>
    </row>
    <row r="340" spans="2:9" ht="15" customHeight="1">
      <c r="B340" s="322" t="str">
        <f>IF(DataH!$V332="", "", DataH!$V332)</f>
        <v/>
      </c>
      <c r="C340" s="416" t="str">
        <f>IF(DataH!$X332&lt;0, NA(), IF(ISERROR(DataH!$W332/DataH!$X332), "", DataH!$W332/DataH!$X332))</f>
        <v/>
      </c>
      <c r="D340" s="416" t="str">
        <f>IF(DataH!$Y332&lt;0, NA(), IF(ISERROR(DataH!$W332/DataH!$Y332), "", DataH!$W332/DataH!$Y332))</f>
        <v/>
      </c>
      <c r="E340" s="417" t="str">
        <f>IF(DataH!$Z332&lt;0, NA(), IF(ISERROR(DataH!$W332/DataH!$Z332), "", DataH!$W332/DataH!$Z332))</f>
        <v/>
      </c>
      <c r="G340" s="418" t="str">
        <f>IF(DataH!$AB332&lt;0, NA(), IF(ISERROR(DataH!$AA332/DataH!$AB332), "", DataH!$AA332/DataH!$AB332))</f>
        <v/>
      </c>
      <c r="H340" s="416" t="str">
        <f>IF(DataH!$AC332&lt;0, NA(), IF(ISERROR(DataH!$AA332/DataH!$AC332), "", DataH!$AA332/DataH!$AC332))</f>
        <v/>
      </c>
      <c r="I340" s="417" t="str">
        <f>IF(DataH!$AD332&lt;0, NA(), IF(ISERROR(DataH!$AA332/DataH!$AD332), "", DataH!$AA332/DataH!$AD332))</f>
        <v/>
      </c>
    </row>
    <row r="341" spans="2:9" ht="15" customHeight="1">
      <c r="B341" s="318" t="str">
        <f>IF(DataH!$V333="", "", DataH!$V333)</f>
        <v/>
      </c>
      <c r="C341" s="419" t="str">
        <f>IF(DataH!$X333&lt;0, NA(), IF(ISERROR(DataH!$W333/DataH!$X333), "", DataH!$W333/DataH!$X333))</f>
        <v/>
      </c>
      <c r="D341" s="419" t="str">
        <f>IF(DataH!$Y333&lt;0, NA(), IF(ISERROR(DataH!$W333/DataH!$Y333), "", DataH!$W333/DataH!$Y333))</f>
        <v/>
      </c>
      <c r="E341" s="420" t="str">
        <f>IF(DataH!$Z333&lt;0, NA(), IF(ISERROR(DataH!$W333/DataH!$Z333), "", DataH!$W333/DataH!$Z333))</f>
        <v/>
      </c>
      <c r="G341" s="421" t="str">
        <f>IF(DataH!$AB333&lt;0, NA(), IF(ISERROR(DataH!$AA333/DataH!$AB333), "", DataH!$AA333/DataH!$AB333))</f>
        <v/>
      </c>
      <c r="H341" s="419" t="str">
        <f>IF(DataH!$AC333&lt;0, NA(), IF(ISERROR(DataH!$AA333/DataH!$AC333), "", DataH!$AA333/DataH!$AC333))</f>
        <v/>
      </c>
      <c r="I341" s="420" t="str">
        <f>IF(DataH!$AD333&lt;0, NA(), IF(ISERROR(DataH!$AA333/DataH!$AD333), "", DataH!$AA333/DataH!$AD333))</f>
        <v/>
      </c>
    </row>
    <row r="342" spans="2:9" ht="15" customHeight="1">
      <c r="B342" s="322" t="str">
        <f>IF(DataH!$V334="", "", DataH!$V334)</f>
        <v/>
      </c>
      <c r="C342" s="416" t="str">
        <f>IF(DataH!$X334&lt;0, NA(), IF(ISERROR(DataH!$W334/DataH!$X334), "", DataH!$W334/DataH!$X334))</f>
        <v/>
      </c>
      <c r="D342" s="416" t="str">
        <f>IF(DataH!$Y334&lt;0, NA(), IF(ISERROR(DataH!$W334/DataH!$Y334), "", DataH!$W334/DataH!$Y334))</f>
        <v/>
      </c>
      <c r="E342" s="417" t="str">
        <f>IF(DataH!$Z334&lt;0, NA(), IF(ISERROR(DataH!$W334/DataH!$Z334), "", DataH!$W334/DataH!$Z334))</f>
        <v/>
      </c>
      <c r="G342" s="418" t="str">
        <f>IF(DataH!$AB334&lt;0, NA(), IF(ISERROR(DataH!$AA334/DataH!$AB334), "", DataH!$AA334/DataH!$AB334))</f>
        <v/>
      </c>
      <c r="H342" s="416" t="str">
        <f>IF(DataH!$AC334&lt;0, NA(), IF(ISERROR(DataH!$AA334/DataH!$AC334), "", DataH!$AA334/DataH!$AC334))</f>
        <v/>
      </c>
      <c r="I342" s="417" t="str">
        <f>IF(DataH!$AD334&lt;0, NA(), IF(ISERROR(DataH!$AA334/DataH!$AD334), "", DataH!$AA334/DataH!$AD334))</f>
        <v/>
      </c>
    </row>
    <row r="343" spans="2:9" ht="15" customHeight="1">
      <c r="B343" s="318" t="str">
        <f>IF(DataH!$V335="", "", DataH!$V335)</f>
        <v/>
      </c>
      <c r="C343" s="419" t="str">
        <f>IF(DataH!$X335&lt;0, NA(), IF(ISERROR(DataH!$W335/DataH!$X335), "", DataH!$W335/DataH!$X335))</f>
        <v/>
      </c>
      <c r="D343" s="419" t="str">
        <f>IF(DataH!$Y335&lt;0, NA(), IF(ISERROR(DataH!$W335/DataH!$Y335), "", DataH!$W335/DataH!$Y335))</f>
        <v/>
      </c>
      <c r="E343" s="420" t="str">
        <f>IF(DataH!$Z335&lt;0, NA(), IF(ISERROR(DataH!$W335/DataH!$Z335), "", DataH!$W335/DataH!$Z335))</f>
        <v/>
      </c>
      <c r="G343" s="421" t="str">
        <f>IF(DataH!$AB335&lt;0, NA(), IF(ISERROR(DataH!$AA335/DataH!$AB335), "", DataH!$AA335/DataH!$AB335))</f>
        <v/>
      </c>
      <c r="H343" s="419" t="str">
        <f>IF(DataH!$AC335&lt;0, NA(), IF(ISERROR(DataH!$AA335/DataH!$AC335), "", DataH!$AA335/DataH!$AC335))</f>
        <v/>
      </c>
      <c r="I343" s="420" t="str">
        <f>IF(DataH!$AD335&lt;0, NA(), IF(ISERROR(DataH!$AA335/DataH!$AD335), "", DataH!$AA335/DataH!$AD335))</f>
        <v/>
      </c>
    </row>
    <row r="344" spans="2:9" ht="15" customHeight="1">
      <c r="B344" s="322" t="str">
        <f>IF(DataH!$V336="", "", DataH!$V336)</f>
        <v/>
      </c>
      <c r="C344" s="416" t="str">
        <f>IF(DataH!$X336&lt;0, NA(), IF(ISERROR(DataH!$W336/DataH!$X336), "", DataH!$W336/DataH!$X336))</f>
        <v/>
      </c>
      <c r="D344" s="416" t="str">
        <f>IF(DataH!$Y336&lt;0, NA(), IF(ISERROR(DataH!$W336/DataH!$Y336), "", DataH!$W336/DataH!$Y336))</f>
        <v/>
      </c>
      <c r="E344" s="417" t="str">
        <f>IF(DataH!$Z336&lt;0, NA(), IF(ISERROR(DataH!$W336/DataH!$Z336), "", DataH!$W336/DataH!$Z336))</f>
        <v/>
      </c>
      <c r="G344" s="418" t="str">
        <f>IF(DataH!$AB336&lt;0, NA(), IF(ISERROR(DataH!$AA336/DataH!$AB336), "", DataH!$AA336/DataH!$AB336))</f>
        <v/>
      </c>
      <c r="H344" s="416" t="str">
        <f>IF(DataH!$AC336&lt;0, NA(), IF(ISERROR(DataH!$AA336/DataH!$AC336), "", DataH!$AA336/DataH!$AC336))</f>
        <v/>
      </c>
      <c r="I344" s="417" t="str">
        <f>IF(DataH!$AD336&lt;0, NA(), IF(ISERROR(DataH!$AA336/DataH!$AD336), "", DataH!$AA336/DataH!$AD336))</f>
        <v/>
      </c>
    </row>
    <row r="345" spans="2:9" ht="15" customHeight="1">
      <c r="B345" s="318" t="str">
        <f>IF(DataH!$V337="", "", DataH!$V337)</f>
        <v/>
      </c>
      <c r="C345" s="419" t="str">
        <f>IF(DataH!$X337&lt;0, NA(), IF(ISERROR(DataH!$W337/DataH!$X337), "", DataH!$W337/DataH!$X337))</f>
        <v/>
      </c>
      <c r="D345" s="419" t="str">
        <f>IF(DataH!$Y337&lt;0, NA(), IF(ISERROR(DataH!$W337/DataH!$Y337), "", DataH!$W337/DataH!$Y337))</f>
        <v/>
      </c>
      <c r="E345" s="420" t="str">
        <f>IF(DataH!$Z337&lt;0, NA(), IF(ISERROR(DataH!$W337/DataH!$Z337), "", DataH!$W337/DataH!$Z337))</f>
        <v/>
      </c>
      <c r="G345" s="421" t="str">
        <f>IF(DataH!$AB337&lt;0, NA(), IF(ISERROR(DataH!$AA337/DataH!$AB337), "", DataH!$AA337/DataH!$AB337))</f>
        <v/>
      </c>
      <c r="H345" s="419" t="str">
        <f>IF(DataH!$AC337&lt;0, NA(), IF(ISERROR(DataH!$AA337/DataH!$AC337), "", DataH!$AA337/DataH!$AC337))</f>
        <v/>
      </c>
      <c r="I345" s="420" t="str">
        <f>IF(DataH!$AD337&lt;0, NA(), IF(ISERROR(DataH!$AA337/DataH!$AD337), "", DataH!$AA337/DataH!$AD337))</f>
        <v/>
      </c>
    </row>
    <row r="346" spans="2:9" ht="15" customHeight="1">
      <c r="B346" s="322" t="str">
        <f>IF(DataH!$V338="", "", DataH!$V338)</f>
        <v/>
      </c>
      <c r="C346" s="416" t="str">
        <f>IF(DataH!$X338&lt;0, NA(), IF(ISERROR(DataH!$W338/DataH!$X338), "", DataH!$W338/DataH!$X338))</f>
        <v/>
      </c>
      <c r="D346" s="416" t="str">
        <f>IF(DataH!$Y338&lt;0, NA(), IF(ISERROR(DataH!$W338/DataH!$Y338), "", DataH!$W338/DataH!$Y338))</f>
        <v/>
      </c>
      <c r="E346" s="417" t="str">
        <f>IF(DataH!$Z338&lt;0, NA(), IF(ISERROR(DataH!$W338/DataH!$Z338), "", DataH!$W338/DataH!$Z338))</f>
        <v/>
      </c>
      <c r="G346" s="418" t="str">
        <f>IF(DataH!$AB338&lt;0, NA(), IF(ISERROR(DataH!$AA338/DataH!$AB338), "", DataH!$AA338/DataH!$AB338))</f>
        <v/>
      </c>
      <c r="H346" s="416" t="str">
        <f>IF(DataH!$AC338&lt;0, NA(), IF(ISERROR(DataH!$AA338/DataH!$AC338), "", DataH!$AA338/DataH!$AC338))</f>
        <v/>
      </c>
      <c r="I346" s="417" t="str">
        <f>IF(DataH!$AD338&lt;0, NA(), IF(ISERROR(DataH!$AA338/DataH!$AD338), "", DataH!$AA338/DataH!$AD338))</f>
        <v/>
      </c>
    </row>
    <row r="347" spans="2:9" ht="15" customHeight="1">
      <c r="B347" s="318" t="str">
        <f>IF(DataH!$V339="", "", DataH!$V339)</f>
        <v/>
      </c>
      <c r="C347" s="419" t="str">
        <f>IF(DataH!$X339&lt;0, NA(), IF(ISERROR(DataH!$W339/DataH!$X339), "", DataH!$W339/DataH!$X339))</f>
        <v/>
      </c>
      <c r="D347" s="419" t="str">
        <f>IF(DataH!$Y339&lt;0, NA(), IF(ISERROR(DataH!$W339/DataH!$Y339), "", DataH!$W339/DataH!$Y339))</f>
        <v/>
      </c>
      <c r="E347" s="420" t="str">
        <f>IF(DataH!$Z339&lt;0, NA(), IF(ISERROR(DataH!$W339/DataH!$Z339), "", DataH!$W339/DataH!$Z339))</f>
        <v/>
      </c>
      <c r="G347" s="421" t="str">
        <f>IF(DataH!$AB339&lt;0, NA(), IF(ISERROR(DataH!$AA339/DataH!$AB339), "", DataH!$AA339/DataH!$AB339))</f>
        <v/>
      </c>
      <c r="H347" s="419" t="str">
        <f>IF(DataH!$AC339&lt;0, NA(), IF(ISERROR(DataH!$AA339/DataH!$AC339), "", DataH!$AA339/DataH!$AC339))</f>
        <v/>
      </c>
      <c r="I347" s="420" t="str">
        <f>IF(DataH!$AD339&lt;0, NA(), IF(ISERROR(DataH!$AA339/DataH!$AD339), "", DataH!$AA339/DataH!$AD339))</f>
        <v/>
      </c>
    </row>
    <row r="348" spans="2:9" ht="15" customHeight="1">
      <c r="B348" s="322" t="str">
        <f>IF(DataH!$V340="", "", DataH!$V340)</f>
        <v/>
      </c>
      <c r="C348" s="416" t="str">
        <f>IF(DataH!$X340&lt;0, NA(), IF(ISERROR(DataH!$W340/DataH!$X340), "", DataH!$W340/DataH!$X340))</f>
        <v/>
      </c>
      <c r="D348" s="416" t="str">
        <f>IF(DataH!$Y340&lt;0, NA(), IF(ISERROR(DataH!$W340/DataH!$Y340), "", DataH!$W340/DataH!$Y340))</f>
        <v/>
      </c>
      <c r="E348" s="417" t="str">
        <f>IF(DataH!$Z340&lt;0, NA(), IF(ISERROR(DataH!$W340/DataH!$Z340), "", DataH!$W340/DataH!$Z340))</f>
        <v/>
      </c>
      <c r="G348" s="418" t="str">
        <f>IF(DataH!$AB340&lt;0, NA(), IF(ISERROR(DataH!$AA340/DataH!$AB340), "", DataH!$AA340/DataH!$AB340))</f>
        <v/>
      </c>
      <c r="H348" s="416" t="str">
        <f>IF(DataH!$AC340&lt;0, NA(), IF(ISERROR(DataH!$AA340/DataH!$AC340), "", DataH!$AA340/DataH!$AC340))</f>
        <v/>
      </c>
      <c r="I348" s="417" t="str">
        <f>IF(DataH!$AD340&lt;0, NA(), IF(ISERROR(DataH!$AA340/DataH!$AD340), "", DataH!$AA340/DataH!$AD340))</f>
        <v/>
      </c>
    </row>
    <row r="349" spans="2:9" ht="15" customHeight="1">
      <c r="B349" s="318" t="str">
        <f>IF(DataH!$V341="", "", DataH!$V341)</f>
        <v/>
      </c>
      <c r="C349" s="419" t="str">
        <f>IF(DataH!$X341&lt;0, NA(), IF(ISERROR(DataH!$W341/DataH!$X341), "", DataH!$W341/DataH!$X341))</f>
        <v/>
      </c>
      <c r="D349" s="419" t="str">
        <f>IF(DataH!$Y341&lt;0, NA(), IF(ISERROR(DataH!$W341/DataH!$Y341), "", DataH!$W341/DataH!$Y341))</f>
        <v/>
      </c>
      <c r="E349" s="420" t="str">
        <f>IF(DataH!$Z341&lt;0, NA(), IF(ISERROR(DataH!$W341/DataH!$Z341), "", DataH!$W341/DataH!$Z341))</f>
        <v/>
      </c>
      <c r="G349" s="421" t="str">
        <f>IF(DataH!$AB341&lt;0, NA(), IF(ISERROR(DataH!$AA341/DataH!$AB341), "", DataH!$AA341/DataH!$AB341))</f>
        <v/>
      </c>
      <c r="H349" s="419" t="str">
        <f>IF(DataH!$AC341&lt;0, NA(), IF(ISERROR(DataH!$AA341/DataH!$AC341), "", DataH!$AA341/DataH!$AC341))</f>
        <v/>
      </c>
      <c r="I349" s="420" t="str">
        <f>IF(DataH!$AD341&lt;0, NA(), IF(ISERROR(DataH!$AA341/DataH!$AD341), "", DataH!$AA341/DataH!$AD341))</f>
        <v/>
      </c>
    </row>
    <row r="350" spans="2:9" ht="15" customHeight="1">
      <c r="B350" s="322" t="str">
        <f>IF(DataH!$V342="", "", DataH!$V342)</f>
        <v/>
      </c>
      <c r="C350" s="416" t="str">
        <f>IF(DataH!$X342&lt;0, NA(), IF(ISERROR(DataH!$W342/DataH!$X342), "", DataH!$W342/DataH!$X342))</f>
        <v/>
      </c>
      <c r="D350" s="416" t="str">
        <f>IF(DataH!$Y342&lt;0, NA(), IF(ISERROR(DataH!$W342/DataH!$Y342), "", DataH!$W342/DataH!$Y342))</f>
        <v/>
      </c>
      <c r="E350" s="417" t="str">
        <f>IF(DataH!$Z342&lt;0, NA(), IF(ISERROR(DataH!$W342/DataH!$Z342), "", DataH!$W342/DataH!$Z342))</f>
        <v/>
      </c>
      <c r="G350" s="418" t="str">
        <f>IF(DataH!$AB342&lt;0, NA(), IF(ISERROR(DataH!$AA342/DataH!$AB342), "", DataH!$AA342/DataH!$AB342))</f>
        <v/>
      </c>
      <c r="H350" s="416" t="str">
        <f>IF(DataH!$AC342&lt;0, NA(), IF(ISERROR(DataH!$AA342/DataH!$AC342), "", DataH!$AA342/DataH!$AC342))</f>
        <v/>
      </c>
      <c r="I350" s="417" t="str">
        <f>IF(DataH!$AD342&lt;0, NA(), IF(ISERROR(DataH!$AA342/DataH!$AD342), "", DataH!$AA342/DataH!$AD342))</f>
        <v/>
      </c>
    </row>
    <row r="351" spans="2:9" ht="15" customHeight="1">
      <c r="B351" s="318" t="str">
        <f>IF(DataH!$V343="", "", DataH!$V343)</f>
        <v/>
      </c>
      <c r="C351" s="419" t="str">
        <f>IF(DataH!$X343&lt;0, NA(), IF(ISERROR(DataH!$W343/DataH!$X343), "", DataH!$W343/DataH!$X343))</f>
        <v/>
      </c>
      <c r="D351" s="419" t="str">
        <f>IF(DataH!$Y343&lt;0, NA(), IF(ISERROR(DataH!$W343/DataH!$Y343), "", DataH!$W343/DataH!$Y343))</f>
        <v/>
      </c>
      <c r="E351" s="420" t="str">
        <f>IF(DataH!$Z343&lt;0, NA(), IF(ISERROR(DataH!$W343/DataH!$Z343), "", DataH!$W343/DataH!$Z343))</f>
        <v/>
      </c>
      <c r="G351" s="421" t="str">
        <f>IF(DataH!$AB343&lt;0, NA(), IF(ISERROR(DataH!$AA343/DataH!$AB343), "", DataH!$AA343/DataH!$AB343))</f>
        <v/>
      </c>
      <c r="H351" s="419" t="str">
        <f>IF(DataH!$AC343&lt;0, NA(), IF(ISERROR(DataH!$AA343/DataH!$AC343), "", DataH!$AA343/DataH!$AC343))</f>
        <v/>
      </c>
      <c r="I351" s="420" t="str">
        <f>IF(DataH!$AD343&lt;0, NA(), IF(ISERROR(DataH!$AA343/DataH!$AD343), "", DataH!$AA343/DataH!$AD343))</f>
        <v/>
      </c>
    </row>
    <row r="352" spans="2:9" ht="15" customHeight="1">
      <c r="B352" s="322" t="str">
        <f>IF(DataH!$V344="", "", DataH!$V344)</f>
        <v/>
      </c>
      <c r="C352" s="416" t="str">
        <f>IF(DataH!$X344&lt;0, NA(), IF(ISERROR(DataH!$W344/DataH!$X344), "", DataH!$W344/DataH!$X344))</f>
        <v/>
      </c>
      <c r="D352" s="416" t="str">
        <f>IF(DataH!$Y344&lt;0, NA(), IF(ISERROR(DataH!$W344/DataH!$Y344), "", DataH!$W344/DataH!$Y344))</f>
        <v/>
      </c>
      <c r="E352" s="417" t="str">
        <f>IF(DataH!$Z344&lt;0, NA(), IF(ISERROR(DataH!$W344/DataH!$Z344), "", DataH!$W344/DataH!$Z344))</f>
        <v/>
      </c>
      <c r="G352" s="418" t="str">
        <f>IF(DataH!$AB344&lt;0, NA(), IF(ISERROR(DataH!$AA344/DataH!$AB344), "", DataH!$AA344/DataH!$AB344))</f>
        <v/>
      </c>
      <c r="H352" s="416" t="str">
        <f>IF(DataH!$AC344&lt;0, NA(), IF(ISERROR(DataH!$AA344/DataH!$AC344), "", DataH!$AA344/DataH!$AC344))</f>
        <v/>
      </c>
      <c r="I352" s="417" t="str">
        <f>IF(DataH!$AD344&lt;0, NA(), IF(ISERROR(DataH!$AA344/DataH!$AD344), "", DataH!$AA344/DataH!$AD344))</f>
        <v/>
      </c>
    </row>
    <row r="353" spans="2:9" ht="15" customHeight="1">
      <c r="B353" s="318" t="str">
        <f>IF(DataH!$V345="", "", DataH!$V345)</f>
        <v/>
      </c>
      <c r="C353" s="419" t="str">
        <f>IF(DataH!$X345&lt;0, NA(), IF(ISERROR(DataH!$W345/DataH!$X345), "", DataH!$W345/DataH!$X345))</f>
        <v/>
      </c>
      <c r="D353" s="419" t="str">
        <f>IF(DataH!$Y345&lt;0, NA(), IF(ISERROR(DataH!$W345/DataH!$Y345), "", DataH!$W345/DataH!$Y345))</f>
        <v/>
      </c>
      <c r="E353" s="420" t="str">
        <f>IF(DataH!$Z345&lt;0, NA(), IF(ISERROR(DataH!$W345/DataH!$Z345), "", DataH!$W345/DataH!$Z345))</f>
        <v/>
      </c>
      <c r="G353" s="421" t="str">
        <f>IF(DataH!$AB345&lt;0, NA(), IF(ISERROR(DataH!$AA345/DataH!$AB345), "", DataH!$AA345/DataH!$AB345))</f>
        <v/>
      </c>
      <c r="H353" s="419" t="str">
        <f>IF(DataH!$AC345&lt;0, NA(), IF(ISERROR(DataH!$AA345/DataH!$AC345), "", DataH!$AA345/DataH!$AC345))</f>
        <v/>
      </c>
      <c r="I353" s="420" t="str">
        <f>IF(DataH!$AD345&lt;0, NA(), IF(ISERROR(DataH!$AA345/DataH!$AD345), "", DataH!$AA345/DataH!$AD345))</f>
        <v/>
      </c>
    </row>
    <row r="354" spans="2:9" ht="15" customHeight="1">
      <c r="B354" s="322" t="str">
        <f>IF(DataH!$V346="", "", DataH!$V346)</f>
        <v/>
      </c>
      <c r="C354" s="416" t="str">
        <f>IF(DataH!$X346&lt;0, NA(), IF(ISERROR(DataH!$W346/DataH!$X346), "", DataH!$W346/DataH!$X346))</f>
        <v/>
      </c>
      <c r="D354" s="416" t="str">
        <f>IF(DataH!$Y346&lt;0, NA(), IF(ISERROR(DataH!$W346/DataH!$Y346), "", DataH!$W346/DataH!$Y346))</f>
        <v/>
      </c>
      <c r="E354" s="417" t="str">
        <f>IF(DataH!$Z346&lt;0, NA(), IF(ISERROR(DataH!$W346/DataH!$Z346), "", DataH!$W346/DataH!$Z346))</f>
        <v/>
      </c>
      <c r="G354" s="418" t="str">
        <f>IF(DataH!$AB346&lt;0, NA(), IF(ISERROR(DataH!$AA346/DataH!$AB346), "", DataH!$AA346/DataH!$AB346))</f>
        <v/>
      </c>
      <c r="H354" s="416" t="str">
        <f>IF(DataH!$AC346&lt;0, NA(), IF(ISERROR(DataH!$AA346/DataH!$AC346), "", DataH!$AA346/DataH!$AC346))</f>
        <v/>
      </c>
      <c r="I354" s="417" t="str">
        <f>IF(DataH!$AD346&lt;0, NA(), IF(ISERROR(DataH!$AA346/DataH!$AD346), "", DataH!$AA346/DataH!$AD346))</f>
        <v/>
      </c>
    </row>
    <row r="355" spans="2:9" ht="15" customHeight="1">
      <c r="B355" s="318" t="str">
        <f>IF(DataH!$V347="", "", DataH!$V347)</f>
        <v/>
      </c>
      <c r="C355" s="419" t="str">
        <f>IF(DataH!$X347&lt;0, NA(), IF(ISERROR(DataH!$W347/DataH!$X347), "", DataH!$W347/DataH!$X347))</f>
        <v/>
      </c>
      <c r="D355" s="419" t="str">
        <f>IF(DataH!$Y347&lt;0, NA(), IF(ISERROR(DataH!$W347/DataH!$Y347), "", DataH!$W347/DataH!$Y347))</f>
        <v/>
      </c>
      <c r="E355" s="420" t="str">
        <f>IF(DataH!$Z347&lt;0, NA(), IF(ISERROR(DataH!$W347/DataH!$Z347), "", DataH!$W347/DataH!$Z347))</f>
        <v/>
      </c>
      <c r="G355" s="421" t="str">
        <f>IF(DataH!$AB347&lt;0, NA(), IF(ISERROR(DataH!$AA347/DataH!$AB347), "", DataH!$AA347/DataH!$AB347))</f>
        <v/>
      </c>
      <c r="H355" s="419" t="str">
        <f>IF(DataH!$AC347&lt;0, NA(), IF(ISERROR(DataH!$AA347/DataH!$AC347), "", DataH!$AA347/DataH!$AC347))</f>
        <v/>
      </c>
      <c r="I355" s="420" t="str">
        <f>IF(DataH!$AD347&lt;0, NA(), IF(ISERROR(DataH!$AA347/DataH!$AD347), "", DataH!$AA347/DataH!$AD347))</f>
        <v/>
      </c>
    </row>
    <row r="356" spans="2:9" ht="15" customHeight="1">
      <c r="B356" s="322" t="str">
        <f>IF(DataH!$V348="", "", DataH!$V348)</f>
        <v/>
      </c>
      <c r="C356" s="416" t="str">
        <f>IF(DataH!$X348&lt;0, NA(), IF(ISERROR(DataH!$W348/DataH!$X348), "", DataH!$W348/DataH!$X348))</f>
        <v/>
      </c>
      <c r="D356" s="416" t="str">
        <f>IF(DataH!$Y348&lt;0, NA(), IF(ISERROR(DataH!$W348/DataH!$Y348), "", DataH!$W348/DataH!$Y348))</f>
        <v/>
      </c>
      <c r="E356" s="417" t="str">
        <f>IF(DataH!$Z348&lt;0, NA(), IF(ISERROR(DataH!$W348/DataH!$Z348), "", DataH!$W348/DataH!$Z348))</f>
        <v/>
      </c>
      <c r="G356" s="418" t="str">
        <f>IF(DataH!$AB348&lt;0, NA(), IF(ISERROR(DataH!$AA348/DataH!$AB348), "", DataH!$AA348/DataH!$AB348))</f>
        <v/>
      </c>
      <c r="H356" s="416" t="str">
        <f>IF(DataH!$AC348&lt;0, NA(), IF(ISERROR(DataH!$AA348/DataH!$AC348), "", DataH!$AA348/DataH!$AC348))</f>
        <v/>
      </c>
      <c r="I356" s="417" t="str">
        <f>IF(DataH!$AD348&lt;0, NA(), IF(ISERROR(DataH!$AA348/DataH!$AD348), "", DataH!$AA348/DataH!$AD348))</f>
        <v/>
      </c>
    </row>
    <row r="357" spans="2:9" ht="15" customHeight="1">
      <c r="B357" s="318" t="str">
        <f>IF(DataH!$V349="", "", DataH!$V349)</f>
        <v/>
      </c>
      <c r="C357" s="419" t="str">
        <f>IF(DataH!$X349&lt;0, NA(), IF(ISERROR(DataH!$W349/DataH!$X349), "", DataH!$W349/DataH!$X349))</f>
        <v/>
      </c>
      <c r="D357" s="419" t="str">
        <f>IF(DataH!$Y349&lt;0, NA(), IF(ISERROR(DataH!$W349/DataH!$Y349), "", DataH!$W349/DataH!$Y349))</f>
        <v/>
      </c>
      <c r="E357" s="420" t="str">
        <f>IF(DataH!$Z349&lt;0, NA(), IF(ISERROR(DataH!$W349/DataH!$Z349), "", DataH!$W349/DataH!$Z349))</f>
        <v/>
      </c>
      <c r="G357" s="421" t="str">
        <f>IF(DataH!$AB349&lt;0, NA(), IF(ISERROR(DataH!$AA349/DataH!$AB349), "", DataH!$AA349/DataH!$AB349))</f>
        <v/>
      </c>
      <c r="H357" s="419" t="str">
        <f>IF(DataH!$AC349&lt;0, NA(), IF(ISERROR(DataH!$AA349/DataH!$AC349), "", DataH!$AA349/DataH!$AC349))</f>
        <v/>
      </c>
      <c r="I357" s="420" t="str">
        <f>IF(DataH!$AD349&lt;0, NA(), IF(ISERROR(DataH!$AA349/DataH!$AD349), "", DataH!$AA349/DataH!$AD349))</f>
        <v/>
      </c>
    </row>
    <row r="358" spans="2:9" ht="15" customHeight="1">
      <c r="B358" s="322" t="str">
        <f>IF(DataH!$V350="", "", DataH!$V350)</f>
        <v/>
      </c>
      <c r="C358" s="416" t="str">
        <f>IF(DataH!$X350&lt;0, NA(), IF(ISERROR(DataH!$W350/DataH!$X350), "", DataH!$W350/DataH!$X350))</f>
        <v/>
      </c>
      <c r="D358" s="416" t="str">
        <f>IF(DataH!$Y350&lt;0, NA(), IF(ISERROR(DataH!$W350/DataH!$Y350), "", DataH!$W350/DataH!$Y350))</f>
        <v/>
      </c>
      <c r="E358" s="417" t="str">
        <f>IF(DataH!$Z350&lt;0, NA(), IF(ISERROR(DataH!$W350/DataH!$Z350), "", DataH!$W350/DataH!$Z350))</f>
        <v/>
      </c>
      <c r="G358" s="418" t="str">
        <f>IF(DataH!$AB350&lt;0, NA(), IF(ISERROR(DataH!$AA350/DataH!$AB350), "", DataH!$AA350/DataH!$AB350))</f>
        <v/>
      </c>
      <c r="H358" s="416" t="str">
        <f>IF(DataH!$AC350&lt;0, NA(), IF(ISERROR(DataH!$AA350/DataH!$AC350), "", DataH!$AA350/DataH!$AC350))</f>
        <v/>
      </c>
      <c r="I358" s="417" t="str">
        <f>IF(DataH!$AD350&lt;0, NA(), IF(ISERROR(DataH!$AA350/DataH!$AD350), "", DataH!$AA350/DataH!$AD350))</f>
        <v/>
      </c>
    </row>
    <row r="359" spans="2:9" ht="15" customHeight="1">
      <c r="B359" s="318" t="str">
        <f>IF(DataH!$V351="", "", DataH!$V351)</f>
        <v/>
      </c>
      <c r="C359" s="419" t="str">
        <f>IF(DataH!$X351&lt;0, NA(), IF(ISERROR(DataH!$W351/DataH!$X351), "", DataH!$W351/DataH!$X351))</f>
        <v/>
      </c>
      <c r="D359" s="419" t="str">
        <f>IF(DataH!$Y351&lt;0, NA(), IF(ISERROR(DataH!$W351/DataH!$Y351), "", DataH!$W351/DataH!$Y351))</f>
        <v/>
      </c>
      <c r="E359" s="420" t="str">
        <f>IF(DataH!$Z351&lt;0, NA(), IF(ISERROR(DataH!$W351/DataH!$Z351), "", DataH!$W351/DataH!$Z351))</f>
        <v/>
      </c>
      <c r="G359" s="421" t="str">
        <f>IF(DataH!$AB351&lt;0, NA(), IF(ISERROR(DataH!$AA351/DataH!$AB351), "", DataH!$AA351/DataH!$AB351))</f>
        <v/>
      </c>
      <c r="H359" s="419" t="str">
        <f>IF(DataH!$AC351&lt;0, NA(), IF(ISERROR(DataH!$AA351/DataH!$AC351), "", DataH!$AA351/DataH!$AC351))</f>
        <v/>
      </c>
      <c r="I359" s="420" t="str">
        <f>IF(DataH!$AD351&lt;0, NA(), IF(ISERROR(DataH!$AA351/DataH!$AD351), "", DataH!$AA351/DataH!$AD351))</f>
        <v/>
      </c>
    </row>
    <row r="360" spans="2:9" ht="15" customHeight="1">
      <c r="B360" s="322" t="str">
        <f>IF(DataH!$V352="", "", DataH!$V352)</f>
        <v/>
      </c>
      <c r="C360" s="416" t="str">
        <f>IF(DataH!$X352&lt;0, NA(), IF(ISERROR(DataH!$W352/DataH!$X352), "", DataH!$W352/DataH!$X352))</f>
        <v/>
      </c>
      <c r="D360" s="416" t="str">
        <f>IF(DataH!$Y352&lt;0, NA(), IF(ISERROR(DataH!$W352/DataH!$Y352), "", DataH!$W352/DataH!$Y352))</f>
        <v/>
      </c>
      <c r="E360" s="417" t="str">
        <f>IF(DataH!$Z352&lt;0, NA(), IF(ISERROR(DataH!$W352/DataH!$Z352), "", DataH!$W352/DataH!$Z352))</f>
        <v/>
      </c>
      <c r="G360" s="418" t="str">
        <f>IF(DataH!$AB352&lt;0, NA(), IF(ISERROR(DataH!$AA352/DataH!$AB352), "", DataH!$AA352/DataH!$AB352))</f>
        <v/>
      </c>
      <c r="H360" s="416" t="str">
        <f>IF(DataH!$AC352&lt;0, NA(), IF(ISERROR(DataH!$AA352/DataH!$AC352), "", DataH!$AA352/DataH!$AC352))</f>
        <v/>
      </c>
      <c r="I360" s="417" t="str">
        <f>IF(DataH!$AD352&lt;0, NA(), IF(ISERROR(DataH!$AA352/DataH!$AD352), "", DataH!$AA352/DataH!$AD352))</f>
        <v/>
      </c>
    </row>
    <row r="361" spans="2:9" ht="15" customHeight="1">
      <c r="B361" s="318" t="str">
        <f>IF(DataH!$V353="", "", DataH!$V353)</f>
        <v/>
      </c>
      <c r="C361" s="419" t="str">
        <f>IF(DataH!$X353&lt;0, NA(), IF(ISERROR(DataH!$W353/DataH!$X353), "", DataH!$W353/DataH!$X353))</f>
        <v/>
      </c>
      <c r="D361" s="419" t="str">
        <f>IF(DataH!$Y353&lt;0, NA(), IF(ISERROR(DataH!$W353/DataH!$Y353), "", DataH!$W353/DataH!$Y353))</f>
        <v/>
      </c>
      <c r="E361" s="420" t="str">
        <f>IF(DataH!$Z353&lt;0, NA(), IF(ISERROR(DataH!$W353/DataH!$Z353), "", DataH!$W353/DataH!$Z353))</f>
        <v/>
      </c>
      <c r="G361" s="421" t="str">
        <f>IF(DataH!$AB353&lt;0, NA(), IF(ISERROR(DataH!$AA353/DataH!$AB353), "", DataH!$AA353/DataH!$AB353))</f>
        <v/>
      </c>
      <c r="H361" s="419" t="str">
        <f>IF(DataH!$AC353&lt;0, NA(), IF(ISERROR(DataH!$AA353/DataH!$AC353), "", DataH!$AA353/DataH!$AC353))</f>
        <v/>
      </c>
      <c r="I361" s="420" t="str">
        <f>IF(DataH!$AD353&lt;0, NA(), IF(ISERROR(DataH!$AA353/DataH!$AD353), "", DataH!$AA353/DataH!$AD353))</f>
        <v/>
      </c>
    </row>
    <row r="362" spans="2:9" ht="15" customHeight="1">
      <c r="B362" s="322" t="str">
        <f>IF(DataH!$V354="", "", DataH!$V354)</f>
        <v/>
      </c>
      <c r="C362" s="416" t="str">
        <f>IF(DataH!$X354&lt;0, NA(), IF(ISERROR(DataH!$W354/DataH!$X354), "", DataH!$W354/DataH!$X354))</f>
        <v/>
      </c>
      <c r="D362" s="416" t="str">
        <f>IF(DataH!$Y354&lt;0, NA(), IF(ISERROR(DataH!$W354/DataH!$Y354), "", DataH!$W354/DataH!$Y354))</f>
        <v/>
      </c>
      <c r="E362" s="417" t="str">
        <f>IF(DataH!$Z354&lt;0, NA(), IF(ISERROR(DataH!$W354/DataH!$Z354), "", DataH!$W354/DataH!$Z354))</f>
        <v/>
      </c>
      <c r="G362" s="418" t="str">
        <f>IF(DataH!$AB354&lt;0, NA(), IF(ISERROR(DataH!$AA354/DataH!$AB354), "", DataH!$AA354/DataH!$AB354))</f>
        <v/>
      </c>
      <c r="H362" s="416" t="str">
        <f>IF(DataH!$AC354&lt;0, NA(), IF(ISERROR(DataH!$AA354/DataH!$AC354), "", DataH!$AA354/DataH!$AC354))</f>
        <v/>
      </c>
      <c r="I362" s="417" t="str">
        <f>IF(DataH!$AD354&lt;0, NA(), IF(ISERROR(DataH!$AA354/DataH!$AD354), "", DataH!$AA354/DataH!$AD354))</f>
        <v/>
      </c>
    </row>
    <row r="363" spans="2:9" ht="15" customHeight="1">
      <c r="B363" s="318" t="str">
        <f>IF(DataH!$V355="", "", DataH!$V355)</f>
        <v/>
      </c>
      <c r="C363" s="419" t="str">
        <f>IF(DataH!$X355&lt;0, NA(), IF(ISERROR(DataH!$W355/DataH!$X355), "", DataH!$W355/DataH!$X355))</f>
        <v/>
      </c>
      <c r="D363" s="419" t="str">
        <f>IF(DataH!$Y355&lt;0, NA(), IF(ISERROR(DataH!$W355/DataH!$Y355), "", DataH!$W355/DataH!$Y355))</f>
        <v/>
      </c>
      <c r="E363" s="420" t="str">
        <f>IF(DataH!$Z355&lt;0, NA(), IF(ISERROR(DataH!$W355/DataH!$Z355), "", DataH!$W355/DataH!$Z355))</f>
        <v/>
      </c>
      <c r="G363" s="421" t="str">
        <f>IF(DataH!$AB355&lt;0, NA(), IF(ISERROR(DataH!$AA355/DataH!$AB355), "", DataH!$AA355/DataH!$AB355))</f>
        <v/>
      </c>
      <c r="H363" s="419" t="str">
        <f>IF(DataH!$AC355&lt;0, NA(), IF(ISERROR(DataH!$AA355/DataH!$AC355), "", DataH!$AA355/DataH!$AC355))</f>
        <v/>
      </c>
      <c r="I363" s="420" t="str">
        <f>IF(DataH!$AD355&lt;0, NA(), IF(ISERROR(DataH!$AA355/DataH!$AD355), "", DataH!$AA355/DataH!$AD355))</f>
        <v/>
      </c>
    </row>
    <row r="364" spans="2:9" ht="15" customHeight="1">
      <c r="B364" s="322" t="str">
        <f>IF(DataH!$V356="", "", DataH!$V356)</f>
        <v/>
      </c>
      <c r="C364" s="416" t="str">
        <f>IF(DataH!$X356&lt;0, NA(), IF(ISERROR(DataH!$W356/DataH!$X356), "", DataH!$W356/DataH!$X356))</f>
        <v/>
      </c>
      <c r="D364" s="416" t="str">
        <f>IF(DataH!$Y356&lt;0, NA(), IF(ISERROR(DataH!$W356/DataH!$Y356), "", DataH!$W356/DataH!$Y356))</f>
        <v/>
      </c>
      <c r="E364" s="417" t="str">
        <f>IF(DataH!$Z356&lt;0, NA(), IF(ISERROR(DataH!$W356/DataH!$Z356), "", DataH!$W356/DataH!$Z356))</f>
        <v/>
      </c>
      <c r="G364" s="418" t="str">
        <f>IF(DataH!$AB356&lt;0, NA(), IF(ISERROR(DataH!$AA356/DataH!$AB356), "", DataH!$AA356/DataH!$AB356))</f>
        <v/>
      </c>
      <c r="H364" s="416" t="str">
        <f>IF(DataH!$AC356&lt;0, NA(), IF(ISERROR(DataH!$AA356/DataH!$AC356), "", DataH!$AA356/DataH!$AC356))</f>
        <v/>
      </c>
      <c r="I364" s="417" t="str">
        <f>IF(DataH!$AD356&lt;0, NA(), IF(ISERROR(DataH!$AA356/DataH!$AD356), "", DataH!$AA356/DataH!$AD356))</f>
        <v/>
      </c>
    </row>
    <row r="365" spans="2:9" ht="15" customHeight="1">
      <c r="B365" s="318" t="str">
        <f>IF(DataH!$V357="", "", DataH!$V357)</f>
        <v/>
      </c>
      <c r="C365" s="419" t="str">
        <f>IF(DataH!$X357&lt;0, NA(), IF(ISERROR(DataH!$W357/DataH!$X357), "", DataH!$W357/DataH!$X357))</f>
        <v/>
      </c>
      <c r="D365" s="419" t="str">
        <f>IF(DataH!$Y357&lt;0, NA(), IF(ISERROR(DataH!$W357/DataH!$Y357), "", DataH!$W357/DataH!$Y357))</f>
        <v/>
      </c>
      <c r="E365" s="420" t="str">
        <f>IF(DataH!$Z357&lt;0, NA(), IF(ISERROR(DataH!$W357/DataH!$Z357), "", DataH!$W357/DataH!$Z357))</f>
        <v/>
      </c>
      <c r="G365" s="421" t="str">
        <f>IF(DataH!$AB357&lt;0, NA(), IF(ISERROR(DataH!$AA357/DataH!$AB357), "", DataH!$AA357/DataH!$AB357))</f>
        <v/>
      </c>
      <c r="H365" s="419" t="str">
        <f>IF(DataH!$AC357&lt;0, NA(), IF(ISERROR(DataH!$AA357/DataH!$AC357), "", DataH!$AA357/DataH!$AC357))</f>
        <v/>
      </c>
      <c r="I365" s="420" t="str">
        <f>IF(DataH!$AD357&lt;0, NA(), IF(ISERROR(DataH!$AA357/DataH!$AD357), "", DataH!$AA357/DataH!$AD357))</f>
        <v/>
      </c>
    </row>
    <row r="366" spans="2:9" ht="15" customHeight="1">
      <c r="B366" s="322" t="str">
        <f>IF(DataH!$V358="", "", DataH!$V358)</f>
        <v/>
      </c>
      <c r="C366" s="416" t="str">
        <f>IF(DataH!$X358&lt;0, NA(), IF(ISERROR(DataH!$W358/DataH!$X358), "", DataH!$W358/DataH!$X358))</f>
        <v/>
      </c>
      <c r="D366" s="416" t="str">
        <f>IF(DataH!$Y358&lt;0, NA(), IF(ISERROR(DataH!$W358/DataH!$Y358), "", DataH!$W358/DataH!$Y358))</f>
        <v/>
      </c>
      <c r="E366" s="417" t="str">
        <f>IF(DataH!$Z358&lt;0, NA(), IF(ISERROR(DataH!$W358/DataH!$Z358), "", DataH!$W358/DataH!$Z358))</f>
        <v/>
      </c>
      <c r="G366" s="418" t="str">
        <f>IF(DataH!$AB358&lt;0, NA(), IF(ISERROR(DataH!$AA358/DataH!$AB358), "", DataH!$AA358/DataH!$AB358))</f>
        <v/>
      </c>
      <c r="H366" s="416" t="str">
        <f>IF(DataH!$AC358&lt;0, NA(), IF(ISERROR(DataH!$AA358/DataH!$AC358), "", DataH!$AA358/DataH!$AC358))</f>
        <v/>
      </c>
      <c r="I366" s="417" t="str">
        <f>IF(DataH!$AD358&lt;0, NA(), IF(ISERROR(DataH!$AA358/DataH!$AD358), "", DataH!$AA358/DataH!$AD358))</f>
        <v/>
      </c>
    </row>
    <row r="367" spans="2:9" ht="15" customHeight="1">
      <c r="B367" s="318" t="str">
        <f>IF(DataH!$V359="", "", DataH!$V359)</f>
        <v/>
      </c>
      <c r="C367" s="419" t="str">
        <f>IF(DataH!$X359&lt;0, NA(), IF(ISERROR(DataH!$W359/DataH!$X359), "", DataH!$W359/DataH!$X359))</f>
        <v/>
      </c>
      <c r="D367" s="419" t="str">
        <f>IF(DataH!$Y359&lt;0, NA(), IF(ISERROR(DataH!$W359/DataH!$Y359), "", DataH!$W359/DataH!$Y359))</f>
        <v/>
      </c>
      <c r="E367" s="420" t="str">
        <f>IF(DataH!$Z359&lt;0, NA(), IF(ISERROR(DataH!$W359/DataH!$Z359), "", DataH!$W359/DataH!$Z359))</f>
        <v/>
      </c>
      <c r="G367" s="421" t="str">
        <f>IF(DataH!$AB359&lt;0, NA(), IF(ISERROR(DataH!$AA359/DataH!$AB359), "", DataH!$AA359/DataH!$AB359))</f>
        <v/>
      </c>
      <c r="H367" s="419" t="str">
        <f>IF(DataH!$AC359&lt;0, NA(), IF(ISERROR(DataH!$AA359/DataH!$AC359), "", DataH!$AA359/DataH!$AC359))</f>
        <v/>
      </c>
      <c r="I367" s="420" t="str">
        <f>IF(DataH!$AD359&lt;0, NA(), IF(ISERROR(DataH!$AA359/DataH!$AD359), "", DataH!$AA359/DataH!$AD359))</f>
        <v/>
      </c>
    </row>
    <row r="368" spans="2:9" ht="15" customHeight="1">
      <c r="B368" s="322" t="str">
        <f>IF(DataH!$V360="", "", DataH!$V360)</f>
        <v/>
      </c>
      <c r="C368" s="416" t="str">
        <f>IF(DataH!$X360&lt;0, NA(), IF(ISERROR(DataH!$W360/DataH!$X360), "", DataH!$W360/DataH!$X360))</f>
        <v/>
      </c>
      <c r="D368" s="416" t="str">
        <f>IF(DataH!$Y360&lt;0, NA(), IF(ISERROR(DataH!$W360/DataH!$Y360), "", DataH!$W360/DataH!$Y360))</f>
        <v/>
      </c>
      <c r="E368" s="417" t="str">
        <f>IF(DataH!$Z360&lt;0, NA(), IF(ISERROR(DataH!$W360/DataH!$Z360), "", DataH!$W360/DataH!$Z360))</f>
        <v/>
      </c>
      <c r="G368" s="418" t="str">
        <f>IF(DataH!$AB360&lt;0, NA(), IF(ISERROR(DataH!$AA360/DataH!$AB360), "", DataH!$AA360/DataH!$AB360))</f>
        <v/>
      </c>
      <c r="H368" s="416" t="str">
        <f>IF(DataH!$AC360&lt;0, NA(), IF(ISERROR(DataH!$AA360/DataH!$AC360), "", DataH!$AA360/DataH!$AC360))</f>
        <v/>
      </c>
      <c r="I368" s="417" t="str">
        <f>IF(DataH!$AD360&lt;0, NA(), IF(ISERROR(DataH!$AA360/DataH!$AD360), "", DataH!$AA360/DataH!$AD360))</f>
        <v/>
      </c>
    </row>
    <row r="369" spans="2:9" ht="15" customHeight="1">
      <c r="B369" s="318" t="str">
        <f>IF(DataH!$V361="", "", DataH!$V361)</f>
        <v/>
      </c>
      <c r="C369" s="419" t="str">
        <f>IF(DataH!$X361&lt;0, NA(), IF(ISERROR(DataH!$W361/DataH!$X361), "", DataH!$W361/DataH!$X361))</f>
        <v/>
      </c>
      <c r="D369" s="419" t="str">
        <f>IF(DataH!$Y361&lt;0, NA(), IF(ISERROR(DataH!$W361/DataH!$Y361), "", DataH!$W361/DataH!$Y361))</f>
        <v/>
      </c>
      <c r="E369" s="420" t="str">
        <f>IF(DataH!$Z361&lt;0, NA(), IF(ISERROR(DataH!$W361/DataH!$Z361), "", DataH!$W361/DataH!$Z361))</f>
        <v/>
      </c>
      <c r="G369" s="421" t="str">
        <f>IF(DataH!$AB361&lt;0, NA(), IF(ISERROR(DataH!$AA361/DataH!$AB361), "", DataH!$AA361/DataH!$AB361))</f>
        <v/>
      </c>
      <c r="H369" s="419" t="str">
        <f>IF(DataH!$AC361&lt;0, NA(), IF(ISERROR(DataH!$AA361/DataH!$AC361), "", DataH!$AA361/DataH!$AC361))</f>
        <v/>
      </c>
      <c r="I369" s="420" t="str">
        <f>IF(DataH!$AD361&lt;0, NA(), IF(ISERROR(DataH!$AA361/DataH!$AD361), "", DataH!$AA361/DataH!$AD361))</f>
        <v/>
      </c>
    </row>
    <row r="370" spans="2:9" ht="15" customHeight="1">
      <c r="B370" s="322" t="str">
        <f>IF(DataH!$V362="", "", DataH!$V362)</f>
        <v/>
      </c>
      <c r="C370" s="416" t="str">
        <f>IF(DataH!$X362&lt;0, NA(), IF(ISERROR(DataH!$W362/DataH!$X362), "", DataH!$W362/DataH!$X362))</f>
        <v/>
      </c>
      <c r="D370" s="416" t="str">
        <f>IF(DataH!$Y362&lt;0, NA(), IF(ISERROR(DataH!$W362/DataH!$Y362), "", DataH!$W362/DataH!$Y362))</f>
        <v/>
      </c>
      <c r="E370" s="417" t="str">
        <f>IF(DataH!$Z362&lt;0, NA(), IF(ISERROR(DataH!$W362/DataH!$Z362), "", DataH!$W362/DataH!$Z362))</f>
        <v/>
      </c>
      <c r="G370" s="418" t="str">
        <f>IF(DataH!$AB362&lt;0, NA(), IF(ISERROR(DataH!$AA362/DataH!$AB362), "", DataH!$AA362/DataH!$AB362))</f>
        <v/>
      </c>
      <c r="H370" s="416" t="str">
        <f>IF(DataH!$AC362&lt;0, NA(), IF(ISERROR(DataH!$AA362/DataH!$AC362), "", DataH!$AA362/DataH!$AC362))</f>
        <v/>
      </c>
      <c r="I370" s="417" t="str">
        <f>IF(DataH!$AD362&lt;0, NA(), IF(ISERROR(DataH!$AA362/DataH!$AD362), "", DataH!$AA362/DataH!$AD362))</f>
        <v/>
      </c>
    </row>
    <row r="371" spans="2:9" ht="15" customHeight="1">
      <c r="B371" s="318" t="str">
        <f>IF(DataH!$V363="", "", DataH!$V363)</f>
        <v/>
      </c>
      <c r="C371" s="419" t="str">
        <f>IF(DataH!$X363&lt;0, NA(), IF(ISERROR(DataH!$W363/DataH!$X363), "", DataH!$W363/DataH!$X363))</f>
        <v/>
      </c>
      <c r="D371" s="419" t="str">
        <f>IF(DataH!$Y363&lt;0, NA(), IF(ISERROR(DataH!$W363/DataH!$Y363), "", DataH!$W363/DataH!$Y363))</f>
        <v/>
      </c>
      <c r="E371" s="420" t="str">
        <f>IF(DataH!$Z363&lt;0, NA(), IF(ISERROR(DataH!$W363/DataH!$Z363), "", DataH!$W363/DataH!$Z363))</f>
        <v/>
      </c>
      <c r="G371" s="421" t="str">
        <f>IF(DataH!$AB363&lt;0, NA(), IF(ISERROR(DataH!$AA363/DataH!$AB363), "", DataH!$AA363/DataH!$AB363))</f>
        <v/>
      </c>
      <c r="H371" s="419" t="str">
        <f>IF(DataH!$AC363&lt;0, NA(), IF(ISERROR(DataH!$AA363/DataH!$AC363), "", DataH!$AA363/DataH!$AC363))</f>
        <v/>
      </c>
      <c r="I371" s="420" t="str">
        <f>IF(DataH!$AD363&lt;0, NA(), IF(ISERROR(DataH!$AA363/DataH!$AD363), "", DataH!$AA363/DataH!$AD363))</f>
        <v/>
      </c>
    </row>
    <row r="372" spans="2:9" ht="15" customHeight="1">
      <c r="B372" s="322" t="str">
        <f>IF(DataH!$V364="", "", DataH!$V364)</f>
        <v/>
      </c>
      <c r="C372" s="416" t="str">
        <f>IF(DataH!$X364&lt;0, NA(), IF(ISERROR(DataH!$W364/DataH!$X364), "", DataH!$W364/DataH!$X364))</f>
        <v/>
      </c>
      <c r="D372" s="416" t="str">
        <f>IF(DataH!$Y364&lt;0, NA(), IF(ISERROR(DataH!$W364/DataH!$Y364), "", DataH!$W364/DataH!$Y364))</f>
        <v/>
      </c>
      <c r="E372" s="417" t="str">
        <f>IF(DataH!$Z364&lt;0, NA(), IF(ISERROR(DataH!$W364/DataH!$Z364), "", DataH!$W364/DataH!$Z364))</f>
        <v/>
      </c>
      <c r="G372" s="418" t="str">
        <f>IF(DataH!$AB364&lt;0, NA(), IF(ISERROR(DataH!$AA364/DataH!$AB364), "", DataH!$AA364/DataH!$AB364))</f>
        <v/>
      </c>
      <c r="H372" s="416" t="str">
        <f>IF(DataH!$AC364&lt;0, NA(), IF(ISERROR(DataH!$AA364/DataH!$AC364), "", DataH!$AA364/DataH!$AC364))</f>
        <v/>
      </c>
      <c r="I372" s="417" t="str">
        <f>IF(DataH!$AD364&lt;0, NA(), IF(ISERROR(DataH!$AA364/DataH!$AD364), "", DataH!$AA364/DataH!$AD364))</f>
        <v/>
      </c>
    </row>
    <row r="373" spans="2:9" ht="15" customHeight="1">
      <c r="B373" s="318" t="str">
        <f>IF(DataH!$V365="", "", DataH!$V365)</f>
        <v/>
      </c>
      <c r="C373" s="419" t="str">
        <f>IF(DataH!$X365&lt;0, NA(), IF(ISERROR(DataH!$W365/DataH!$X365), "", DataH!$W365/DataH!$X365))</f>
        <v/>
      </c>
      <c r="D373" s="419" t="str">
        <f>IF(DataH!$Y365&lt;0, NA(), IF(ISERROR(DataH!$W365/DataH!$Y365), "", DataH!$W365/DataH!$Y365))</f>
        <v/>
      </c>
      <c r="E373" s="420" t="str">
        <f>IF(DataH!$Z365&lt;0, NA(), IF(ISERROR(DataH!$W365/DataH!$Z365), "", DataH!$W365/DataH!$Z365))</f>
        <v/>
      </c>
      <c r="G373" s="421" t="str">
        <f>IF(DataH!$AB365&lt;0, NA(), IF(ISERROR(DataH!$AA365/DataH!$AB365), "", DataH!$AA365/DataH!$AB365))</f>
        <v/>
      </c>
      <c r="H373" s="419" t="str">
        <f>IF(DataH!$AC365&lt;0, NA(), IF(ISERROR(DataH!$AA365/DataH!$AC365), "", DataH!$AA365/DataH!$AC365))</f>
        <v/>
      </c>
      <c r="I373" s="420" t="str">
        <f>IF(DataH!$AD365&lt;0, NA(), IF(ISERROR(DataH!$AA365/DataH!$AD365), "", DataH!$AA365/DataH!$AD365))</f>
        <v/>
      </c>
    </row>
    <row r="374" spans="2:9" ht="15" customHeight="1">
      <c r="B374" s="322" t="str">
        <f>IF(DataH!$V366="", "", DataH!$V366)</f>
        <v/>
      </c>
      <c r="C374" s="416" t="str">
        <f>IF(DataH!$X366&lt;0, NA(), IF(ISERROR(DataH!$W366/DataH!$X366), "", DataH!$W366/DataH!$X366))</f>
        <v/>
      </c>
      <c r="D374" s="416" t="str">
        <f>IF(DataH!$Y366&lt;0, NA(), IF(ISERROR(DataH!$W366/DataH!$Y366), "", DataH!$W366/DataH!$Y366))</f>
        <v/>
      </c>
      <c r="E374" s="417" t="str">
        <f>IF(DataH!$Z366&lt;0, NA(), IF(ISERROR(DataH!$W366/DataH!$Z366), "", DataH!$W366/DataH!$Z366))</f>
        <v/>
      </c>
      <c r="G374" s="418" t="str">
        <f>IF(DataH!$AB366&lt;0, NA(), IF(ISERROR(DataH!$AA366/DataH!$AB366), "", DataH!$AA366/DataH!$AB366))</f>
        <v/>
      </c>
      <c r="H374" s="416" t="str">
        <f>IF(DataH!$AC366&lt;0, NA(), IF(ISERROR(DataH!$AA366/DataH!$AC366), "", DataH!$AA366/DataH!$AC366))</f>
        <v/>
      </c>
      <c r="I374" s="417" t="str">
        <f>IF(DataH!$AD366&lt;0, NA(), IF(ISERROR(DataH!$AA366/DataH!$AD366), "", DataH!$AA366/DataH!$AD366))</f>
        <v/>
      </c>
    </row>
    <row r="375" spans="2:9" ht="15" customHeight="1">
      <c r="B375" s="318" t="str">
        <f>IF(DataH!$V367="", "", DataH!$V367)</f>
        <v/>
      </c>
      <c r="C375" s="419" t="str">
        <f>IF(DataH!$X367&lt;0, NA(), IF(ISERROR(DataH!$W367/DataH!$X367), "", DataH!$W367/DataH!$X367))</f>
        <v/>
      </c>
      <c r="D375" s="419" t="str">
        <f>IF(DataH!$Y367&lt;0, NA(), IF(ISERROR(DataH!$W367/DataH!$Y367), "", DataH!$W367/DataH!$Y367))</f>
        <v/>
      </c>
      <c r="E375" s="420" t="str">
        <f>IF(DataH!$Z367&lt;0, NA(), IF(ISERROR(DataH!$W367/DataH!$Z367), "", DataH!$W367/DataH!$Z367))</f>
        <v/>
      </c>
      <c r="G375" s="421" t="str">
        <f>IF(DataH!$AB367&lt;0, NA(), IF(ISERROR(DataH!$AA367/DataH!$AB367), "", DataH!$AA367/DataH!$AB367))</f>
        <v/>
      </c>
      <c r="H375" s="419" t="str">
        <f>IF(DataH!$AC367&lt;0, NA(), IF(ISERROR(DataH!$AA367/DataH!$AC367), "", DataH!$AA367/DataH!$AC367))</f>
        <v/>
      </c>
      <c r="I375" s="420" t="str">
        <f>IF(DataH!$AD367&lt;0, NA(), IF(ISERROR(DataH!$AA367/DataH!$AD367), "", DataH!$AA367/DataH!$AD367))</f>
        <v/>
      </c>
    </row>
    <row r="376" spans="2:9" ht="15" customHeight="1">
      <c r="B376" s="322" t="str">
        <f>IF(DataH!$V368="", "", DataH!$V368)</f>
        <v/>
      </c>
      <c r="C376" s="416" t="str">
        <f>IF(DataH!$X368&lt;0, NA(), IF(ISERROR(DataH!$W368/DataH!$X368), "", DataH!$W368/DataH!$X368))</f>
        <v/>
      </c>
      <c r="D376" s="416" t="str">
        <f>IF(DataH!$Y368&lt;0, NA(), IF(ISERROR(DataH!$W368/DataH!$Y368), "", DataH!$W368/DataH!$Y368))</f>
        <v/>
      </c>
      <c r="E376" s="417" t="str">
        <f>IF(DataH!$Z368&lt;0, NA(), IF(ISERROR(DataH!$W368/DataH!$Z368), "", DataH!$W368/DataH!$Z368))</f>
        <v/>
      </c>
      <c r="G376" s="418" t="str">
        <f>IF(DataH!$AB368&lt;0, NA(), IF(ISERROR(DataH!$AA368/DataH!$AB368), "", DataH!$AA368/DataH!$AB368))</f>
        <v/>
      </c>
      <c r="H376" s="416" t="str">
        <f>IF(DataH!$AC368&lt;0, NA(), IF(ISERROR(DataH!$AA368/DataH!$AC368), "", DataH!$AA368/DataH!$AC368))</f>
        <v/>
      </c>
      <c r="I376" s="417" t="str">
        <f>IF(DataH!$AD368&lt;0, NA(), IF(ISERROR(DataH!$AA368/DataH!$AD368), "", DataH!$AA368/DataH!$AD368))</f>
        <v/>
      </c>
    </row>
    <row r="377" spans="2:9" ht="15" customHeight="1">
      <c r="B377" s="318" t="str">
        <f>IF(DataH!$V369="", "", DataH!$V369)</f>
        <v/>
      </c>
      <c r="C377" s="419" t="str">
        <f>IF(DataH!$X369&lt;0, NA(), IF(ISERROR(DataH!$W369/DataH!$X369), "", DataH!$W369/DataH!$X369))</f>
        <v/>
      </c>
      <c r="D377" s="419" t="str">
        <f>IF(DataH!$Y369&lt;0, NA(), IF(ISERROR(DataH!$W369/DataH!$Y369), "", DataH!$W369/DataH!$Y369))</f>
        <v/>
      </c>
      <c r="E377" s="420" t="str">
        <f>IF(DataH!$Z369&lt;0, NA(), IF(ISERROR(DataH!$W369/DataH!$Z369), "", DataH!$W369/DataH!$Z369))</f>
        <v/>
      </c>
      <c r="G377" s="421" t="str">
        <f>IF(DataH!$AB369&lt;0, NA(), IF(ISERROR(DataH!$AA369/DataH!$AB369), "", DataH!$AA369/DataH!$AB369))</f>
        <v/>
      </c>
      <c r="H377" s="419" t="str">
        <f>IF(DataH!$AC369&lt;0, NA(), IF(ISERROR(DataH!$AA369/DataH!$AC369), "", DataH!$AA369/DataH!$AC369))</f>
        <v/>
      </c>
      <c r="I377" s="420" t="str">
        <f>IF(DataH!$AD369&lt;0, NA(), IF(ISERROR(DataH!$AA369/DataH!$AD369), "", DataH!$AA369/DataH!$AD369))</f>
        <v/>
      </c>
    </row>
    <row r="378" spans="2:9" ht="15" customHeight="1">
      <c r="B378" s="322" t="str">
        <f>IF(DataH!$V370="", "", DataH!$V370)</f>
        <v/>
      </c>
      <c r="C378" s="416" t="str">
        <f>IF(DataH!$X370&lt;0, NA(), IF(ISERROR(DataH!$W370/DataH!$X370), "", DataH!$W370/DataH!$X370))</f>
        <v/>
      </c>
      <c r="D378" s="416" t="str">
        <f>IF(DataH!$Y370&lt;0, NA(), IF(ISERROR(DataH!$W370/DataH!$Y370), "", DataH!$W370/DataH!$Y370))</f>
        <v/>
      </c>
      <c r="E378" s="417" t="str">
        <f>IF(DataH!$Z370&lt;0, NA(), IF(ISERROR(DataH!$W370/DataH!$Z370), "", DataH!$W370/DataH!$Z370))</f>
        <v/>
      </c>
      <c r="G378" s="418" t="str">
        <f>IF(DataH!$AB370&lt;0, NA(), IF(ISERROR(DataH!$AA370/DataH!$AB370), "", DataH!$AA370/DataH!$AB370))</f>
        <v/>
      </c>
      <c r="H378" s="416" t="str">
        <f>IF(DataH!$AC370&lt;0, NA(), IF(ISERROR(DataH!$AA370/DataH!$AC370), "", DataH!$AA370/DataH!$AC370))</f>
        <v/>
      </c>
      <c r="I378" s="417" t="str">
        <f>IF(DataH!$AD370&lt;0, NA(), IF(ISERROR(DataH!$AA370/DataH!$AD370), "", DataH!$AA370/DataH!$AD370))</f>
        <v/>
      </c>
    </row>
    <row r="379" spans="2:9" ht="15" customHeight="1">
      <c r="B379" s="318" t="str">
        <f>IF(DataH!$V371="", "", DataH!$V371)</f>
        <v/>
      </c>
      <c r="C379" s="419" t="str">
        <f>IF(DataH!$X371&lt;0, NA(), IF(ISERROR(DataH!$W371/DataH!$X371), "", DataH!$W371/DataH!$X371))</f>
        <v/>
      </c>
      <c r="D379" s="419" t="str">
        <f>IF(DataH!$Y371&lt;0, NA(), IF(ISERROR(DataH!$W371/DataH!$Y371), "", DataH!$W371/DataH!$Y371))</f>
        <v/>
      </c>
      <c r="E379" s="420" t="str">
        <f>IF(DataH!$Z371&lt;0, NA(), IF(ISERROR(DataH!$W371/DataH!$Z371), "", DataH!$W371/DataH!$Z371))</f>
        <v/>
      </c>
      <c r="G379" s="421" t="str">
        <f>IF(DataH!$AB371&lt;0, NA(), IF(ISERROR(DataH!$AA371/DataH!$AB371), "", DataH!$AA371/DataH!$AB371))</f>
        <v/>
      </c>
      <c r="H379" s="419" t="str">
        <f>IF(DataH!$AC371&lt;0, NA(), IF(ISERROR(DataH!$AA371/DataH!$AC371), "", DataH!$AA371/DataH!$AC371))</f>
        <v/>
      </c>
      <c r="I379" s="420" t="str">
        <f>IF(DataH!$AD371&lt;0, NA(), IF(ISERROR(DataH!$AA371/DataH!$AD371), "", DataH!$AA371/DataH!$AD371))</f>
        <v/>
      </c>
    </row>
    <row r="380" spans="2:9" ht="15" customHeight="1">
      <c r="B380" s="322" t="str">
        <f>IF(DataH!$V372="", "", DataH!$V372)</f>
        <v/>
      </c>
      <c r="C380" s="416" t="str">
        <f>IF(DataH!$X372&lt;0, NA(), IF(ISERROR(DataH!$W372/DataH!$X372), "", DataH!$W372/DataH!$X372))</f>
        <v/>
      </c>
      <c r="D380" s="416" t="str">
        <f>IF(DataH!$Y372&lt;0, NA(), IF(ISERROR(DataH!$W372/DataH!$Y372), "", DataH!$W372/DataH!$Y372))</f>
        <v/>
      </c>
      <c r="E380" s="417" t="str">
        <f>IF(DataH!$Z372&lt;0, NA(), IF(ISERROR(DataH!$W372/DataH!$Z372), "", DataH!$W372/DataH!$Z372))</f>
        <v/>
      </c>
      <c r="G380" s="418" t="str">
        <f>IF(DataH!$AB372&lt;0, NA(), IF(ISERROR(DataH!$AA372/DataH!$AB372), "", DataH!$AA372/DataH!$AB372))</f>
        <v/>
      </c>
      <c r="H380" s="416" t="str">
        <f>IF(DataH!$AC372&lt;0, NA(), IF(ISERROR(DataH!$AA372/DataH!$AC372), "", DataH!$AA372/DataH!$AC372))</f>
        <v/>
      </c>
      <c r="I380" s="417" t="str">
        <f>IF(DataH!$AD372&lt;0, NA(), IF(ISERROR(DataH!$AA372/DataH!$AD372), "", DataH!$AA372/DataH!$AD372))</f>
        <v/>
      </c>
    </row>
    <row r="381" spans="2:9" ht="15" customHeight="1">
      <c r="B381" s="318" t="str">
        <f>IF(DataH!$V373="", "", DataH!$V373)</f>
        <v/>
      </c>
      <c r="C381" s="419" t="str">
        <f>IF(DataH!$X373&lt;0, NA(), IF(ISERROR(DataH!$W373/DataH!$X373), "", DataH!$W373/DataH!$X373))</f>
        <v/>
      </c>
      <c r="D381" s="419" t="str">
        <f>IF(DataH!$Y373&lt;0, NA(), IF(ISERROR(DataH!$W373/DataH!$Y373), "", DataH!$W373/DataH!$Y373))</f>
        <v/>
      </c>
      <c r="E381" s="420" t="str">
        <f>IF(DataH!$Z373&lt;0, NA(), IF(ISERROR(DataH!$W373/DataH!$Z373), "", DataH!$W373/DataH!$Z373))</f>
        <v/>
      </c>
      <c r="G381" s="421" t="str">
        <f>IF(DataH!$AB373&lt;0, NA(), IF(ISERROR(DataH!$AA373/DataH!$AB373), "", DataH!$AA373/DataH!$AB373))</f>
        <v/>
      </c>
      <c r="H381" s="419" t="str">
        <f>IF(DataH!$AC373&lt;0, NA(), IF(ISERROR(DataH!$AA373/DataH!$AC373), "", DataH!$AA373/DataH!$AC373))</f>
        <v/>
      </c>
      <c r="I381" s="420" t="str">
        <f>IF(DataH!$AD373&lt;0, NA(), IF(ISERROR(DataH!$AA373/DataH!$AD373), "", DataH!$AA373/DataH!$AD373))</f>
        <v/>
      </c>
    </row>
    <row r="382" spans="2:9" ht="15" customHeight="1">
      <c r="B382" s="322" t="str">
        <f>IF(DataH!$V374="", "", DataH!$V374)</f>
        <v/>
      </c>
      <c r="C382" s="416" t="str">
        <f>IF(DataH!$X374&lt;0, NA(), IF(ISERROR(DataH!$W374/DataH!$X374), "", DataH!$W374/DataH!$X374))</f>
        <v/>
      </c>
      <c r="D382" s="416" t="str">
        <f>IF(DataH!$Y374&lt;0, NA(), IF(ISERROR(DataH!$W374/DataH!$Y374), "", DataH!$W374/DataH!$Y374))</f>
        <v/>
      </c>
      <c r="E382" s="417" t="str">
        <f>IF(DataH!$Z374&lt;0, NA(), IF(ISERROR(DataH!$W374/DataH!$Z374), "", DataH!$W374/DataH!$Z374))</f>
        <v/>
      </c>
      <c r="G382" s="418" t="str">
        <f>IF(DataH!$AB374&lt;0, NA(), IF(ISERROR(DataH!$AA374/DataH!$AB374), "", DataH!$AA374/DataH!$AB374))</f>
        <v/>
      </c>
      <c r="H382" s="416" t="str">
        <f>IF(DataH!$AC374&lt;0, NA(), IF(ISERROR(DataH!$AA374/DataH!$AC374), "", DataH!$AA374/DataH!$AC374))</f>
        <v/>
      </c>
      <c r="I382" s="417" t="str">
        <f>IF(DataH!$AD374&lt;0, NA(), IF(ISERROR(DataH!$AA374/DataH!$AD374), "", DataH!$AA374/DataH!$AD374))</f>
        <v/>
      </c>
    </row>
    <row r="383" spans="2:9" ht="15" customHeight="1">
      <c r="B383" s="318" t="str">
        <f>IF(DataH!$V375="", "", DataH!$V375)</f>
        <v/>
      </c>
      <c r="C383" s="419" t="str">
        <f>IF(DataH!$X375&lt;0, NA(), IF(ISERROR(DataH!$W375/DataH!$X375), "", DataH!$W375/DataH!$X375))</f>
        <v/>
      </c>
      <c r="D383" s="419" t="str">
        <f>IF(DataH!$Y375&lt;0, NA(), IF(ISERROR(DataH!$W375/DataH!$Y375), "", DataH!$W375/DataH!$Y375))</f>
        <v/>
      </c>
      <c r="E383" s="420" t="str">
        <f>IF(DataH!$Z375&lt;0, NA(), IF(ISERROR(DataH!$W375/DataH!$Z375), "", DataH!$W375/DataH!$Z375))</f>
        <v/>
      </c>
      <c r="G383" s="421" t="str">
        <f>IF(DataH!$AB375&lt;0, NA(), IF(ISERROR(DataH!$AA375/DataH!$AB375), "", DataH!$AA375/DataH!$AB375))</f>
        <v/>
      </c>
      <c r="H383" s="419" t="str">
        <f>IF(DataH!$AC375&lt;0, NA(), IF(ISERROR(DataH!$AA375/DataH!$AC375), "", DataH!$AA375/DataH!$AC375))</f>
        <v/>
      </c>
      <c r="I383" s="420" t="str">
        <f>IF(DataH!$AD375&lt;0, NA(), IF(ISERROR(DataH!$AA375/DataH!$AD375), "", DataH!$AA375/DataH!$AD375))</f>
        <v/>
      </c>
    </row>
    <row r="384" spans="2:9" ht="15" customHeight="1">
      <c r="B384" s="322" t="str">
        <f>IF(DataH!$V376="", "", DataH!$V376)</f>
        <v/>
      </c>
      <c r="C384" s="416" t="str">
        <f>IF(DataH!$X376&lt;0, NA(), IF(ISERROR(DataH!$W376/DataH!$X376), "", DataH!$W376/DataH!$X376))</f>
        <v/>
      </c>
      <c r="D384" s="416" t="str">
        <f>IF(DataH!$Y376&lt;0, NA(), IF(ISERROR(DataH!$W376/DataH!$Y376), "", DataH!$W376/DataH!$Y376))</f>
        <v/>
      </c>
      <c r="E384" s="417" t="str">
        <f>IF(DataH!$Z376&lt;0, NA(), IF(ISERROR(DataH!$W376/DataH!$Z376), "", DataH!$W376/DataH!$Z376))</f>
        <v/>
      </c>
      <c r="G384" s="418" t="str">
        <f>IF(DataH!$AB376&lt;0, NA(), IF(ISERROR(DataH!$AA376/DataH!$AB376), "", DataH!$AA376/DataH!$AB376))</f>
        <v/>
      </c>
      <c r="H384" s="416" t="str">
        <f>IF(DataH!$AC376&lt;0, NA(), IF(ISERROR(DataH!$AA376/DataH!$AC376), "", DataH!$AA376/DataH!$AC376))</f>
        <v/>
      </c>
      <c r="I384" s="417" t="str">
        <f>IF(DataH!$AD376&lt;0, NA(), IF(ISERROR(DataH!$AA376/DataH!$AD376), "", DataH!$AA376/DataH!$AD376))</f>
        <v/>
      </c>
    </row>
    <row r="385" spans="2:9" ht="15" customHeight="1">
      <c r="B385" s="318" t="str">
        <f>IF(DataH!$V377="", "", DataH!$V377)</f>
        <v/>
      </c>
      <c r="C385" s="419" t="str">
        <f>IF(DataH!$X377&lt;0, NA(), IF(ISERROR(DataH!$W377/DataH!$X377), "", DataH!$W377/DataH!$X377))</f>
        <v/>
      </c>
      <c r="D385" s="419" t="str">
        <f>IF(DataH!$Y377&lt;0, NA(), IF(ISERROR(DataH!$W377/DataH!$Y377), "", DataH!$W377/DataH!$Y377))</f>
        <v/>
      </c>
      <c r="E385" s="420" t="str">
        <f>IF(DataH!$Z377&lt;0, NA(), IF(ISERROR(DataH!$W377/DataH!$Z377), "", DataH!$W377/DataH!$Z377))</f>
        <v/>
      </c>
      <c r="G385" s="421" t="str">
        <f>IF(DataH!$AB377&lt;0, NA(), IF(ISERROR(DataH!$AA377/DataH!$AB377), "", DataH!$AA377/DataH!$AB377))</f>
        <v/>
      </c>
      <c r="H385" s="419" t="str">
        <f>IF(DataH!$AC377&lt;0, NA(), IF(ISERROR(DataH!$AA377/DataH!$AC377), "", DataH!$AA377/DataH!$AC377))</f>
        <v/>
      </c>
      <c r="I385" s="420" t="str">
        <f>IF(DataH!$AD377&lt;0, NA(), IF(ISERROR(DataH!$AA377/DataH!$AD377), "", DataH!$AA377/DataH!$AD377))</f>
        <v/>
      </c>
    </row>
    <row r="386" spans="2:9" ht="15" customHeight="1">
      <c r="B386" s="322" t="str">
        <f>IF(DataH!$V378="", "", DataH!$V378)</f>
        <v/>
      </c>
      <c r="C386" s="416" t="str">
        <f>IF(DataH!$X378&lt;0, NA(), IF(ISERROR(DataH!$W378/DataH!$X378), "", DataH!$W378/DataH!$X378))</f>
        <v/>
      </c>
      <c r="D386" s="416" t="str">
        <f>IF(DataH!$Y378&lt;0, NA(), IF(ISERROR(DataH!$W378/DataH!$Y378), "", DataH!$W378/DataH!$Y378))</f>
        <v/>
      </c>
      <c r="E386" s="417" t="str">
        <f>IF(DataH!$Z378&lt;0, NA(), IF(ISERROR(DataH!$W378/DataH!$Z378), "", DataH!$W378/DataH!$Z378))</f>
        <v/>
      </c>
      <c r="G386" s="418" t="str">
        <f>IF(DataH!$AB378&lt;0, NA(), IF(ISERROR(DataH!$AA378/DataH!$AB378), "", DataH!$AA378/DataH!$AB378))</f>
        <v/>
      </c>
      <c r="H386" s="416" t="str">
        <f>IF(DataH!$AC378&lt;0, NA(), IF(ISERROR(DataH!$AA378/DataH!$AC378), "", DataH!$AA378/DataH!$AC378))</f>
        <v/>
      </c>
      <c r="I386" s="417" t="str">
        <f>IF(DataH!$AD378&lt;0, NA(), IF(ISERROR(DataH!$AA378/DataH!$AD378), "", DataH!$AA378/DataH!$AD378))</f>
        <v/>
      </c>
    </row>
    <row r="387" spans="2:9" ht="15" customHeight="1">
      <c r="B387" s="318" t="str">
        <f>IF(DataH!$V379="", "", DataH!$V379)</f>
        <v/>
      </c>
      <c r="C387" s="419" t="str">
        <f>IF(DataH!$X379&lt;0, NA(), IF(ISERROR(DataH!$W379/DataH!$X379), "", DataH!$W379/DataH!$X379))</f>
        <v/>
      </c>
      <c r="D387" s="419" t="str">
        <f>IF(DataH!$Y379&lt;0, NA(), IF(ISERROR(DataH!$W379/DataH!$Y379), "", DataH!$W379/DataH!$Y379))</f>
        <v/>
      </c>
      <c r="E387" s="420" t="str">
        <f>IF(DataH!$Z379&lt;0, NA(), IF(ISERROR(DataH!$W379/DataH!$Z379), "", DataH!$W379/DataH!$Z379))</f>
        <v/>
      </c>
      <c r="G387" s="421" t="str">
        <f>IF(DataH!$AB379&lt;0, NA(), IF(ISERROR(DataH!$AA379/DataH!$AB379), "", DataH!$AA379/DataH!$AB379))</f>
        <v/>
      </c>
      <c r="H387" s="419" t="str">
        <f>IF(DataH!$AC379&lt;0, NA(), IF(ISERROR(DataH!$AA379/DataH!$AC379), "", DataH!$AA379/DataH!$AC379))</f>
        <v/>
      </c>
      <c r="I387" s="420" t="str">
        <f>IF(DataH!$AD379&lt;0, NA(), IF(ISERROR(DataH!$AA379/DataH!$AD379), "", DataH!$AA379/DataH!$AD379))</f>
        <v/>
      </c>
    </row>
    <row r="388" spans="2:9" ht="15" customHeight="1">
      <c r="B388" s="322" t="str">
        <f>IF(DataH!$V380="", "", DataH!$V380)</f>
        <v/>
      </c>
      <c r="C388" s="416" t="str">
        <f>IF(DataH!$X380&lt;0, NA(), IF(ISERROR(DataH!$W380/DataH!$X380), "", DataH!$W380/DataH!$X380))</f>
        <v/>
      </c>
      <c r="D388" s="416" t="str">
        <f>IF(DataH!$Y380&lt;0, NA(), IF(ISERROR(DataH!$W380/DataH!$Y380), "", DataH!$W380/DataH!$Y380))</f>
        <v/>
      </c>
      <c r="E388" s="417" t="str">
        <f>IF(DataH!$Z380&lt;0, NA(), IF(ISERROR(DataH!$W380/DataH!$Z380), "", DataH!$W380/DataH!$Z380))</f>
        <v/>
      </c>
      <c r="G388" s="418" t="str">
        <f>IF(DataH!$AB380&lt;0, NA(), IF(ISERROR(DataH!$AA380/DataH!$AB380), "", DataH!$AA380/DataH!$AB380))</f>
        <v/>
      </c>
      <c r="H388" s="416" t="str">
        <f>IF(DataH!$AC380&lt;0, NA(), IF(ISERROR(DataH!$AA380/DataH!$AC380), "", DataH!$AA380/DataH!$AC380))</f>
        <v/>
      </c>
      <c r="I388" s="417" t="str">
        <f>IF(DataH!$AD380&lt;0, NA(), IF(ISERROR(DataH!$AA380/DataH!$AD380), "", DataH!$AA380/DataH!$AD380))</f>
        <v/>
      </c>
    </row>
    <row r="389" spans="2:9" ht="15" customHeight="1">
      <c r="B389" s="318" t="str">
        <f>IF(DataH!$V381="", "", DataH!$V381)</f>
        <v/>
      </c>
      <c r="C389" s="419" t="str">
        <f>IF(DataH!$X381&lt;0, NA(), IF(ISERROR(DataH!$W381/DataH!$X381), "", DataH!$W381/DataH!$X381))</f>
        <v/>
      </c>
      <c r="D389" s="419" t="str">
        <f>IF(DataH!$Y381&lt;0, NA(), IF(ISERROR(DataH!$W381/DataH!$Y381), "", DataH!$W381/DataH!$Y381))</f>
        <v/>
      </c>
      <c r="E389" s="420" t="str">
        <f>IF(DataH!$Z381&lt;0, NA(), IF(ISERROR(DataH!$W381/DataH!$Z381), "", DataH!$W381/DataH!$Z381))</f>
        <v/>
      </c>
      <c r="G389" s="421" t="str">
        <f>IF(DataH!$AB381&lt;0, NA(), IF(ISERROR(DataH!$AA381/DataH!$AB381), "", DataH!$AA381/DataH!$AB381))</f>
        <v/>
      </c>
      <c r="H389" s="419" t="str">
        <f>IF(DataH!$AC381&lt;0, NA(), IF(ISERROR(DataH!$AA381/DataH!$AC381), "", DataH!$AA381/DataH!$AC381))</f>
        <v/>
      </c>
      <c r="I389" s="420" t="str">
        <f>IF(DataH!$AD381&lt;0, NA(), IF(ISERROR(DataH!$AA381/DataH!$AD381), "", DataH!$AA381/DataH!$AD381))</f>
        <v/>
      </c>
    </row>
    <row r="390" spans="2:9" ht="15" customHeight="1">
      <c r="B390" s="322" t="str">
        <f>IF(DataH!$V382="", "", DataH!$V382)</f>
        <v/>
      </c>
      <c r="C390" s="416" t="str">
        <f>IF(DataH!$X382&lt;0, NA(), IF(ISERROR(DataH!$W382/DataH!$X382), "", DataH!$W382/DataH!$X382))</f>
        <v/>
      </c>
      <c r="D390" s="416" t="str">
        <f>IF(DataH!$Y382&lt;0, NA(), IF(ISERROR(DataH!$W382/DataH!$Y382), "", DataH!$W382/DataH!$Y382))</f>
        <v/>
      </c>
      <c r="E390" s="417" t="str">
        <f>IF(DataH!$Z382&lt;0, NA(), IF(ISERROR(DataH!$W382/DataH!$Z382), "", DataH!$W382/DataH!$Z382))</f>
        <v/>
      </c>
      <c r="G390" s="418" t="str">
        <f>IF(DataH!$AB382&lt;0, NA(), IF(ISERROR(DataH!$AA382/DataH!$AB382), "", DataH!$AA382/DataH!$AB382))</f>
        <v/>
      </c>
      <c r="H390" s="416" t="str">
        <f>IF(DataH!$AC382&lt;0, NA(), IF(ISERROR(DataH!$AA382/DataH!$AC382), "", DataH!$AA382/DataH!$AC382))</f>
        <v/>
      </c>
      <c r="I390" s="417" t="str">
        <f>IF(DataH!$AD382&lt;0, NA(), IF(ISERROR(DataH!$AA382/DataH!$AD382), "", DataH!$AA382/DataH!$AD382))</f>
        <v/>
      </c>
    </row>
    <row r="391" spans="2:9" ht="15" customHeight="1">
      <c r="B391" s="318" t="str">
        <f>IF(DataH!$V383="", "", DataH!$V383)</f>
        <v/>
      </c>
      <c r="C391" s="419" t="str">
        <f>IF(DataH!$X383&lt;0, NA(), IF(ISERROR(DataH!$W383/DataH!$X383), "", DataH!$W383/DataH!$X383))</f>
        <v/>
      </c>
      <c r="D391" s="419" t="str">
        <f>IF(DataH!$Y383&lt;0, NA(), IF(ISERROR(DataH!$W383/DataH!$Y383), "", DataH!$W383/DataH!$Y383))</f>
        <v/>
      </c>
      <c r="E391" s="420" t="str">
        <f>IF(DataH!$Z383&lt;0, NA(), IF(ISERROR(DataH!$W383/DataH!$Z383), "", DataH!$W383/DataH!$Z383))</f>
        <v/>
      </c>
      <c r="G391" s="421" t="str">
        <f>IF(DataH!$AB383&lt;0, NA(), IF(ISERROR(DataH!$AA383/DataH!$AB383), "", DataH!$AA383/DataH!$AB383))</f>
        <v/>
      </c>
      <c r="H391" s="419" t="str">
        <f>IF(DataH!$AC383&lt;0, NA(), IF(ISERROR(DataH!$AA383/DataH!$AC383), "", DataH!$AA383/DataH!$AC383))</f>
        <v/>
      </c>
      <c r="I391" s="420" t="str">
        <f>IF(DataH!$AD383&lt;0, NA(), IF(ISERROR(DataH!$AA383/DataH!$AD383), "", DataH!$AA383/DataH!$AD383))</f>
        <v/>
      </c>
    </row>
    <row r="392" spans="2:9" ht="15" customHeight="1">
      <c r="B392" s="322" t="str">
        <f>IF(DataH!$V384="", "", DataH!$V384)</f>
        <v/>
      </c>
      <c r="C392" s="416" t="str">
        <f>IF(DataH!$X384&lt;0, NA(), IF(ISERROR(DataH!$W384/DataH!$X384), "", DataH!$W384/DataH!$X384))</f>
        <v/>
      </c>
      <c r="D392" s="416" t="str">
        <f>IF(DataH!$Y384&lt;0, NA(), IF(ISERROR(DataH!$W384/DataH!$Y384), "", DataH!$W384/DataH!$Y384))</f>
        <v/>
      </c>
      <c r="E392" s="417" t="str">
        <f>IF(DataH!$Z384&lt;0, NA(), IF(ISERROR(DataH!$W384/DataH!$Z384), "", DataH!$W384/DataH!$Z384))</f>
        <v/>
      </c>
      <c r="G392" s="418" t="str">
        <f>IF(DataH!$AB384&lt;0, NA(), IF(ISERROR(DataH!$AA384/DataH!$AB384), "", DataH!$AA384/DataH!$AB384))</f>
        <v/>
      </c>
      <c r="H392" s="416" t="str">
        <f>IF(DataH!$AC384&lt;0, NA(), IF(ISERROR(DataH!$AA384/DataH!$AC384), "", DataH!$AA384/DataH!$AC384))</f>
        <v/>
      </c>
      <c r="I392" s="417" t="str">
        <f>IF(DataH!$AD384&lt;0, NA(), IF(ISERROR(DataH!$AA384/DataH!$AD384), "", DataH!$AA384/DataH!$AD384))</f>
        <v/>
      </c>
    </row>
    <row r="393" spans="2:9" ht="15" customHeight="1">
      <c r="B393" s="318" t="str">
        <f>IF(DataH!$V385="", "", DataH!$V385)</f>
        <v/>
      </c>
      <c r="C393" s="419" t="str">
        <f>IF(DataH!$X385&lt;0, NA(), IF(ISERROR(DataH!$W385/DataH!$X385), "", DataH!$W385/DataH!$X385))</f>
        <v/>
      </c>
      <c r="D393" s="419" t="str">
        <f>IF(DataH!$Y385&lt;0, NA(), IF(ISERROR(DataH!$W385/DataH!$Y385), "", DataH!$W385/DataH!$Y385))</f>
        <v/>
      </c>
      <c r="E393" s="420" t="str">
        <f>IF(DataH!$Z385&lt;0, NA(), IF(ISERROR(DataH!$W385/DataH!$Z385), "", DataH!$W385/DataH!$Z385))</f>
        <v/>
      </c>
      <c r="G393" s="421" t="str">
        <f>IF(DataH!$AB385&lt;0, NA(), IF(ISERROR(DataH!$AA385/DataH!$AB385), "", DataH!$AA385/DataH!$AB385))</f>
        <v/>
      </c>
      <c r="H393" s="419" t="str">
        <f>IF(DataH!$AC385&lt;0, NA(), IF(ISERROR(DataH!$AA385/DataH!$AC385), "", DataH!$AA385/DataH!$AC385))</f>
        <v/>
      </c>
      <c r="I393" s="420" t="str">
        <f>IF(DataH!$AD385&lt;0, NA(), IF(ISERROR(DataH!$AA385/DataH!$AD385), "", DataH!$AA385/DataH!$AD385))</f>
        <v/>
      </c>
    </row>
    <row r="394" spans="2:9" ht="15" customHeight="1">
      <c r="B394" s="322" t="str">
        <f>IF(DataH!$V386="", "", DataH!$V386)</f>
        <v/>
      </c>
      <c r="C394" s="416" t="str">
        <f>IF(DataH!$X386&lt;0, NA(), IF(ISERROR(DataH!$W386/DataH!$X386), "", DataH!$W386/DataH!$X386))</f>
        <v/>
      </c>
      <c r="D394" s="416" t="str">
        <f>IF(DataH!$Y386&lt;0, NA(), IF(ISERROR(DataH!$W386/DataH!$Y386), "", DataH!$W386/DataH!$Y386))</f>
        <v/>
      </c>
      <c r="E394" s="417" t="str">
        <f>IF(DataH!$Z386&lt;0, NA(), IF(ISERROR(DataH!$W386/DataH!$Z386), "", DataH!$W386/DataH!$Z386))</f>
        <v/>
      </c>
      <c r="G394" s="418" t="str">
        <f>IF(DataH!$AB386&lt;0, NA(), IF(ISERROR(DataH!$AA386/DataH!$AB386), "", DataH!$AA386/DataH!$AB386))</f>
        <v/>
      </c>
      <c r="H394" s="416" t="str">
        <f>IF(DataH!$AC386&lt;0, NA(), IF(ISERROR(DataH!$AA386/DataH!$AC386), "", DataH!$AA386/DataH!$AC386))</f>
        <v/>
      </c>
      <c r="I394" s="417" t="str">
        <f>IF(DataH!$AD386&lt;0, NA(), IF(ISERROR(DataH!$AA386/DataH!$AD386), "", DataH!$AA386/DataH!$AD386))</f>
        <v/>
      </c>
    </row>
    <row r="395" spans="2:9" ht="15" customHeight="1">
      <c r="B395" s="318" t="str">
        <f>IF(DataH!$V387="", "", DataH!$V387)</f>
        <v/>
      </c>
      <c r="C395" s="419" t="str">
        <f>IF(DataH!$X387&lt;0, NA(), IF(ISERROR(DataH!$W387/DataH!$X387), "", DataH!$W387/DataH!$X387))</f>
        <v/>
      </c>
      <c r="D395" s="419" t="str">
        <f>IF(DataH!$Y387&lt;0, NA(), IF(ISERROR(DataH!$W387/DataH!$Y387), "", DataH!$W387/DataH!$Y387))</f>
        <v/>
      </c>
      <c r="E395" s="420" t="str">
        <f>IF(DataH!$Z387&lt;0, NA(), IF(ISERROR(DataH!$W387/DataH!$Z387), "", DataH!$W387/DataH!$Z387))</f>
        <v/>
      </c>
      <c r="G395" s="421" t="str">
        <f>IF(DataH!$AB387&lt;0, NA(), IF(ISERROR(DataH!$AA387/DataH!$AB387), "", DataH!$AA387/DataH!$AB387))</f>
        <v/>
      </c>
      <c r="H395" s="419" t="str">
        <f>IF(DataH!$AC387&lt;0, NA(), IF(ISERROR(DataH!$AA387/DataH!$AC387), "", DataH!$AA387/DataH!$AC387))</f>
        <v/>
      </c>
      <c r="I395" s="420" t="str">
        <f>IF(DataH!$AD387&lt;0, NA(), IF(ISERROR(DataH!$AA387/DataH!$AD387), "", DataH!$AA387/DataH!$AD387))</f>
        <v/>
      </c>
    </row>
    <row r="396" spans="2:9" ht="15" customHeight="1">
      <c r="B396" s="322" t="str">
        <f>IF(DataH!$V388="", "", DataH!$V388)</f>
        <v/>
      </c>
      <c r="C396" s="416" t="str">
        <f>IF(DataH!$X388&lt;0, NA(), IF(ISERROR(DataH!$W388/DataH!$X388), "", DataH!$W388/DataH!$X388))</f>
        <v/>
      </c>
      <c r="D396" s="416" t="str">
        <f>IF(DataH!$Y388&lt;0, NA(), IF(ISERROR(DataH!$W388/DataH!$Y388), "", DataH!$W388/DataH!$Y388))</f>
        <v/>
      </c>
      <c r="E396" s="417" t="str">
        <f>IF(DataH!$Z388&lt;0, NA(), IF(ISERROR(DataH!$W388/DataH!$Z388), "", DataH!$W388/DataH!$Z388))</f>
        <v/>
      </c>
      <c r="G396" s="418" t="str">
        <f>IF(DataH!$AB388&lt;0, NA(), IF(ISERROR(DataH!$AA388/DataH!$AB388), "", DataH!$AA388/DataH!$AB388))</f>
        <v/>
      </c>
      <c r="H396" s="416" t="str">
        <f>IF(DataH!$AC388&lt;0, NA(), IF(ISERROR(DataH!$AA388/DataH!$AC388), "", DataH!$AA388/DataH!$AC388))</f>
        <v/>
      </c>
      <c r="I396" s="417" t="str">
        <f>IF(DataH!$AD388&lt;0, NA(), IF(ISERROR(DataH!$AA388/DataH!$AD388), "", DataH!$AA388/DataH!$AD388))</f>
        <v/>
      </c>
    </row>
    <row r="397" spans="2:9" ht="15" customHeight="1">
      <c r="B397" s="318" t="str">
        <f>IF(DataH!$V389="", "", DataH!$V389)</f>
        <v/>
      </c>
      <c r="C397" s="419" t="str">
        <f>IF(DataH!$X389&lt;0, NA(), IF(ISERROR(DataH!$W389/DataH!$X389), "", DataH!$W389/DataH!$X389))</f>
        <v/>
      </c>
      <c r="D397" s="419" t="str">
        <f>IF(DataH!$Y389&lt;0, NA(), IF(ISERROR(DataH!$W389/DataH!$Y389), "", DataH!$W389/DataH!$Y389))</f>
        <v/>
      </c>
      <c r="E397" s="420" t="str">
        <f>IF(DataH!$Z389&lt;0, NA(), IF(ISERROR(DataH!$W389/DataH!$Z389), "", DataH!$W389/DataH!$Z389))</f>
        <v/>
      </c>
      <c r="G397" s="421" t="str">
        <f>IF(DataH!$AB389&lt;0, NA(), IF(ISERROR(DataH!$AA389/DataH!$AB389), "", DataH!$AA389/DataH!$AB389))</f>
        <v/>
      </c>
      <c r="H397" s="419" t="str">
        <f>IF(DataH!$AC389&lt;0, NA(), IF(ISERROR(DataH!$AA389/DataH!$AC389), "", DataH!$AA389/DataH!$AC389))</f>
        <v/>
      </c>
      <c r="I397" s="420" t="str">
        <f>IF(DataH!$AD389&lt;0, NA(), IF(ISERROR(DataH!$AA389/DataH!$AD389), "", DataH!$AA389/DataH!$AD389))</f>
        <v/>
      </c>
    </row>
    <row r="398" spans="2:9" ht="15" customHeight="1">
      <c r="B398" s="322" t="str">
        <f>IF(DataH!$V390="", "", DataH!$V390)</f>
        <v/>
      </c>
      <c r="C398" s="416" t="str">
        <f>IF(DataH!$X390&lt;0, NA(), IF(ISERROR(DataH!$W390/DataH!$X390), "", DataH!$W390/DataH!$X390))</f>
        <v/>
      </c>
      <c r="D398" s="416" t="str">
        <f>IF(DataH!$Y390&lt;0, NA(), IF(ISERROR(DataH!$W390/DataH!$Y390), "", DataH!$W390/DataH!$Y390))</f>
        <v/>
      </c>
      <c r="E398" s="417" t="str">
        <f>IF(DataH!$Z390&lt;0, NA(), IF(ISERROR(DataH!$W390/DataH!$Z390), "", DataH!$W390/DataH!$Z390))</f>
        <v/>
      </c>
      <c r="G398" s="418" t="str">
        <f>IF(DataH!$AB390&lt;0, NA(), IF(ISERROR(DataH!$AA390/DataH!$AB390), "", DataH!$AA390/DataH!$AB390))</f>
        <v/>
      </c>
      <c r="H398" s="416" t="str">
        <f>IF(DataH!$AC390&lt;0, NA(), IF(ISERROR(DataH!$AA390/DataH!$AC390), "", DataH!$AA390/DataH!$AC390))</f>
        <v/>
      </c>
      <c r="I398" s="417" t="str">
        <f>IF(DataH!$AD390&lt;0, NA(), IF(ISERROR(DataH!$AA390/DataH!$AD390), "", DataH!$AA390/DataH!$AD390))</f>
        <v/>
      </c>
    </row>
    <row r="399" spans="2:9" ht="15" customHeight="1">
      <c r="B399" s="318" t="str">
        <f>IF(DataH!$V391="", "", DataH!$V391)</f>
        <v/>
      </c>
      <c r="C399" s="419" t="str">
        <f>IF(DataH!$X391&lt;0, NA(), IF(ISERROR(DataH!$W391/DataH!$X391), "", DataH!$W391/DataH!$X391))</f>
        <v/>
      </c>
      <c r="D399" s="419" t="str">
        <f>IF(DataH!$Y391&lt;0, NA(), IF(ISERROR(DataH!$W391/DataH!$Y391), "", DataH!$W391/DataH!$Y391))</f>
        <v/>
      </c>
      <c r="E399" s="420" t="str">
        <f>IF(DataH!$Z391&lt;0, NA(), IF(ISERROR(DataH!$W391/DataH!$Z391), "", DataH!$W391/DataH!$Z391))</f>
        <v/>
      </c>
      <c r="G399" s="421" t="str">
        <f>IF(DataH!$AB391&lt;0, NA(), IF(ISERROR(DataH!$AA391/DataH!$AB391), "", DataH!$AA391/DataH!$AB391))</f>
        <v/>
      </c>
      <c r="H399" s="419" t="str">
        <f>IF(DataH!$AC391&lt;0, NA(), IF(ISERROR(DataH!$AA391/DataH!$AC391), "", DataH!$AA391/DataH!$AC391))</f>
        <v/>
      </c>
      <c r="I399" s="420" t="str">
        <f>IF(DataH!$AD391&lt;0, NA(), IF(ISERROR(DataH!$AA391/DataH!$AD391), "", DataH!$AA391/DataH!$AD391))</f>
        <v/>
      </c>
    </row>
    <row r="400" spans="2:9" ht="15" customHeight="1">
      <c r="B400" s="322" t="str">
        <f>IF(DataH!$V392="", "", DataH!$V392)</f>
        <v/>
      </c>
      <c r="C400" s="416" t="str">
        <f>IF(DataH!$X392&lt;0, NA(), IF(ISERROR(DataH!$W392/DataH!$X392), "", DataH!$W392/DataH!$X392))</f>
        <v/>
      </c>
      <c r="D400" s="416" t="str">
        <f>IF(DataH!$Y392&lt;0, NA(), IF(ISERROR(DataH!$W392/DataH!$Y392), "", DataH!$W392/DataH!$Y392))</f>
        <v/>
      </c>
      <c r="E400" s="417" t="str">
        <f>IF(DataH!$Z392&lt;0, NA(), IF(ISERROR(DataH!$W392/DataH!$Z392), "", DataH!$W392/DataH!$Z392))</f>
        <v/>
      </c>
      <c r="G400" s="418" t="str">
        <f>IF(DataH!$AB392&lt;0, NA(), IF(ISERROR(DataH!$AA392/DataH!$AB392), "", DataH!$AA392/DataH!$AB392))</f>
        <v/>
      </c>
      <c r="H400" s="416" t="str">
        <f>IF(DataH!$AC392&lt;0, NA(), IF(ISERROR(DataH!$AA392/DataH!$AC392), "", DataH!$AA392/DataH!$AC392))</f>
        <v/>
      </c>
      <c r="I400" s="417" t="str">
        <f>IF(DataH!$AD392&lt;0, NA(), IF(ISERROR(DataH!$AA392/DataH!$AD392), "", DataH!$AA392/DataH!$AD392))</f>
        <v/>
      </c>
    </row>
    <row r="401" spans="2:9" ht="15" customHeight="1">
      <c r="B401" s="318" t="str">
        <f>IF(DataH!$V393="", "", DataH!$V393)</f>
        <v/>
      </c>
      <c r="C401" s="419" t="str">
        <f>IF(DataH!$X393&lt;0, NA(), IF(ISERROR(DataH!$W393/DataH!$X393), "", DataH!$W393/DataH!$X393))</f>
        <v/>
      </c>
      <c r="D401" s="419" t="str">
        <f>IF(DataH!$Y393&lt;0, NA(), IF(ISERROR(DataH!$W393/DataH!$Y393), "", DataH!$W393/DataH!$Y393))</f>
        <v/>
      </c>
      <c r="E401" s="420" t="str">
        <f>IF(DataH!$Z393&lt;0, NA(), IF(ISERROR(DataH!$W393/DataH!$Z393), "", DataH!$W393/DataH!$Z393))</f>
        <v/>
      </c>
      <c r="G401" s="421" t="str">
        <f>IF(DataH!$AB393&lt;0, NA(), IF(ISERROR(DataH!$AA393/DataH!$AB393), "", DataH!$AA393/DataH!$AB393))</f>
        <v/>
      </c>
      <c r="H401" s="419" t="str">
        <f>IF(DataH!$AC393&lt;0, NA(), IF(ISERROR(DataH!$AA393/DataH!$AC393), "", DataH!$AA393/DataH!$AC393))</f>
        <v/>
      </c>
      <c r="I401" s="420" t="str">
        <f>IF(DataH!$AD393&lt;0, NA(), IF(ISERROR(DataH!$AA393/DataH!$AD393), "", DataH!$AA393/DataH!$AD393))</f>
        <v/>
      </c>
    </row>
    <row r="402" spans="2:9" ht="15" customHeight="1">
      <c r="B402" s="322" t="str">
        <f>IF(DataH!$V394="", "", DataH!$V394)</f>
        <v/>
      </c>
      <c r="C402" s="416" t="str">
        <f>IF(DataH!$X394&lt;0, NA(), IF(ISERROR(DataH!$W394/DataH!$X394), "", DataH!$W394/DataH!$X394))</f>
        <v/>
      </c>
      <c r="D402" s="416" t="str">
        <f>IF(DataH!$Y394&lt;0, NA(), IF(ISERROR(DataH!$W394/DataH!$Y394), "", DataH!$W394/DataH!$Y394))</f>
        <v/>
      </c>
      <c r="E402" s="417" t="str">
        <f>IF(DataH!$Z394&lt;0, NA(), IF(ISERROR(DataH!$W394/DataH!$Z394), "", DataH!$W394/DataH!$Z394))</f>
        <v/>
      </c>
      <c r="G402" s="418" t="str">
        <f>IF(DataH!$AB394&lt;0, NA(), IF(ISERROR(DataH!$AA394/DataH!$AB394), "", DataH!$AA394/DataH!$AB394))</f>
        <v/>
      </c>
      <c r="H402" s="416" t="str">
        <f>IF(DataH!$AC394&lt;0, NA(), IF(ISERROR(DataH!$AA394/DataH!$AC394), "", DataH!$AA394/DataH!$AC394))</f>
        <v/>
      </c>
      <c r="I402" s="417" t="str">
        <f>IF(DataH!$AD394&lt;0, NA(), IF(ISERROR(DataH!$AA394/DataH!$AD394), "", DataH!$AA394/DataH!$AD394))</f>
        <v/>
      </c>
    </row>
    <row r="403" spans="2:9" ht="15" customHeight="1">
      <c r="B403" s="318" t="str">
        <f>IF(DataH!$V395="", "", DataH!$V395)</f>
        <v/>
      </c>
      <c r="C403" s="419" t="str">
        <f>IF(DataH!$X395&lt;0, NA(), IF(ISERROR(DataH!$W395/DataH!$X395), "", DataH!$W395/DataH!$X395))</f>
        <v/>
      </c>
      <c r="D403" s="419" t="str">
        <f>IF(DataH!$Y395&lt;0, NA(), IF(ISERROR(DataH!$W395/DataH!$Y395), "", DataH!$W395/DataH!$Y395))</f>
        <v/>
      </c>
      <c r="E403" s="420" t="str">
        <f>IF(DataH!$Z395&lt;0, NA(), IF(ISERROR(DataH!$W395/DataH!$Z395), "", DataH!$W395/DataH!$Z395))</f>
        <v/>
      </c>
      <c r="G403" s="421" t="str">
        <f>IF(DataH!$AB395&lt;0, NA(), IF(ISERROR(DataH!$AA395/DataH!$AB395), "", DataH!$AA395/DataH!$AB395))</f>
        <v/>
      </c>
      <c r="H403" s="419" t="str">
        <f>IF(DataH!$AC395&lt;0, NA(), IF(ISERROR(DataH!$AA395/DataH!$AC395), "", DataH!$AA395/DataH!$AC395))</f>
        <v/>
      </c>
      <c r="I403" s="420" t="str">
        <f>IF(DataH!$AD395&lt;0, NA(), IF(ISERROR(DataH!$AA395/DataH!$AD395), "", DataH!$AA395/DataH!$AD395))</f>
        <v/>
      </c>
    </row>
    <row r="404" spans="2:9" ht="15" customHeight="1">
      <c r="B404" s="322" t="str">
        <f>IF(DataH!$V396="", "", DataH!$V396)</f>
        <v/>
      </c>
      <c r="C404" s="416" t="str">
        <f>IF(DataH!$X396&lt;0, NA(), IF(ISERROR(DataH!$W396/DataH!$X396), "", DataH!$W396/DataH!$X396))</f>
        <v/>
      </c>
      <c r="D404" s="416" t="str">
        <f>IF(DataH!$Y396&lt;0, NA(), IF(ISERROR(DataH!$W396/DataH!$Y396), "", DataH!$W396/DataH!$Y396))</f>
        <v/>
      </c>
      <c r="E404" s="417" t="str">
        <f>IF(DataH!$Z396&lt;0, NA(), IF(ISERROR(DataH!$W396/DataH!$Z396), "", DataH!$W396/DataH!$Z396))</f>
        <v/>
      </c>
      <c r="G404" s="418" t="str">
        <f>IF(DataH!$AB396&lt;0, NA(), IF(ISERROR(DataH!$AA396/DataH!$AB396), "", DataH!$AA396/DataH!$AB396))</f>
        <v/>
      </c>
      <c r="H404" s="416" t="str">
        <f>IF(DataH!$AC396&lt;0, NA(), IF(ISERROR(DataH!$AA396/DataH!$AC396), "", DataH!$AA396/DataH!$AC396))</f>
        <v/>
      </c>
      <c r="I404" s="417" t="str">
        <f>IF(DataH!$AD396&lt;0, NA(), IF(ISERROR(DataH!$AA396/DataH!$AD396), "", DataH!$AA396/DataH!$AD396))</f>
        <v/>
      </c>
    </row>
    <row r="405" spans="2:9" ht="15" customHeight="1">
      <c r="B405" s="318" t="str">
        <f>IF(DataH!$V397="", "", DataH!$V397)</f>
        <v/>
      </c>
      <c r="C405" s="419" t="str">
        <f>IF(DataH!$X397&lt;0, NA(), IF(ISERROR(DataH!$W397/DataH!$X397), "", DataH!$W397/DataH!$X397))</f>
        <v/>
      </c>
      <c r="D405" s="419" t="str">
        <f>IF(DataH!$Y397&lt;0, NA(), IF(ISERROR(DataH!$W397/DataH!$Y397), "", DataH!$W397/DataH!$Y397))</f>
        <v/>
      </c>
      <c r="E405" s="420" t="str">
        <f>IF(DataH!$Z397&lt;0, NA(), IF(ISERROR(DataH!$W397/DataH!$Z397), "", DataH!$W397/DataH!$Z397))</f>
        <v/>
      </c>
      <c r="G405" s="421" t="str">
        <f>IF(DataH!$AB397&lt;0, NA(), IF(ISERROR(DataH!$AA397/DataH!$AB397), "", DataH!$AA397/DataH!$AB397))</f>
        <v/>
      </c>
      <c r="H405" s="419" t="str">
        <f>IF(DataH!$AC397&lt;0, NA(), IF(ISERROR(DataH!$AA397/DataH!$AC397), "", DataH!$AA397/DataH!$AC397))</f>
        <v/>
      </c>
      <c r="I405" s="420" t="str">
        <f>IF(DataH!$AD397&lt;0, NA(), IF(ISERROR(DataH!$AA397/DataH!$AD397), "", DataH!$AA397/DataH!$AD397))</f>
        <v/>
      </c>
    </row>
    <row r="406" spans="2:9" ht="15" customHeight="1">
      <c r="B406" s="322" t="str">
        <f>IF(DataH!$V398="", "", DataH!$V398)</f>
        <v/>
      </c>
      <c r="C406" s="416" t="str">
        <f>IF(DataH!$X398&lt;0, NA(), IF(ISERROR(DataH!$W398/DataH!$X398), "", DataH!$W398/DataH!$X398))</f>
        <v/>
      </c>
      <c r="D406" s="416" t="str">
        <f>IF(DataH!$Y398&lt;0, NA(), IF(ISERROR(DataH!$W398/DataH!$Y398), "", DataH!$W398/DataH!$Y398))</f>
        <v/>
      </c>
      <c r="E406" s="417" t="str">
        <f>IF(DataH!$Z398&lt;0, NA(), IF(ISERROR(DataH!$W398/DataH!$Z398), "", DataH!$W398/DataH!$Z398))</f>
        <v/>
      </c>
      <c r="G406" s="418" t="str">
        <f>IF(DataH!$AB398&lt;0, NA(), IF(ISERROR(DataH!$AA398/DataH!$AB398), "", DataH!$AA398/DataH!$AB398))</f>
        <v/>
      </c>
      <c r="H406" s="416" t="str">
        <f>IF(DataH!$AC398&lt;0, NA(), IF(ISERROR(DataH!$AA398/DataH!$AC398), "", DataH!$AA398/DataH!$AC398))</f>
        <v/>
      </c>
      <c r="I406" s="417" t="str">
        <f>IF(DataH!$AD398&lt;0, NA(), IF(ISERROR(DataH!$AA398/DataH!$AD398), "", DataH!$AA398/DataH!$AD398))</f>
        <v/>
      </c>
    </row>
    <row r="407" spans="2:9" ht="15" customHeight="1">
      <c r="B407" s="318" t="str">
        <f>IF(DataH!$V399="", "", DataH!$V399)</f>
        <v/>
      </c>
      <c r="C407" s="419" t="str">
        <f>IF(DataH!$X399&lt;0, NA(), IF(ISERROR(DataH!$W399/DataH!$X399), "", DataH!$W399/DataH!$X399))</f>
        <v/>
      </c>
      <c r="D407" s="419" t="str">
        <f>IF(DataH!$Y399&lt;0, NA(), IF(ISERROR(DataH!$W399/DataH!$Y399), "", DataH!$W399/DataH!$Y399))</f>
        <v/>
      </c>
      <c r="E407" s="420" t="str">
        <f>IF(DataH!$Z399&lt;0, NA(), IF(ISERROR(DataH!$W399/DataH!$Z399), "", DataH!$W399/DataH!$Z399))</f>
        <v/>
      </c>
      <c r="G407" s="421" t="str">
        <f>IF(DataH!$AB399&lt;0, NA(), IF(ISERROR(DataH!$AA399/DataH!$AB399), "", DataH!$AA399/DataH!$AB399))</f>
        <v/>
      </c>
      <c r="H407" s="419" t="str">
        <f>IF(DataH!$AC399&lt;0, NA(), IF(ISERROR(DataH!$AA399/DataH!$AC399), "", DataH!$AA399/DataH!$AC399))</f>
        <v/>
      </c>
      <c r="I407" s="420" t="str">
        <f>IF(DataH!$AD399&lt;0, NA(), IF(ISERROR(DataH!$AA399/DataH!$AD399), "", DataH!$AA399/DataH!$AD399))</f>
        <v/>
      </c>
    </row>
    <row r="408" spans="2:9" ht="15" customHeight="1">
      <c r="B408" s="322" t="str">
        <f>IF(DataH!$V400="", "", DataH!$V400)</f>
        <v/>
      </c>
      <c r="C408" s="416" t="str">
        <f>IF(DataH!$X400&lt;0, NA(), IF(ISERROR(DataH!$W400/DataH!$X400), "", DataH!$W400/DataH!$X400))</f>
        <v/>
      </c>
      <c r="D408" s="416" t="str">
        <f>IF(DataH!$Y400&lt;0, NA(), IF(ISERROR(DataH!$W400/DataH!$Y400), "", DataH!$W400/DataH!$Y400))</f>
        <v/>
      </c>
      <c r="E408" s="417" t="str">
        <f>IF(DataH!$Z400&lt;0, NA(), IF(ISERROR(DataH!$W400/DataH!$Z400), "", DataH!$W400/DataH!$Z400))</f>
        <v/>
      </c>
      <c r="G408" s="418" t="str">
        <f>IF(DataH!$AB400&lt;0, NA(), IF(ISERROR(DataH!$AA400/DataH!$AB400), "", DataH!$AA400/DataH!$AB400))</f>
        <v/>
      </c>
      <c r="H408" s="416" t="str">
        <f>IF(DataH!$AC400&lt;0, NA(), IF(ISERROR(DataH!$AA400/DataH!$AC400), "", DataH!$AA400/DataH!$AC400))</f>
        <v/>
      </c>
      <c r="I408" s="417" t="str">
        <f>IF(DataH!$AD400&lt;0, NA(), IF(ISERROR(DataH!$AA400/DataH!$AD400), "", DataH!$AA400/DataH!$AD400))</f>
        <v/>
      </c>
    </row>
    <row r="409" spans="2:9" ht="15" customHeight="1">
      <c r="B409" s="318" t="str">
        <f>IF(DataH!$V401="", "", DataH!$V401)</f>
        <v/>
      </c>
      <c r="C409" s="419" t="str">
        <f>IF(DataH!$X401&lt;0, NA(), IF(ISERROR(DataH!$W401/DataH!$X401), "", DataH!$W401/DataH!$X401))</f>
        <v/>
      </c>
      <c r="D409" s="419" t="str">
        <f>IF(DataH!$Y401&lt;0, NA(), IF(ISERROR(DataH!$W401/DataH!$Y401), "", DataH!$W401/DataH!$Y401))</f>
        <v/>
      </c>
      <c r="E409" s="420" t="str">
        <f>IF(DataH!$Z401&lt;0, NA(), IF(ISERROR(DataH!$W401/DataH!$Z401), "", DataH!$W401/DataH!$Z401))</f>
        <v/>
      </c>
      <c r="G409" s="421" t="str">
        <f>IF(DataH!$AB401&lt;0, NA(), IF(ISERROR(DataH!$AA401/DataH!$AB401), "", DataH!$AA401/DataH!$AB401))</f>
        <v/>
      </c>
      <c r="H409" s="419" t="str">
        <f>IF(DataH!$AC401&lt;0, NA(), IF(ISERROR(DataH!$AA401/DataH!$AC401), "", DataH!$AA401/DataH!$AC401))</f>
        <v/>
      </c>
      <c r="I409" s="420" t="str">
        <f>IF(DataH!$AD401&lt;0, NA(), IF(ISERROR(DataH!$AA401/DataH!$AD401), "", DataH!$AA401/DataH!$AD401))</f>
        <v/>
      </c>
    </row>
    <row r="410" spans="2:9" ht="15" customHeight="1">
      <c r="B410" s="322" t="str">
        <f>IF(DataH!$V402="", "", DataH!$V402)</f>
        <v/>
      </c>
      <c r="C410" s="416" t="str">
        <f>IF(DataH!$X402&lt;0, NA(), IF(ISERROR(DataH!$W402/DataH!$X402), "", DataH!$W402/DataH!$X402))</f>
        <v/>
      </c>
      <c r="D410" s="416" t="str">
        <f>IF(DataH!$Y402&lt;0, NA(), IF(ISERROR(DataH!$W402/DataH!$Y402), "", DataH!$W402/DataH!$Y402))</f>
        <v/>
      </c>
      <c r="E410" s="417" t="str">
        <f>IF(DataH!$Z402&lt;0, NA(), IF(ISERROR(DataH!$W402/DataH!$Z402), "", DataH!$W402/DataH!$Z402))</f>
        <v/>
      </c>
      <c r="G410" s="418" t="str">
        <f>IF(DataH!$AB402&lt;0, NA(), IF(ISERROR(DataH!$AA402/DataH!$AB402), "", DataH!$AA402/DataH!$AB402))</f>
        <v/>
      </c>
      <c r="H410" s="416" t="str">
        <f>IF(DataH!$AC402&lt;0, NA(), IF(ISERROR(DataH!$AA402/DataH!$AC402), "", DataH!$AA402/DataH!$AC402))</f>
        <v/>
      </c>
      <c r="I410" s="417" t="str">
        <f>IF(DataH!$AD402&lt;0, NA(), IF(ISERROR(DataH!$AA402/DataH!$AD402), "", DataH!$AA402/DataH!$AD402))</f>
        <v/>
      </c>
    </row>
    <row r="411" spans="2:9" ht="15" customHeight="1">
      <c r="B411" s="318" t="str">
        <f>IF(DataH!$V403="", "", DataH!$V403)</f>
        <v/>
      </c>
      <c r="C411" s="419" t="str">
        <f>IF(DataH!$X403&lt;0, NA(), IF(ISERROR(DataH!$W403/DataH!$X403), "", DataH!$W403/DataH!$X403))</f>
        <v/>
      </c>
      <c r="D411" s="419" t="str">
        <f>IF(DataH!$Y403&lt;0, NA(), IF(ISERROR(DataH!$W403/DataH!$Y403), "", DataH!$W403/DataH!$Y403))</f>
        <v/>
      </c>
      <c r="E411" s="420" t="str">
        <f>IF(DataH!$Z403&lt;0, NA(), IF(ISERROR(DataH!$W403/DataH!$Z403), "", DataH!$W403/DataH!$Z403))</f>
        <v/>
      </c>
      <c r="G411" s="421" t="str">
        <f>IF(DataH!$AB403&lt;0, NA(), IF(ISERROR(DataH!$AA403/DataH!$AB403), "", DataH!$AA403/DataH!$AB403))</f>
        <v/>
      </c>
      <c r="H411" s="419" t="str">
        <f>IF(DataH!$AC403&lt;0, NA(), IF(ISERROR(DataH!$AA403/DataH!$AC403), "", DataH!$AA403/DataH!$AC403))</f>
        <v/>
      </c>
      <c r="I411" s="420" t="str">
        <f>IF(DataH!$AD403&lt;0, NA(), IF(ISERROR(DataH!$AA403/DataH!$AD403), "", DataH!$AA403/DataH!$AD403))</f>
        <v/>
      </c>
    </row>
    <row r="412" spans="2:9" ht="15" customHeight="1">
      <c r="B412" s="322" t="str">
        <f>IF(DataH!$V404="", "", DataH!$V404)</f>
        <v/>
      </c>
      <c r="C412" s="416" t="str">
        <f>IF(DataH!$X404&lt;0, NA(), IF(ISERROR(DataH!$W404/DataH!$X404), "", DataH!$W404/DataH!$X404))</f>
        <v/>
      </c>
      <c r="D412" s="416" t="str">
        <f>IF(DataH!$Y404&lt;0, NA(), IF(ISERROR(DataH!$W404/DataH!$Y404), "", DataH!$W404/DataH!$Y404))</f>
        <v/>
      </c>
      <c r="E412" s="417" t="str">
        <f>IF(DataH!$Z404&lt;0, NA(), IF(ISERROR(DataH!$W404/DataH!$Z404), "", DataH!$W404/DataH!$Z404))</f>
        <v/>
      </c>
      <c r="G412" s="418" t="str">
        <f>IF(DataH!$AB404&lt;0, NA(), IF(ISERROR(DataH!$AA404/DataH!$AB404), "", DataH!$AA404/DataH!$AB404))</f>
        <v/>
      </c>
      <c r="H412" s="416" t="str">
        <f>IF(DataH!$AC404&lt;0, NA(), IF(ISERROR(DataH!$AA404/DataH!$AC404), "", DataH!$AA404/DataH!$AC404))</f>
        <v/>
      </c>
      <c r="I412" s="417" t="str">
        <f>IF(DataH!$AD404&lt;0, NA(), IF(ISERROR(DataH!$AA404/DataH!$AD404), "", DataH!$AA404/DataH!$AD404))</f>
        <v/>
      </c>
    </row>
    <row r="413" spans="2:9" ht="15" customHeight="1">
      <c r="B413" s="318" t="str">
        <f>IF(DataH!$V405="", "", DataH!$V405)</f>
        <v/>
      </c>
      <c r="C413" s="419" t="str">
        <f>IF(DataH!$X405&lt;0, NA(), IF(ISERROR(DataH!$W405/DataH!$X405), "", DataH!$W405/DataH!$X405))</f>
        <v/>
      </c>
      <c r="D413" s="419" t="str">
        <f>IF(DataH!$Y405&lt;0, NA(), IF(ISERROR(DataH!$W405/DataH!$Y405), "", DataH!$W405/DataH!$Y405))</f>
        <v/>
      </c>
      <c r="E413" s="420" t="str">
        <f>IF(DataH!$Z405&lt;0, NA(), IF(ISERROR(DataH!$W405/DataH!$Z405), "", DataH!$W405/DataH!$Z405))</f>
        <v/>
      </c>
      <c r="G413" s="421" t="str">
        <f>IF(DataH!$AB405&lt;0, NA(), IF(ISERROR(DataH!$AA405/DataH!$AB405), "", DataH!$AA405/DataH!$AB405))</f>
        <v/>
      </c>
      <c r="H413" s="419" t="str">
        <f>IF(DataH!$AC405&lt;0, NA(), IF(ISERROR(DataH!$AA405/DataH!$AC405), "", DataH!$AA405/DataH!$AC405))</f>
        <v/>
      </c>
      <c r="I413" s="420" t="str">
        <f>IF(DataH!$AD405&lt;0, NA(), IF(ISERROR(DataH!$AA405/DataH!$AD405), "", DataH!$AA405/DataH!$AD405))</f>
        <v/>
      </c>
    </row>
    <row r="414" spans="2:9" ht="15" customHeight="1">
      <c r="B414" s="322" t="str">
        <f>IF(DataH!$V406="", "", DataH!$V406)</f>
        <v/>
      </c>
      <c r="C414" s="416" t="str">
        <f>IF(DataH!$X406&lt;0, NA(), IF(ISERROR(DataH!$W406/DataH!$X406), "", DataH!$W406/DataH!$X406))</f>
        <v/>
      </c>
      <c r="D414" s="416" t="str">
        <f>IF(DataH!$Y406&lt;0, NA(), IF(ISERROR(DataH!$W406/DataH!$Y406), "", DataH!$W406/DataH!$Y406))</f>
        <v/>
      </c>
      <c r="E414" s="417" t="str">
        <f>IF(DataH!$Z406&lt;0, NA(), IF(ISERROR(DataH!$W406/DataH!$Z406), "", DataH!$W406/DataH!$Z406))</f>
        <v/>
      </c>
      <c r="G414" s="418" t="str">
        <f>IF(DataH!$AB406&lt;0, NA(), IF(ISERROR(DataH!$AA406/DataH!$AB406), "", DataH!$AA406/DataH!$AB406))</f>
        <v/>
      </c>
      <c r="H414" s="416" t="str">
        <f>IF(DataH!$AC406&lt;0, NA(), IF(ISERROR(DataH!$AA406/DataH!$AC406), "", DataH!$AA406/DataH!$AC406))</f>
        <v/>
      </c>
      <c r="I414" s="417" t="str">
        <f>IF(DataH!$AD406&lt;0, NA(), IF(ISERROR(DataH!$AA406/DataH!$AD406), "", DataH!$AA406/DataH!$AD406))</f>
        <v/>
      </c>
    </row>
    <row r="415" spans="2:9" ht="15" customHeight="1">
      <c r="B415" s="318" t="str">
        <f>IF(DataH!$V407="", "", DataH!$V407)</f>
        <v/>
      </c>
      <c r="C415" s="419" t="str">
        <f>IF(DataH!$X407&lt;0, NA(), IF(ISERROR(DataH!$W407/DataH!$X407), "", DataH!$W407/DataH!$X407))</f>
        <v/>
      </c>
      <c r="D415" s="419" t="str">
        <f>IF(DataH!$Y407&lt;0, NA(), IF(ISERROR(DataH!$W407/DataH!$Y407), "", DataH!$W407/DataH!$Y407))</f>
        <v/>
      </c>
      <c r="E415" s="420" t="str">
        <f>IF(DataH!$Z407&lt;0, NA(), IF(ISERROR(DataH!$W407/DataH!$Z407), "", DataH!$W407/DataH!$Z407))</f>
        <v/>
      </c>
      <c r="G415" s="421" t="str">
        <f>IF(DataH!$AB407&lt;0, NA(), IF(ISERROR(DataH!$AA407/DataH!$AB407), "", DataH!$AA407/DataH!$AB407))</f>
        <v/>
      </c>
      <c r="H415" s="419" t="str">
        <f>IF(DataH!$AC407&lt;0, NA(), IF(ISERROR(DataH!$AA407/DataH!$AC407), "", DataH!$AA407/DataH!$AC407))</f>
        <v/>
      </c>
      <c r="I415" s="420" t="str">
        <f>IF(DataH!$AD407&lt;0, NA(), IF(ISERROR(DataH!$AA407/DataH!$AD407), "", DataH!$AA407/DataH!$AD407))</f>
        <v/>
      </c>
    </row>
    <row r="416" spans="2:9" ht="15" customHeight="1">
      <c r="B416" s="322" t="str">
        <f>IF(DataH!$V408="", "", DataH!$V408)</f>
        <v/>
      </c>
      <c r="C416" s="416" t="str">
        <f>IF(DataH!$X408&lt;0, NA(), IF(ISERROR(DataH!$W408/DataH!$X408), "", DataH!$W408/DataH!$X408))</f>
        <v/>
      </c>
      <c r="D416" s="416" t="str">
        <f>IF(DataH!$Y408&lt;0, NA(), IF(ISERROR(DataH!$W408/DataH!$Y408), "", DataH!$W408/DataH!$Y408))</f>
        <v/>
      </c>
      <c r="E416" s="417" t="str">
        <f>IF(DataH!$Z408&lt;0, NA(), IF(ISERROR(DataH!$W408/DataH!$Z408), "", DataH!$W408/DataH!$Z408))</f>
        <v/>
      </c>
      <c r="G416" s="418" t="str">
        <f>IF(DataH!$AB408&lt;0, NA(), IF(ISERROR(DataH!$AA408/DataH!$AB408), "", DataH!$AA408/DataH!$AB408))</f>
        <v/>
      </c>
      <c r="H416" s="416" t="str">
        <f>IF(DataH!$AC408&lt;0, NA(), IF(ISERROR(DataH!$AA408/DataH!$AC408), "", DataH!$AA408/DataH!$AC408))</f>
        <v/>
      </c>
      <c r="I416" s="417" t="str">
        <f>IF(DataH!$AD408&lt;0, NA(), IF(ISERROR(DataH!$AA408/DataH!$AD408), "", DataH!$AA408/DataH!$AD408))</f>
        <v/>
      </c>
    </row>
    <row r="417" spans="2:9" ht="15" customHeight="1">
      <c r="B417" s="318" t="str">
        <f>IF(DataH!$V409="", "", DataH!$V409)</f>
        <v/>
      </c>
      <c r="C417" s="419" t="str">
        <f>IF(DataH!$X409&lt;0, NA(), IF(ISERROR(DataH!$W409/DataH!$X409), "", DataH!$W409/DataH!$X409))</f>
        <v/>
      </c>
      <c r="D417" s="419" t="str">
        <f>IF(DataH!$Y409&lt;0, NA(), IF(ISERROR(DataH!$W409/DataH!$Y409), "", DataH!$W409/DataH!$Y409))</f>
        <v/>
      </c>
      <c r="E417" s="420" t="str">
        <f>IF(DataH!$Z409&lt;0, NA(), IF(ISERROR(DataH!$W409/DataH!$Z409), "", DataH!$W409/DataH!$Z409))</f>
        <v/>
      </c>
      <c r="G417" s="421" t="str">
        <f>IF(DataH!$AB409&lt;0, NA(), IF(ISERROR(DataH!$AA409/DataH!$AB409), "", DataH!$AA409/DataH!$AB409))</f>
        <v/>
      </c>
      <c r="H417" s="419" t="str">
        <f>IF(DataH!$AC409&lt;0, NA(), IF(ISERROR(DataH!$AA409/DataH!$AC409), "", DataH!$AA409/DataH!$AC409))</f>
        <v/>
      </c>
      <c r="I417" s="420" t="str">
        <f>IF(DataH!$AD409&lt;0, NA(), IF(ISERROR(DataH!$AA409/DataH!$AD409), "", DataH!$AA409/DataH!$AD409))</f>
        <v/>
      </c>
    </row>
    <row r="418" spans="2:9" ht="15" customHeight="1">
      <c r="B418" s="322" t="str">
        <f>IF(DataH!$V410="", "", DataH!$V410)</f>
        <v/>
      </c>
      <c r="C418" s="416" t="str">
        <f>IF(DataH!$X410&lt;0, NA(), IF(ISERROR(DataH!$W410/DataH!$X410), "", DataH!$W410/DataH!$X410))</f>
        <v/>
      </c>
      <c r="D418" s="416" t="str">
        <f>IF(DataH!$Y410&lt;0, NA(), IF(ISERROR(DataH!$W410/DataH!$Y410), "", DataH!$W410/DataH!$Y410))</f>
        <v/>
      </c>
      <c r="E418" s="417" t="str">
        <f>IF(DataH!$Z410&lt;0, NA(), IF(ISERROR(DataH!$W410/DataH!$Z410), "", DataH!$W410/DataH!$Z410))</f>
        <v/>
      </c>
      <c r="G418" s="418" t="str">
        <f>IF(DataH!$AB410&lt;0, NA(), IF(ISERROR(DataH!$AA410/DataH!$AB410), "", DataH!$AA410/DataH!$AB410))</f>
        <v/>
      </c>
      <c r="H418" s="416" t="str">
        <f>IF(DataH!$AC410&lt;0, NA(), IF(ISERROR(DataH!$AA410/DataH!$AC410), "", DataH!$AA410/DataH!$AC410))</f>
        <v/>
      </c>
      <c r="I418" s="417" t="str">
        <f>IF(DataH!$AD410&lt;0, NA(), IF(ISERROR(DataH!$AA410/DataH!$AD410), "", DataH!$AA410/DataH!$AD410))</f>
        <v/>
      </c>
    </row>
    <row r="419" spans="2:9" ht="15" customHeight="1">
      <c r="B419" s="318" t="str">
        <f>IF(DataH!$V411="", "", DataH!$V411)</f>
        <v/>
      </c>
      <c r="C419" s="419" t="str">
        <f>IF(DataH!$X411&lt;0, NA(), IF(ISERROR(DataH!$W411/DataH!$X411), "", DataH!$W411/DataH!$X411))</f>
        <v/>
      </c>
      <c r="D419" s="419" t="str">
        <f>IF(DataH!$Y411&lt;0, NA(), IF(ISERROR(DataH!$W411/DataH!$Y411), "", DataH!$W411/DataH!$Y411))</f>
        <v/>
      </c>
      <c r="E419" s="420" t="str">
        <f>IF(DataH!$Z411&lt;0, NA(), IF(ISERROR(DataH!$W411/DataH!$Z411), "", DataH!$W411/DataH!$Z411))</f>
        <v/>
      </c>
      <c r="G419" s="421" t="str">
        <f>IF(DataH!$AB411&lt;0, NA(), IF(ISERROR(DataH!$AA411/DataH!$AB411), "", DataH!$AA411/DataH!$AB411))</f>
        <v/>
      </c>
      <c r="H419" s="419" t="str">
        <f>IF(DataH!$AC411&lt;0, NA(), IF(ISERROR(DataH!$AA411/DataH!$AC411), "", DataH!$AA411/DataH!$AC411))</f>
        <v/>
      </c>
      <c r="I419" s="420" t="str">
        <f>IF(DataH!$AD411&lt;0, NA(), IF(ISERROR(DataH!$AA411/DataH!$AD411), "", DataH!$AA411/DataH!$AD411))</f>
        <v/>
      </c>
    </row>
    <row r="420" spans="2:9" ht="15" customHeight="1">
      <c r="B420" s="322" t="str">
        <f>IF(DataH!$V412="", "", DataH!$V412)</f>
        <v/>
      </c>
      <c r="C420" s="416" t="str">
        <f>IF(DataH!$X412&lt;0, NA(), IF(ISERROR(DataH!$W412/DataH!$X412), "", DataH!$W412/DataH!$X412))</f>
        <v/>
      </c>
      <c r="D420" s="416" t="str">
        <f>IF(DataH!$Y412&lt;0, NA(), IF(ISERROR(DataH!$W412/DataH!$Y412), "", DataH!$W412/DataH!$Y412))</f>
        <v/>
      </c>
      <c r="E420" s="417" t="str">
        <f>IF(DataH!$Z412&lt;0, NA(), IF(ISERROR(DataH!$W412/DataH!$Z412), "", DataH!$W412/DataH!$Z412))</f>
        <v/>
      </c>
      <c r="G420" s="418" t="str">
        <f>IF(DataH!$AB412&lt;0, NA(), IF(ISERROR(DataH!$AA412/DataH!$AB412), "", DataH!$AA412/DataH!$AB412))</f>
        <v/>
      </c>
      <c r="H420" s="416" t="str">
        <f>IF(DataH!$AC412&lt;0, NA(), IF(ISERROR(DataH!$AA412/DataH!$AC412), "", DataH!$AA412/DataH!$AC412))</f>
        <v/>
      </c>
      <c r="I420" s="417" t="str">
        <f>IF(DataH!$AD412&lt;0, NA(), IF(ISERROR(DataH!$AA412/DataH!$AD412), "", DataH!$AA412/DataH!$AD412))</f>
        <v/>
      </c>
    </row>
    <row r="421" spans="2:9" ht="15" customHeight="1">
      <c r="B421" s="318" t="str">
        <f>IF(DataH!$V413="", "", DataH!$V413)</f>
        <v/>
      </c>
      <c r="C421" s="419" t="str">
        <f>IF(DataH!$X413&lt;0, NA(), IF(ISERROR(DataH!$W413/DataH!$X413), "", DataH!$W413/DataH!$X413))</f>
        <v/>
      </c>
      <c r="D421" s="419" t="str">
        <f>IF(DataH!$Y413&lt;0, NA(), IF(ISERROR(DataH!$W413/DataH!$Y413), "", DataH!$W413/DataH!$Y413))</f>
        <v/>
      </c>
      <c r="E421" s="420" t="str">
        <f>IF(DataH!$Z413&lt;0, NA(), IF(ISERROR(DataH!$W413/DataH!$Z413), "", DataH!$W413/DataH!$Z413))</f>
        <v/>
      </c>
      <c r="G421" s="421" t="str">
        <f>IF(DataH!$AB413&lt;0, NA(), IF(ISERROR(DataH!$AA413/DataH!$AB413), "", DataH!$AA413/DataH!$AB413))</f>
        <v/>
      </c>
      <c r="H421" s="419" t="str">
        <f>IF(DataH!$AC413&lt;0, NA(), IF(ISERROR(DataH!$AA413/DataH!$AC413), "", DataH!$AA413/DataH!$AC413))</f>
        <v/>
      </c>
      <c r="I421" s="420" t="str">
        <f>IF(DataH!$AD413&lt;0, NA(), IF(ISERROR(DataH!$AA413/DataH!$AD413), "", DataH!$AA413/DataH!$AD413))</f>
        <v/>
      </c>
    </row>
    <row r="422" spans="2:9" ht="15" customHeight="1">
      <c r="B422" s="322" t="str">
        <f>IF(DataH!$V414="", "", DataH!$V414)</f>
        <v/>
      </c>
      <c r="C422" s="416" t="str">
        <f>IF(DataH!$X414&lt;0, NA(), IF(ISERROR(DataH!$W414/DataH!$X414), "", DataH!$W414/DataH!$X414))</f>
        <v/>
      </c>
      <c r="D422" s="416" t="str">
        <f>IF(DataH!$Y414&lt;0, NA(), IF(ISERROR(DataH!$W414/DataH!$Y414), "", DataH!$W414/DataH!$Y414))</f>
        <v/>
      </c>
      <c r="E422" s="417" t="str">
        <f>IF(DataH!$Z414&lt;0, NA(), IF(ISERROR(DataH!$W414/DataH!$Z414), "", DataH!$W414/DataH!$Z414))</f>
        <v/>
      </c>
      <c r="G422" s="418" t="str">
        <f>IF(DataH!$AB414&lt;0, NA(), IF(ISERROR(DataH!$AA414/DataH!$AB414), "", DataH!$AA414/DataH!$AB414))</f>
        <v/>
      </c>
      <c r="H422" s="416" t="str">
        <f>IF(DataH!$AC414&lt;0, NA(), IF(ISERROR(DataH!$AA414/DataH!$AC414), "", DataH!$AA414/DataH!$AC414))</f>
        <v/>
      </c>
      <c r="I422" s="417" t="str">
        <f>IF(DataH!$AD414&lt;0, NA(), IF(ISERROR(DataH!$AA414/DataH!$AD414), "", DataH!$AA414/DataH!$AD414))</f>
        <v/>
      </c>
    </row>
    <row r="423" spans="2:9" ht="15" customHeight="1">
      <c r="B423" s="318" t="str">
        <f>IF(DataH!$V415="", "", DataH!$V415)</f>
        <v/>
      </c>
      <c r="C423" s="419" t="str">
        <f>IF(DataH!$X415&lt;0, NA(), IF(ISERROR(DataH!$W415/DataH!$X415), "", DataH!$W415/DataH!$X415))</f>
        <v/>
      </c>
      <c r="D423" s="419" t="str">
        <f>IF(DataH!$Y415&lt;0, NA(), IF(ISERROR(DataH!$W415/DataH!$Y415), "", DataH!$W415/DataH!$Y415))</f>
        <v/>
      </c>
      <c r="E423" s="420" t="str">
        <f>IF(DataH!$Z415&lt;0, NA(), IF(ISERROR(DataH!$W415/DataH!$Z415), "", DataH!$W415/DataH!$Z415))</f>
        <v/>
      </c>
      <c r="G423" s="421" t="str">
        <f>IF(DataH!$AB415&lt;0, NA(), IF(ISERROR(DataH!$AA415/DataH!$AB415), "", DataH!$AA415/DataH!$AB415))</f>
        <v/>
      </c>
      <c r="H423" s="419" t="str">
        <f>IF(DataH!$AC415&lt;0, NA(), IF(ISERROR(DataH!$AA415/DataH!$AC415), "", DataH!$AA415/DataH!$AC415))</f>
        <v/>
      </c>
      <c r="I423" s="420" t="str">
        <f>IF(DataH!$AD415&lt;0, NA(), IF(ISERROR(DataH!$AA415/DataH!$AD415), "", DataH!$AA415/DataH!$AD415))</f>
        <v/>
      </c>
    </row>
    <row r="424" spans="2:9" ht="15" customHeight="1">
      <c r="B424" s="322" t="str">
        <f>IF(DataH!$V416="", "", DataH!$V416)</f>
        <v/>
      </c>
      <c r="C424" s="416" t="str">
        <f>IF(DataH!$X416&lt;0, NA(), IF(ISERROR(DataH!$W416/DataH!$X416), "", DataH!$W416/DataH!$X416))</f>
        <v/>
      </c>
      <c r="D424" s="416" t="str">
        <f>IF(DataH!$Y416&lt;0, NA(), IF(ISERROR(DataH!$W416/DataH!$Y416), "", DataH!$W416/DataH!$Y416))</f>
        <v/>
      </c>
      <c r="E424" s="417" t="str">
        <f>IF(DataH!$Z416&lt;0, NA(), IF(ISERROR(DataH!$W416/DataH!$Z416), "", DataH!$W416/DataH!$Z416))</f>
        <v/>
      </c>
      <c r="G424" s="418" t="str">
        <f>IF(DataH!$AB416&lt;0, NA(), IF(ISERROR(DataH!$AA416/DataH!$AB416), "", DataH!$AA416/DataH!$AB416))</f>
        <v/>
      </c>
      <c r="H424" s="416" t="str">
        <f>IF(DataH!$AC416&lt;0, NA(), IF(ISERROR(DataH!$AA416/DataH!$AC416), "", DataH!$AA416/DataH!$AC416))</f>
        <v/>
      </c>
      <c r="I424" s="417" t="str">
        <f>IF(DataH!$AD416&lt;0, NA(), IF(ISERROR(DataH!$AA416/DataH!$AD416), "", DataH!$AA416/DataH!$AD416))</f>
        <v/>
      </c>
    </row>
    <row r="425" spans="2:9" ht="15" customHeight="1">
      <c r="B425" s="318" t="str">
        <f>IF(DataH!$V417="", "", DataH!$V417)</f>
        <v/>
      </c>
      <c r="C425" s="419" t="str">
        <f>IF(DataH!$X417&lt;0, NA(), IF(ISERROR(DataH!$W417/DataH!$X417), "", DataH!$W417/DataH!$X417))</f>
        <v/>
      </c>
      <c r="D425" s="419" t="str">
        <f>IF(DataH!$Y417&lt;0, NA(), IF(ISERROR(DataH!$W417/DataH!$Y417), "", DataH!$W417/DataH!$Y417))</f>
        <v/>
      </c>
      <c r="E425" s="420" t="str">
        <f>IF(DataH!$Z417&lt;0, NA(), IF(ISERROR(DataH!$W417/DataH!$Z417), "", DataH!$W417/DataH!$Z417))</f>
        <v/>
      </c>
      <c r="G425" s="421" t="str">
        <f>IF(DataH!$AB417&lt;0, NA(), IF(ISERROR(DataH!$AA417/DataH!$AB417), "", DataH!$AA417/DataH!$AB417))</f>
        <v/>
      </c>
      <c r="H425" s="419" t="str">
        <f>IF(DataH!$AC417&lt;0, NA(), IF(ISERROR(DataH!$AA417/DataH!$AC417), "", DataH!$AA417/DataH!$AC417))</f>
        <v/>
      </c>
      <c r="I425" s="420" t="str">
        <f>IF(DataH!$AD417&lt;0, NA(), IF(ISERROR(DataH!$AA417/DataH!$AD417), "", DataH!$AA417/DataH!$AD417))</f>
        <v/>
      </c>
    </row>
    <row r="426" spans="2:9" ht="15" customHeight="1">
      <c r="B426" s="322" t="str">
        <f>IF(DataH!$V418="", "", DataH!$V418)</f>
        <v/>
      </c>
      <c r="C426" s="416" t="str">
        <f>IF(DataH!$X418&lt;0, NA(), IF(ISERROR(DataH!$W418/DataH!$X418), "", DataH!$W418/DataH!$X418))</f>
        <v/>
      </c>
      <c r="D426" s="416" t="str">
        <f>IF(DataH!$Y418&lt;0, NA(), IF(ISERROR(DataH!$W418/DataH!$Y418), "", DataH!$W418/DataH!$Y418))</f>
        <v/>
      </c>
      <c r="E426" s="417" t="str">
        <f>IF(DataH!$Z418&lt;0, NA(), IF(ISERROR(DataH!$W418/DataH!$Z418), "", DataH!$W418/DataH!$Z418))</f>
        <v/>
      </c>
      <c r="G426" s="418" t="str">
        <f>IF(DataH!$AB418&lt;0, NA(), IF(ISERROR(DataH!$AA418/DataH!$AB418), "", DataH!$AA418/DataH!$AB418))</f>
        <v/>
      </c>
      <c r="H426" s="416" t="str">
        <f>IF(DataH!$AC418&lt;0, NA(), IF(ISERROR(DataH!$AA418/DataH!$AC418), "", DataH!$AA418/DataH!$AC418))</f>
        <v/>
      </c>
      <c r="I426" s="417" t="str">
        <f>IF(DataH!$AD418&lt;0, NA(), IF(ISERROR(DataH!$AA418/DataH!$AD418), "", DataH!$AA418/DataH!$AD418))</f>
        <v/>
      </c>
    </row>
    <row r="427" spans="2:9" ht="15" customHeight="1">
      <c r="B427" s="318" t="str">
        <f>IF(DataH!$V419="", "", DataH!$V419)</f>
        <v/>
      </c>
      <c r="C427" s="419" t="str">
        <f>IF(DataH!$X419&lt;0, NA(), IF(ISERROR(DataH!$W419/DataH!$X419), "", DataH!$W419/DataH!$X419))</f>
        <v/>
      </c>
      <c r="D427" s="419" t="str">
        <f>IF(DataH!$Y419&lt;0, NA(), IF(ISERROR(DataH!$W419/DataH!$Y419), "", DataH!$W419/DataH!$Y419))</f>
        <v/>
      </c>
      <c r="E427" s="420" t="str">
        <f>IF(DataH!$Z419&lt;0, NA(), IF(ISERROR(DataH!$W419/DataH!$Z419), "", DataH!$W419/DataH!$Z419))</f>
        <v/>
      </c>
      <c r="G427" s="421" t="str">
        <f>IF(DataH!$AB419&lt;0, NA(), IF(ISERROR(DataH!$AA419/DataH!$AB419), "", DataH!$AA419/DataH!$AB419))</f>
        <v/>
      </c>
      <c r="H427" s="419" t="str">
        <f>IF(DataH!$AC419&lt;0, NA(), IF(ISERROR(DataH!$AA419/DataH!$AC419), "", DataH!$AA419/DataH!$AC419))</f>
        <v/>
      </c>
      <c r="I427" s="420" t="str">
        <f>IF(DataH!$AD419&lt;0, NA(), IF(ISERROR(DataH!$AA419/DataH!$AD419), "", DataH!$AA419/DataH!$AD419))</f>
        <v/>
      </c>
    </row>
    <row r="428" spans="2:9" ht="15" customHeight="1">
      <c r="B428" s="322" t="str">
        <f>IF(DataH!$V420="", "", DataH!$V420)</f>
        <v/>
      </c>
      <c r="C428" s="416" t="str">
        <f>IF(DataH!$X420&lt;0, NA(), IF(ISERROR(DataH!$W420/DataH!$X420), "", DataH!$W420/DataH!$X420))</f>
        <v/>
      </c>
      <c r="D428" s="416" t="str">
        <f>IF(DataH!$Y420&lt;0, NA(), IF(ISERROR(DataH!$W420/DataH!$Y420), "", DataH!$W420/DataH!$Y420))</f>
        <v/>
      </c>
      <c r="E428" s="417" t="str">
        <f>IF(DataH!$Z420&lt;0, NA(), IF(ISERROR(DataH!$W420/DataH!$Z420), "", DataH!$W420/DataH!$Z420))</f>
        <v/>
      </c>
      <c r="G428" s="418" t="str">
        <f>IF(DataH!$AB420&lt;0, NA(), IF(ISERROR(DataH!$AA420/DataH!$AB420), "", DataH!$AA420/DataH!$AB420))</f>
        <v/>
      </c>
      <c r="H428" s="416" t="str">
        <f>IF(DataH!$AC420&lt;0, NA(), IF(ISERROR(DataH!$AA420/DataH!$AC420), "", DataH!$AA420/DataH!$AC420))</f>
        <v/>
      </c>
      <c r="I428" s="417" t="str">
        <f>IF(DataH!$AD420&lt;0, NA(), IF(ISERROR(DataH!$AA420/DataH!$AD420), "", DataH!$AA420/DataH!$AD420))</f>
        <v/>
      </c>
    </row>
    <row r="429" spans="2:9" ht="15" customHeight="1">
      <c r="B429" s="318" t="str">
        <f>IF(DataH!$V421="", "", DataH!$V421)</f>
        <v/>
      </c>
      <c r="C429" s="419" t="str">
        <f>IF(DataH!$X421&lt;0, NA(), IF(ISERROR(DataH!$W421/DataH!$X421), "", DataH!$W421/DataH!$X421))</f>
        <v/>
      </c>
      <c r="D429" s="419" t="str">
        <f>IF(DataH!$Y421&lt;0, NA(), IF(ISERROR(DataH!$W421/DataH!$Y421), "", DataH!$W421/DataH!$Y421))</f>
        <v/>
      </c>
      <c r="E429" s="420" t="str">
        <f>IF(DataH!$Z421&lt;0, NA(), IF(ISERROR(DataH!$W421/DataH!$Z421), "", DataH!$W421/DataH!$Z421))</f>
        <v/>
      </c>
      <c r="G429" s="421" t="str">
        <f>IF(DataH!$AB421&lt;0, NA(), IF(ISERROR(DataH!$AA421/DataH!$AB421), "", DataH!$AA421/DataH!$AB421))</f>
        <v/>
      </c>
      <c r="H429" s="419" t="str">
        <f>IF(DataH!$AC421&lt;0, NA(), IF(ISERROR(DataH!$AA421/DataH!$AC421), "", DataH!$AA421/DataH!$AC421))</f>
        <v/>
      </c>
      <c r="I429" s="420" t="str">
        <f>IF(DataH!$AD421&lt;0, NA(), IF(ISERROR(DataH!$AA421/DataH!$AD421), "", DataH!$AA421/DataH!$AD421))</f>
        <v/>
      </c>
    </row>
    <row r="430" spans="2:9" ht="15" customHeight="1">
      <c r="B430" s="322" t="str">
        <f>IF(DataH!$V422="", "", DataH!$V422)</f>
        <v/>
      </c>
      <c r="C430" s="416" t="str">
        <f>IF(DataH!$X422&lt;0, NA(), IF(ISERROR(DataH!$W422/DataH!$X422), "", DataH!$W422/DataH!$X422))</f>
        <v/>
      </c>
      <c r="D430" s="416" t="str">
        <f>IF(DataH!$Y422&lt;0, NA(), IF(ISERROR(DataH!$W422/DataH!$Y422), "", DataH!$W422/DataH!$Y422))</f>
        <v/>
      </c>
      <c r="E430" s="417" t="str">
        <f>IF(DataH!$Z422&lt;0, NA(), IF(ISERROR(DataH!$W422/DataH!$Z422), "", DataH!$W422/DataH!$Z422))</f>
        <v/>
      </c>
      <c r="G430" s="418" t="str">
        <f>IF(DataH!$AB422&lt;0, NA(), IF(ISERROR(DataH!$AA422/DataH!$AB422), "", DataH!$AA422/DataH!$AB422))</f>
        <v/>
      </c>
      <c r="H430" s="416" t="str">
        <f>IF(DataH!$AC422&lt;0, NA(), IF(ISERROR(DataH!$AA422/DataH!$AC422), "", DataH!$AA422/DataH!$AC422))</f>
        <v/>
      </c>
      <c r="I430" s="417" t="str">
        <f>IF(DataH!$AD422&lt;0, NA(), IF(ISERROR(DataH!$AA422/DataH!$AD422), "", DataH!$AA422/DataH!$AD422))</f>
        <v/>
      </c>
    </row>
    <row r="431" spans="2:9" ht="15" customHeight="1">
      <c r="B431" s="318" t="str">
        <f>IF(DataH!$V423="", "", DataH!$V423)</f>
        <v/>
      </c>
      <c r="C431" s="419" t="str">
        <f>IF(DataH!$X423&lt;0, NA(), IF(ISERROR(DataH!$W423/DataH!$X423), "", DataH!$W423/DataH!$X423))</f>
        <v/>
      </c>
      <c r="D431" s="419" t="str">
        <f>IF(DataH!$Y423&lt;0, NA(), IF(ISERROR(DataH!$W423/DataH!$Y423), "", DataH!$W423/DataH!$Y423))</f>
        <v/>
      </c>
      <c r="E431" s="420" t="str">
        <f>IF(DataH!$Z423&lt;0, NA(), IF(ISERROR(DataH!$W423/DataH!$Z423), "", DataH!$W423/DataH!$Z423))</f>
        <v/>
      </c>
      <c r="G431" s="421" t="str">
        <f>IF(DataH!$AB423&lt;0, NA(), IF(ISERROR(DataH!$AA423/DataH!$AB423), "", DataH!$AA423/DataH!$AB423))</f>
        <v/>
      </c>
      <c r="H431" s="419" t="str">
        <f>IF(DataH!$AC423&lt;0, NA(), IF(ISERROR(DataH!$AA423/DataH!$AC423), "", DataH!$AA423/DataH!$AC423))</f>
        <v/>
      </c>
      <c r="I431" s="420" t="str">
        <f>IF(DataH!$AD423&lt;0, NA(), IF(ISERROR(DataH!$AA423/DataH!$AD423), "", DataH!$AA423/DataH!$AD423))</f>
        <v/>
      </c>
    </row>
    <row r="432" spans="2:9" ht="15" customHeight="1">
      <c r="B432" s="322" t="str">
        <f>IF(DataH!$V424="", "", DataH!$V424)</f>
        <v/>
      </c>
      <c r="C432" s="416" t="str">
        <f>IF(DataH!$X424&lt;0, NA(), IF(ISERROR(DataH!$W424/DataH!$X424), "", DataH!$W424/DataH!$X424))</f>
        <v/>
      </c>
      <c r="D432" s="416" t="str">
        <f>IF(DataH!$Y424&lt;0, NA(), IF(ISERROR(DataH!$W424/DataH!$Y424), "", DataH!$W424/DataH!$Y424))</f>
        <v/>
      </c>
      <c r="E432" s="417" t="str">
        <f>IF(DataH!$Z424&lt;0, NA(), IF(ISERROR(DataH!$W424/DataH!$Z424), "", DataH!$W424/DataH!$Z424))</f>
        <v/>
      </c>
      <c r="G432" s="418" t="str">
        <f>IF(DataH!$AB424&lt;0, NA(), IF(ISERROR(DataH!$AA424/DataH!$AB424), "", DataH!$AA424/DataH!$AB424))</f>
        <v/>
      </c>
      <c r="H432" s="416" t="str">
        <f>IF(DataH!$AC424&lt;0, NA(), IF(ISERROR(DataH!$AA424/DataH!$AC424), "", DataH!$AA424/DataH!$AC424))</f>
        <v/>
      </c>
      <c r="I432" s="417" t="str">
        <f>IF(DataH!$AD424&lt;0, NA(), IF(ISERROR(DataH!$AA424/DataH!$AD424), "", DataH!$AA424/DataH!$AD424))</f>
        <v/>
      </c>
    </row>
    <row r="433" spans="2:9" ht="15" customHeight="1">
      <c r="B433" s="318" t="str">
        <f>IF(DataH!$V425="", "", DataH!$V425)</f>
        <v/>
      </c>
      <c r="C433" s="419" t="str">
        <f>IF(DataH!$X425&lt;0, NA(), IF(ISERROR(DataH!$W425/DataH!$X425), "", DataH!$W425/DataH!$X425))</f>
        <v/>
      </c>
      <c r="D433" s="419" t="str">
        <f>IF(DataH!$Y425&lt;0, NA(), IF(ISERROR(DataH!$W425/DataH!$Y425), "", DataH!$W425/DataH!$Y425))</f>
        <v/>
      </c>
      <c r="E433" s="420" t="str">
        <f>IF(DataH!$Z425&lt;0, NA(), IF(ISERROR(DataH!$W425/DataH!$Z425), "", DataH!$W425/DataH!$Z425))</f>
        <v/>
      </c>
      <c r="G433" s="421" t="str">
        <f>IF(DataH!$AB425&lt;0, NA(), IF(ISERROR(DataH!$AA425/DataH!$AB425), "", DataH!$AA425/DataH!$AB425))</f>
        <v/>
      </c>
      <c r="H433" s="419" t="str">
        <f>IF(DataH!$AC425&lt;0, NA(), IF(ISERROR(DataH!$AA425/DataH!$AC425), "", DataH!$AA425/DataH!$AC425))</f>
        <v/>
      </c>
      <c r="I433" s="420" t="str">
        <f>IF(DataH!$AD425&lt;0, NA(), IF(ISERROR(DataH!$AA425/DataH!$AD425), "", DataH!$AA425/DataH!$AD425))</f>
        <v/>
      </c>
    </row>
    <row r="434" spans="2:9" ht="15" customHeight="1">
      <c r="B434" s="322" t="str">
        <f>IF(DataH!$V426="", "", DataH!$V426)</f>
        <v/>
      </c>
      <c r="C434" s="416" t="str">
        <f>IF(DataH!$X426&lt;0, NA(), IF(ISERROR(DataH!$W426/DataH!$X426), "", DataH!$W426/DataH!$X426))</f>
        <v/>
      </c>
      <c r="D434" s="416" t="str">
        <f>IF(DataH!$Y426&lt;0, NA(), IF(ISERROR(DataH!$W426/DataH!$Y426), "", DataH!$W426/DataH!$Y426))</f>
        <v/>
      </c>
      <c r="E434" s="417" t="str">
        <f>IF(DataH!$Z426&lt;0, NA(), IF(ISERROR(DataH!$W426/DataH!$Z426), "", DataH!$W426/DataH!$Z426))</f>
        <v/>
      </c>
      <c r="G434" s="418" t="str">
        <f>IF(DataH!$AB426&lt;0, NA(), IF(ISERROR(DataH!$AA426/DataH!$AB426), "", DataH!$AA426/DataH!$AB426))</f>
        <v/>
      </c>
      <c r="H434" s="416" t="str">
        <f>IF(DataH!$AC426&lt;0, NA(), IF(ISERROR(DataH!$AA426/DataH!$AC426), "", DataH!$AA426/DataH!$AC426))</f>
        <v/>
      </c>
      <c r="I434" s="417" t="str">
        <f>IF(DataH!$AD426&lt;0, NA(), IF(ISERROR(DataH!$AA426/DataH!$AD426), "", DataH!$AA426/DataH!$AD426))</f>
        <v/>
      </c>
    </row>
    <row r="435" spans="2:9" ht="15" customHeight="1">
      <c r="B435" s="318" t="str">
        <f>IF(DataH!$V427="", "", DataH!$V427)</f>
        <v/>
      </c>
      <c r="C435" s="419" t="str">
        <f>IF(DataH!$X427&lt;0, NA(), IF(ISERROR(DataH!$W427/DataH!$X427), "", DataH!$W427/DataH!$X427))</f>
        <v/>
      </c>
      <c r="D435" s="419" t="str">
        <f>IF(DataH!$Y427&lt;0, NA(), IF(ISERROR(DataH!$W427/DataH!$Y427), "", DataH!$W427/DataH!$Y427))</f>
        <v/>
      </c>
      <c r="E435" s="420" t="str">
        <f>IF(DataH!$Z427&lt;0, NA(), IF(ISERROR(DataH!$W427/DataH!$Z427), "", DataH!$W427/DataH!$Z427))</f>
        <v/>
      </c>
      <c r="G435" s="421" t="str">
        <f>IF(DataH!$AB427&lt;0, NA(), IF(ISERROR(DataH!$AA427/DataH!$AB427), "", DataH!$AA427/DataH!$AB427))</f>
        <v/>
      </c>
      <c r="H435" s="419" t="str">
        <f>IF(DataH!$AC427&lt;0, NA(), IF(ISERROR(DataH!$AA427/DataH!$AC427), "", DataH!$AA427/DataH!$AC427))</f>
        <v/>
      </c>
      <c r="I435" s="420" t="str">
        <f>IF(DataH!$AD427&lt;0, NA(), IF(ISERROR(DataH!$AA427/DataH!$AD427), "", DataH!$AA427/DataH!$AD427))</f>
        <v/>
      </c>
    </row>
    <row r="436" spans="2:9" ht="15" customHeight="1">
      <c r="B436" s="322" t="str">
        <f>IF(DataH!$V428="", "", DataH!$V428)</f>
        <v/>
      </c>
      <c r="C436" s="416" t="str">
        <f>IF(DataH!$X428&lt;0, NA(), IF(ISERROR(DataH!$W428/DataH!$X428), "", DataH!$W428/DataH!$X428))</f>
        <v/>
      </c>
      <c r="D436" s="416" t="str">
        <f>IF(DataH!$Y428&lt;0, NA(), IF(ISERROR(DataH!$W428/DataH!$Y428), "", DataH!$W428/DataH!$Y428))</f>
        <v/>
      </c>
      <c r="E436" s="417" t="str">
        <f>IF(DataH!$Z428&lt;0, NA(), IF(ISERROR(DataH!$W428/DataH!$Z428), "", DataH!$W428/DataH!$Z428))</f>
        <v/>
      </c>
      <c r="G436" s="418" t="str">
        <f>IF(DataH!$AB428&lt;0, NA(), IF(ISERROR(DataH!$AA428/DataH!$AB428), "", DataH!$AA428/DataH!$AB428))</f>
        <v/>
      </c>
      <c r="H436" s="416" t="str">
        <f>IF(DataH!$AC428&lt;0, NA(), IF(ISERROR(DataH!$AA428/DataH!$AC428), "", DataH!$AA428/DataH!$AC428))</f>
        <v/>
      </c>
      <c r="I436" s="417" t="str">
        <f>IF(DataH!$AD428&lt;0, NA(), IF(ISERROR(DataH!$AA428/DataH!$AD428), "", DataH!$AA428/DataH!$AD428))</f>
        <v/>
      </c>
    </row>
    <row r="437" spans="2:9" ht="15" customHeight="1">
      <c r="B437" s="318" t="str">
        <f>IF(DataH!$V429="", "", DataH!$V429)</f>
        <v/>
      </c>
      <c r="C437" s="419" t="str">
        <f>IF(DataH!$X429&lt;0, NA(), IF(ISERROR(DataH!$W429/DataH!$X429), "", DataH!$W429/DataH!$X429))</f>
        <v/>
      </c>
      <c r="D437" s="419" t="str">
        <f>IF(DataH!$Y429&lt;0, NA(), IF(ISERROR(DataH!$W429/DataH!$Y429), "", DataH!$W429/DataH!$Y429))</f>
        <v/>
      </c>
      <c r="E437" s="420" t="str">
        <f>IF(DataH!$Z429&lt;0, NA(), IF(ISERROR(DataH!$W429/DataH!$Z429), "", DataH!$W429/DataH!$Z429))</f>
        <v/>
      </c>
      <c r="G437" s="421" t="str">
        <f>IF(DataH!$AB429&lt;0, NA(), IF(ISERROR(DataH!$AA429/DataH!$AB429), "", DataH!$AA429/DataH!$AB429))</f>
        <v/>
      </c>
      <c r="H437" s="419" t="str">
        <f>IF(DataH!$AC429&lt;0, NA(), IF(ISERROR(DataH!$AA429/DataH!$AC429), "", DataH!$AA429/DataH!$AC429))</f>
        <v/>
      </c>
      <c r="I437" s="420" t="str">
        <f>IF(DataH!$AD429&lt;0, NA(), IF(ISERROR(DataH!$AA429/DataH!$AD429), "", DataH!$AA429/DataH!$AD429))</f>
        <v/>
      </c>
    </row>
    <row r="438" spans="2:9" ht="15" customHeight="1">
      <c r="B438" s="322" t="str">
        <f>IF(DataH!$V430="", "", DataH!$V430)</f>
        <v/>
      </c>
      <c r="C438" s="416" t="str">
        <f>IF(DataH!$X430&lt;0, NA(), IF(ISERROR(DataH!$W430/DataH!$X430), "", DataH!$W430/DataH!$X430))</f>
        <v/>
      </c>
      <c r="D438" s="416" t="str">
        <f>IF(DataH!$Y430&lt;0, NA(), IF(ISERROR(DataH!$W430/DataH!$Y430), "", DataH!$W430/DataH!$Y430))</f>
        <v/>
      </c>
      <c r="E438" s="417" t="str">
        <f>IF(DataH!$Z430&lt;0, NA(), IF(ISERROR(DataH!$W430/DataH!$Z430), "", DataH!$W430/DataH!$Z430))</f>
        <v/>
      </c>
      <c r="G438" s="418" t="str">
        <f>IF(DataH!$AB430&lt;0, NA(), IF(ISERROR(DataH!$AA430/DataH!$AB430), "", DataH!$AA430/DataH!$AB430))</f>
        <v/>
      </c>
      <c r="H438" s="416" t="str">
        <f>IF(DataH!$AC430&lt;0, NA(), IF(ISERROR(DataH!$AA430/DataH!$AC430), "", DataH!$AA430/DataH!$AC430))</f>
        <v/>
      </c>
      <c r="I438" s="417" t="str">
        <f>IF(DataH!$AD430&lt;0, NA(), IF(ISERROR(DataH!$AA430/DataH!$AD430), "", DataH!$AA430/DataH!$AD430))</f>
        <v/>
      </c>
    </row>
    <row r="439" spans="2:9" ht="15" customHeight="1">
      <c r="B439" s="318" t="str">
        <f>IF(DataH!$V431="", "", DataH!$V431)</f>
        <v/>
      </c>
      <c r="C439" s="419" t="str">
        <f>IF(DataH!$X431&lt;0, NA(), IF(ISERROR(DataH!$W431/DataH!$X431), "", DataH!$W431/DataH!$X431))</f>
        <v/>
      </c>
      <c r="D439" s="419" t="str">
        <f>IF(DataH!$Y431&lt;0, NA(), IF(ISERROR(DataH!$W431/DataH!$Y431), "", DataH!$W431/DataH!$Y431))</f>
        <v/>
      </c>
      <c r="E439" s="420" t="str">
        <f>IF(DataH!$Z431&lt;0, NA(), IF(ISERROR(DataH!$W431/DataH!$Z431), "", DataH!$W431/DataH!$Z431))</f>
        <v/>
      </c>
      <c r="G439" s="421" t="str">
        <f>IF(DataH!$AB431&lt;0, NA(), IF(ISERROR(DataH!$AA431/DataH!$AB431), "", DataH!$AA431/DataH!$AB431))</f>
        <v/>
      </c>
      <c r="H439" s="419" t="str">
        <f>IF(DataH!$AC431&lt;0, NA(), IF(ISERROR(DataH!$AA431/DataH!$AC431), "", DataH!$AA431/DataH!$AC431))</f>
        <v/>
      </c>
      <c r="I439" s="420" t="str">
        <f>IF(DataH!$AD431&lt;0, NA(), IF(ISERROR(DataH!$AA431/DataH!$AD431), "", DataH!$AA431/DataH!$AD431))</f>
        <v/>
      </c>
    </row>
    <row r="440" spans="2:9" ht="15" customHeight="1">
      <c r="B440" s="322" t="str">
        <f>IF(DataH!$V432="", "", DataH!$V432)</f>
        <v/>
      </c>
      <c r="C440" s="416" t="str">
        <f>IF(DataH!$X432&lt;0, NA(), IF(ISERROR(DataH!$W432/DataH!$X432), "", DataH!$W432/DataH!$X432))</f>
        <v/>
      </c>
      <c r="D440" s="416" t="str">
        <f>IF(DataH!$Y432&lt;0, NA(), IF(ISERROR(DataH!$W432/DataH!$Y432), "", DataH!$W432/DataH!$Y432))</f>
        <v/>
      </c>
      <c r="E440" s="417" t="str">
        <f>IF(DataH!$Z432&lt;0, NA(), IF(ISERROR(DataH!$W432/DataH!$Z432), "", DataH!$W432/DataH!$Z432))</f>
        <v/>
      </c>
      <c r="G440" s="418" t="str">
        <f>IF(DataH!$AB432&lt;0, NA(), IF(ISERROR(DataH!$AA432/DataH!$AB432), "", DataH!$AA432/DataH!$AB432))</f>
        <v/>
      </c>
      <c r="H440" s="416" t="str">
        <f>IF(DataH!$AC432&lt;0, NA(), IF(ISERROR(DataH!$AA432/DataH!$AC432), "", DataH!$AA432/DataH!$AC432))</f>
        <v/>
      </c>
      <c r="I440" s="417" t="str">
        <f>IF(DataH!$AD432&lt;0, NA(), IF(ISERROR(DataH!$AA432/DataH!$AD432), "", DataH!$AA432/DataH!$AD432))</f>
        <v/>
      </c>
    </row>
    <row r="441" spans="2:9" ht="15" customHeight="1">
      <c r="B441" s="318" t="str">
        <f>IF(DataH!$V433="", "", DataH!$V433)</f>
        <v/>
      </c>
      <c r="C441" s="419" t="str">
        <f>IF(DataH!$X433&lt;0, NA(), IF(ISERROR(DataH!$W433/DataH!$X433), "", DataH!$W433/DataH!$X433))</f>
        <v/>
      </c>
      <c r="D441" s="419" t="str">
        <f>IF(DataH!$Y433&lt;0, NA(), IF(ISERROR(DataH!$W433/DataH!$Y433), "", DataH!$W433/DataH!$Y433))</f>
        <v/>
      </c>
      <c r="E441" s="420" t="str">
        <f>IF(DataH!$Z433&lt;0, NA(), IF(ISERROR(DataH!$W433/DataH!$Z433), "", DataH!$W433/DataH!$Z433))</f>
        <v/>
      </c>
      <c r="G441" s="421" t="str">
        <f>IF(DataH!$AB433&lt;0, NA(), IF(ISERROR(DataH!$AA433/DataH!$AB433), "", DataH!$AA433/DataH!$AB433))</f>
        <v/>
      </c>
      <c r="H441" s="419" t="str">
        <f>IF(DataH!$AC433&lt;0, NA(), IF(ISERROR(DataH!$AA433/DataH!$AC433), "", DataH!$AA433/DataH!$AC433))</f>
        <v/>
      </c>
      <c r="I441" s="420" t="str">
        <f>IF(DataH!$AD433&lt;0, NA(), IF(ISERROR(DataH!$AA433/DataH!$AD433), "", DataH!$AA433/DataH!$AD433))</f>
        <v/>
      </c>
    </row>
    <row r="442" spans="2:9" ht="15" customHeight="1">
      <c r="B442" s="322" t="str">
        <f>IF(DataH!$V434="", "", DataH!$V434)</f>
        <v/>
      </c>
      <c r="C442" s="416" t="str">
        <f>IF(DataH!$X434&lt;0, NA(), IF(ISERROR(DataH!$W434/DataH!$X434), "", DataH!$W434/DataH!$X434))</f>
        <v/>
      </c>
      <c r="D442" s="416" t="str">
        <f>IF(DataH!$Y434&lt;0, NA(), IF(ISERROR(DataH!$W434/DataH!$Y434), "", DataH!$W434/DataH!$Y434))</f>
        <v/>
      </c>
      <c r="E442" s="417" t="str">
        <f>IF(DataH!$Z434&lt;0, NA(), IF(ISERROR(DataH!$W434/DataH!$Z434), "", DataH!$W434/DataH!$Z434))</f>
        <v/>
      </c>
      <c r="G442" s="418" t="str">
        <f>IF(DataH!$AB434&lt;0, NA(), IF(ISERROR(DataH!$AA434/DataH!$AB434), "", DataH!$AA434/DataH!$AB434))</f>
        <v/>
      </c>
      <c r="H442" s="416" t="str">
        <f>IF(DataH!$AC434&lt;0, NA(), IF(ISERROR(DataH!$AA434/DataH!$AC434), "", DataH!$AA434/DataH!$AC434))</f>
        <v/>
      </c>
      <c r="I442" s="417" t="str">
        <f>IF(DataH!$AD434&lt;0, NA(), IF(ISERROR(DataH!$AA434/DataH!$AD434), "", DataH!$AA434/DataH!$AD434))</f>
        <v/>
      </c>
    </row>
    <row r="443" spans="2:9" ht="15" customHeight="1">
      <c r="B443" s="318" t="str">
        <f>IF(DataH!$V435="", "", DataH!$V435)</f>
        <v/>
      </c>
      <c r="C443" s="419" t="str">
        <f>IF(DataH!$X435&lt;0, NA(), IF(ISERROR(DataH!$W435/DataH!$X435), "", DataH!$W435/DataH!$X435))</f>
        <v/>
      </c>
      <c r="D443" s="419" t="str">
        <f>IF(DataH!$Y435&lt;0, NA(), IF(ISERROR(DataH!$W435/DataH!$Y435), "", DataH!$W435/DataH!$Y435))</f>
        <v/>
      </c>
      <c r="E443" s="420" t="str">
        <f>IF(DataH!$Z435&lt;0, NA(), IF(ISERROR(DataH!$W435/DataH!$Z435), "", DataH!$W435/DataH!$Z435))</f>
        <v/>
      </c>
      <c r="G443" s="421" t="str">
        <f>IF(DataH!$AB435&lt;0, NA(), IF(ISERROR(DataH!$AA435/DataH!$AB435), "", DataH!$AA435/DataH!$AB435))</f>
        <v/>
      </c>
      <c r="H443" s="419" t="str">
        <f>IF(DataH!$AC435&lt;0, NA(), IF(ISERROR(DataH!$AA435/DataH!$AC435), "", DataH!$AA435/DataH!$AC435))</f>
        <v/>
      </c>
      <c r="I443" s="420" t="str">
        <f>IF(DataH!$AD435&lt;0, NA(), IF(ISERROR(DataH!$AA435/DataH!$AD435), "", DataH!$AA435/DataH!$AD435))</f>
        <v/>
      </c>
    </row>
    <row r="444" spans="2:9" ht="15" customHeight="1">
      <c r="B444" s="322" t="str">
        <f>IF(DataH!$V436="", "", DataH!$V436)</f>
        <v/>
      </c>
      <c r="C444" s="416" t="str">
        <f>IF(DataH!$X436&lt;0, NA(), IF(ISERROR(DataH!$W436/DataH!$X436), "", DataH!$W436/DataH!$X436))</f>
        <v/>
      </c>
      <c r="D444" s="416" t="str">
        <f>IF(DataH!$Y436&lt;0, NA(), IF(ISERROR(DataH!$W436/DataH!$Y436), "", DataH!$W436/DataH!$Y436))</f>
        <v/>
      </c>
      <c r="E444" s="417" t="str">
        <f>IF(DataH!$Z436&lt;0, NA(), IF(ISERROR(DataH!$W436/DataH!$Z436), "", DataH!$W436/DataH!$Z436))</f>
        <v/>
      </c>
      <c r="G444" s="418" t="str">
        <f>IF(DataH!$AB436&lt;0, NA(), IF(ISERROR(DataH!$AA436/DataH!$AB436), "", DataH!$AA436/DataH!$AB436))</f>
        <v/>
      </c>
      <c r="H444" s="416" t="str">
        <f>IF(DataH!$AC436&lt;0, NA(), IF(ISERROR(DataH!$AA436/DataH!$AC436), "", DataH!$AA436/DataH!$AC436))</f>
        <v/>
      </c>
      <c r="I444" s="417" t="str">
        <f>IF(DataH!$AD436&lt;0, NA(), IF(ISERROR(DataH!$AA436/DataH!$AD436), "", DataH!$AA436/DataH!$AD436))</f>
        <v/>
      </c>
    </row>
    <row r="445" spans="2:9" ht="15" customHeight="1">
      <c r="B445" s="318" t="str">
        <f>IF(DataH!$V437="", "", DataH!$V437)</f>
        <v/>
      </c>
      <c r="C445" s="419" t="str">
        <f>IF(DataH!$X437&lt;0, NA(), IF(ISERROR(DataH!$W437/DataH!$X437), "", DataH!$W437/DataH!$X437))</f>
        <v/>
      </c>
      <c r="D445" s="419" t="str">
        <f>IF(DataH!$Y437&lt;0, NA(), IF(ISERROR(DataH!$W437/DataH!$Y437), "", DataH!$W437/DataH!$Y437))</f>
        <v/>
      </c>
      <c r="E445" s="420" t="str">
        <f>IF(DataH!$Z437&lt;0, NA(), IF(ISERROR(DataH!$W437/DataH!$Z437), "", DataH!$W437/DataH!$Z437))</f>
        <v/>
      </c>
      <c r="G445" s="421" t="str">
        <f>IF(DataH!$AB437&lt;0, NA(), IF(ISERROR(DataH!$AA437/DataH!$AB437), "", DataH!$AA437/DataH!$AB437))</f>
        <v/>
      </c>
      <c r="H445" s="419" t="str">
        <f>IF(DataH!$AC437&lt;0, NA(), IF(ISERROR(DataH!$AA437/DataH!$AC437), "", DataH!$AA437/DataH!$AC437))</f>
        <v/>
      </c>
      <c r="I445" s="420" t="str">
        <f>IF(DataH!$AD437&lt;0, NA(), IF(ISERROR(DataH!$AA437/DataH!$AD437), "", DataH!$AA437/DataH!$AD437))</f>
        <v/>
      </c>
    </row>
    <row r="446" spans="2:9" ht="15" customHeight="1">
      <c r="B446" s="322" t="str">
        <f>IF(DataH!$V438="", "", DataH!$V438)</f>
        <v/>
      </c>
      <c r="C446" s="416" t="str">
        <f>IF(DataH!$X438&lt;0, NA(), IF(ISERROR(DataH!$W438/DataH!$X438), "", DataH!$W438/DataH!$X438))</f>
        <v/>
      </c>
      <c r="D446" s="416" t="str">
        <f>IF(DataH!$Y438&lt;0, NA(), IF(ISERROR(DataH!$W438/DataH!$Y438), "", DataH!$W438/DataH!$Y438))</f>
        <v/>
      </c>
      <c r="E446" s="417" t="str">
        <f>IF(DataH!$Z438&lt;0, NA(), IF(ISERROR(DataH!$W438/DataH!$Z438), "", DataH!$W438/DataH!$Z438))</f>
        <v/>
      </c>
      <c r="G446" s="418" t="str">
        <f>IF(DataH!$AB438&lt;0, NA(), IF(ISERROR(DataH!$AA438/DataH!$AB438), "", DataH!$AA438/DataH!$AB438))</f>
        <v/>
      </c>
      <c r="H446" s="416" t="str">
        <f>IF(DataH!$AC438&lt;0, NA(), IF(ISERROR(DataH!$AA438/DataH!$AC438), "", DataH!$AA438/DataH!$AC438))</f>
        <v/>
      </c>
      <c r="I446" s="417" t="str">
        <f>IF(DataH!$AD438&lt;0, NA(), IF(ISERROR(DataH!$AA438/DataH!$AD438), "", DataH!$AA438/DataH!$AD438))</f>
        <v/>
      </c>
    </row>
    <row r="447" spans="2:9" ht="15" customHeight="1">
      <c r="B447" s="318" t="str">
        <f>IF(DataH!$V439="", "", DataH!$V439)</f>
        <v/>
      </c>
      <c r="C447" s="419" t="str">
        <f>IF(DataH!$X439&lt;0, NA(), IF(ISERROR(DataH!$W439/DataH!$X439), "", DataH!$W439/DataH!$X439))</f>
        <v/>
      </c>
      <c r="D447" s="419" t="str">
        <f>IF(DataH!$Y439&lt;0, NA(), IF(ISERROR(DataH!$W439/DataH!$Y439), "", DataH!$W439/DataH!$Y439))</f>
        <v/>
      </c>
      <c r="E447" s="420" t="str">
        <f>IF(DataH!$Z439&lt;0, NA(), IF(ISERROR(DataH!$W439/DataH!$Z439), "", DataH!$W439/DataH!$Z439))</f>
        <v/>
      </c>
      <c r="G447" s="421" t="str">
        <f>IF(DataH!$AB439&lt;0, NA(), IF(ISERROR(DataH!$AA439/DataH!$AB439), "", DataH!$AA439/DataH!$AB439))</f>
        <v/>
      </c>
      <c r="H447" s="419" t="str">
        <f>IF(DataH!$AC439&lt;0, NA(), IF(ISERROR(DataH!$AA439/DataH!$AC439), "", DataH!$AA439/DataH!$AC439))</f>
        <v/>
      </c>
      <c r="I447" s="420" t="str">
        <f>IF(DataH!$AD439&lt;0, NA(), IF(ISERROR(DataH!$AA439/DataH!$AD439), "", DataH!$AA439/DataH!$AD439))</f>
        <v/>
      </c>
    </row>
    <row r="448" spans="2:9" ht="15" customHeight="1">
      <c r="B448" s="322" t="str">
        <f>IF(DataH!$V440="", "", DataH!$V440)</f>
        <v/>
      </c>
      <c r="C448" s="416" t="str">
        <f>IF(DataH!$X440&lt;0, NA(), IF(ISERROR(DataH!$W440/DataH!$X440), "", DataH!$W440/DataH!$X440))</f>
        <v/>
      </c>
      <c r="D448" s="416" t="str">
        <f>IF(DataH!$Y440&lt;0, NA(), IF(ISERROR(DataH!$W440/DataH!$Y440), "", DataH!$W440/DataH!$Y440))</f>
        <v/>
      </c>
      <c r="E448" s="417" t="str">
        <f>IF(DataH!$Z440&lt;0, NA(), IF(ISERROR(DataH!$W440/DataH!$Z440), "", DataH!$W440/DataH!$Z440))</f>
        <v/>
      </c>
      <c r="G448" s="418" t="str">
        <f>IF(DataH!$AB440&lt;0, NA(), IF(ISERROR(DataH!$AA440/DataH!$AB440), "", DataH!$AA440/DataH!$AB440))</f>
        <v/>
      </c>
      <c r="H448" s="416" t="str">
        <f>IF(DataH!$AC440&lt;0, NA(), IF(ISERROR(DataH!$AA440/DataH!$AC440), "", DataH!$AA440/DataH!$AC440))</f>
        <v/>
      </c>
      <c r="I448" s="417" t="str">
        <f>IF(DataH!$AD440&lt;0, NA(), IF(ISERROR(DataH!$AA440/DataH!$AD440), "", DataH!$AA440/DataH!$AD440))</f>
        <v/>
      </c>
    </row>
    <row r="449" spans="2:9" ht="15" customHeight="1">
      <c r="B449" s="318" t="str">
        <f>IF(DataH!$V441="", "", DataH!$V441)</f>
        <v/>
      </c>
      <c r="C449" s="419" t="str">
        <f>IF(DataH!$X441&lt;0, NA(), IF(ISERROR(DataH!$W441/DataH!$X441), "", DataH!$W441/DataH!$X441))</f>
        <v/>
      </c>
      <c r="D449" s="419" t="str">
        <f>IF(DataH!$Y441&lt;0, NA(), IF(ISERROR(DataH!$W441/DataH!$Y441), "", DataH!$W441/DataH!$Y441))</f>
        <v/>
      </c>
      <c r="E449" s="420" t="str">
        <f>IF(DataH!$Z441&lt;0, NA(), IF(ISERROR(DataH!$W441/DataH!$Z441), "", DataH!$W441/DataH!$Z441))</f>
        <v/>
      </c>
      <c r="G449" s="421" t="str">
        <f>IF(DataH!$AB441&lt;0, NA(), IF(ISERROR(DataH!$AA441/DataH!$AB441), "", DataH!$AA441/DataH!$AB441))</f>
        <v/>
      </c>
      <c r="H449" s="419" t="str">
        <f>IF(DataH!$AC441&lt;0, NA(), IF(ISERROR(DataH!$AA441/DataH!$AC441), "", DataH!$AA441/DataH!$AC441))</f>
        <v/>
      </c>
      <c r="I449" s="420" t="str">
        <f>IF(DataH!$AD441&lt;0, NA(), IF(ISERROR(DataH!$AA441/DataH!$AD441), "", DataH!$AA441/DataH!$AD441))</f>
        <v/>
      </c>
    </row>
    <row r="450" spans="2:9" ht="15" customHeight="1">
      <c r="B450" s="322" t="str">
        <f>IF(DataH!$V442="", "", DataH!$V442)</f>
        <v/>
      </c>
      <c r="C450" s="416" t="str">
        <f>IF(DataH!$X442&lt;0, NA(), IF(ISERROR(DataH!$W442/DataH!$X442), "", DataH!$W442/DataH!$X442))</f>
        <v/>
      </c>
      <c r="D450" s="416" t="str">
        <f>IF(DataH!$Y442&lt;0, NA(), IF(ISERROR(DataH!$W442/DataH!$Y442), "", DataH!$W442/DataH!$Y442))</f>
        <v/>
      </c>
      <c r="E450" s="417" t="str">
        <f>IF(DataH!$Z442&lt;0, NA(), IF(ISERROR(DataH!$W442/DataH!$Z442), "", DataH!$W442/DataH!$Z442))</f>
        <v/>
      </c>
      <c r="G450" s="418" t="str">
        <f>IF(DataH!$AB442&lt;0, NA(), IF(ISERROR(DataH!$AA442/DataH!$AB442), "", DataH!$AA442/DataH!$AB442))</f>
        <v/>
      </c>
      <c r="H450" s="416" t="str">
        <f>IF(DataH!$AC442&lt;0, NA(), IF(ISERROR(DataH!$AA442/DataH!$AC442), "", DataH!$AA442/DataH!$AC442))</f>
        <v/>
      </c>
      <c r="I450" s="417" t="str">
        <f>IF(DataH!$AD442&lt;0, NA(), IF(ISERROR(DataH!$AA442/DataH!$AD442), "", DataH!$AA442/DataH!$AD442))</f>
        <v/>
      </c>
    </row>
    <row r="451" spans="2:9" ht="15" customHeight="1">
      <c r="B451" s="318" t="str">
        <f>IF(DataH!$V443="", "", DataH!$V443)</f>
        <v/>
      </c>
      <c r="C451" s="419" t="str">
        <f>IF(DataH!$X443&lt;0, NA(), IF(ISERROR(DataH!$W443/DataH!$X443), "", DataH!$W443/DataH!$X443))</f>
        <v/>
      </c>
      <c r="D451" s="419" t="str">
        <f>IF(DataH!$Y443&lt;0, NA(), IF(ISERROR(DataH!$W443/DataH!$Y443), "", DataH!$W443/DataH!$Y443))</f>
        <v/>
      </c>
      <c r="E451" s="420" t="str">
        <f>IF(DataH!$Z443&lt;0, NA(), IF(ISERROR(DataH!$W443/DataH!$Z443), "", DataH!$W443/DataH!$Z443))</f>
        <v/>
      </c>
      <c r="G451" s="421" t="str">
        <f>IF(DataH!$AB443&lt;0, NA(), IF(ISERROR(DataH!$AA443/DataH!$AB443), "", DataH!$AA443/DataH!$AB443))</f>
        <v/>
      </c>
      <c r="H451" s="419" t="str">
        <f>IF(DataH!$AC443&lt;0, NA(), IF(ISERROR(DataH!$AA443/DataH!$AC443), "", DataH!$AA443/DataH!$AC443))</f>
        <v/>
      </c>
      <c r="I451" s="420" t="str">
        <f>IF(DataH!$AD443&lt;0, NA(), IF(ISERROR(DataH!$AA443/DataH!$AD443), "", DataH!$AA443/DataH!$AD443))</f>
        <v/>
      </c>
    </row>
    <row r="452" spans="2:9" ht="15" customHeight="1">
      <c r="B452" s="322" t="str">
        <f>IF(DataH!$V444="", "", DataH!$V444)</f>
        <v/>
      </c>
      <c r="C452" s="416" t="str">
        <f>IF(DataH!$X444&lt;0, NA(), IF(ISERROR(DataH!$W444/DataH!$X444), "", DataH!$W444/DataH!$X444))</f>
        <v/>
      </c>
      <c r="D452" s="416" t="str">
        <f>IF(DataH!$Y444&lt;0, NA(), IF(ISERROR(DataH!$W444/DataH!$Y444), "", DataH!$W444/DataH!$Y444))</f>
        <v/>
      </c>
      <c r="E452" s="417" t="str">
        <f>IF(DataH!$Z444&lt;0, NA(), IF(ISERROR(DataH!$W444/DataH!$Z444), "", DataH!$W444/DataH!$Z444))</f>
        <v/>
      </c>
      <c r="G452" s="418" t="str">
        <f>IF(DataH!$AB444&lt;0, NA(), IF(ISERROR(DataH!$AA444/DataH!$AB444), "", DataH!$AA444/DataH!$AB444))</f>
        <v/>
      </c>
      <c r="H452" s="416" t="str">
        <f>IF(DataH!$AC444&lt;0, NA(), IF(ISERROR(DataH!$AA444/DataH!$AC444), "", DataH!$AA444/DataH!$AC444))</f>
        <v/>
      </c>
      <c r="I452" s="417" t="str">
        <f>IF(DataH!$AD444&lt;0, NA(), IF(ISERROR(DataH!$AA444/DataH!$AD444), "", DataH!$AA444/DataH!$AD444))</f>
        <v/>
      </c>
    </row>
    <row r="453" spans="2:9" ht="15" customHeight="1">
      <c r="B453" s="318" t="str">
        <f>IF(DataH!$V445="", "", DataH!$V445)</f>
        <v/>
      </c>
      <c r="C453" s="419" t="str">
        <f>IF(DataH!$X445&lt;0, NA(), IF(ISERROR(DataH!$W445/DataH!$X445), "", DataH!$W445/DataH!$X445))</f>
        <v/>
      </c>
      <c r="D453" s="419" t="str">
        <f>IF(DataH!$Y445&lt;0, NA(), IF(ISERROR(DataH!$W445/DataH!$Y445), "", DataH!$W445/DataH!$Y445))</f>
        <v/>
      </c>
      <c r="E453" s="420" t="str">
        <f>IF(DataH!$Z445&lt;0, NA(), IF(ISERROR(DataH!$W445/DataH!$Z445), "", DataH!$W445/DataH!$Z445))</f>
        <v/>
      </c>
      <c r="G453" s="421" t="str">
        <f>IF(DataH!$AB445&lt;0, NA(), IF(ISERROR(DataH!$AA445/DataH!$AB445), "", DataH!$AA445/DataH!$AB445))</f>
        <v/>
      </c>
      <c r="H453" s="419" t="str">
        <f>IF(DataH!$AC445&lt;0, NA(), IF(ISERROR(DataH!$AA445/DataH!$AC445), "", DataH!$AA445/DataH!$AC445))</f>
        <v/>
      </c>
      <c r="I453" s="420" t="str">
        <f>IF(DataH!$AD445&lt;0, NA(), IF(ISERROR(DataH!$AA445/DataH!$AD445), "", DataH!$AA445/DataH!$AD445))</f>
        <v/>
      </c>
    </row>
    <row r="454" spans="2:9" ht="15" customHeight="1">
      <c r="B454" s="322" t="str">
        <f>IF(DataH!$V446="", "", DataH!$V446)</f>
        <v/>
      </c>
      <c r="C454" s="416" t="str">
        <f>IF(DataH!$X446&lt;0, NA(), IF(ISERROR(DataH!$W446/DataH!$X446), "", DataH!$W446/DataH!$X446))</f>
        <v/>
      </c>
      <c r="D454" s="416" t="str">
        <f>IF(DataH!$Y446&lt;0, NA(), IF(ISERROR(DataH!$W446/DataH!$Y446), "", DataH!$W446/DataH!$Y446))</f>
        <v/>
      </c>
      <c r="E454" s="417" t="str">
        <f>IF(DataH!$Z446&lt;0, NA(), IF(ISERROR(DataH!$W446/DataH!$Z446), "", DataH!$W446/DataH!$Z446))</f>
        <v/>
      </c>
      <c r="G454" s="418" t="str">
        <f>IF(DataH!$AB446&lt;0, NA(), IF(ISERROR(DataH!$AA446/DataH!$AB446), "", DataH!$AA446/DataH!$AB446))</f>
        <v/>
      </c>
      <c r="H454" s="416" t="str">
        <f>IF(DataH!$AC446&lt;0, NA(), IF(ISERROR(DataH!$AA446/DataH!$AC446), "", DataH!$AA446/DataH!$AC446))</f>
        <v/>
      </c>
      <c r="I454" s="417" t="str">
        <f>IF(DataH!$AD446&lt;0, NA(), IF(ISERROR(DataH!$AA446/DataH!$AD446), "", DataH!$AA446/DataH!$AD446))</f>
        <v/>
      </c>
    </row>
    <row r="455" spans="2:9" ht="15" customHeight="1">
      <c r="B455" s="318" t="str">
        <f>IF(DataH!$V447="", "", DataH!$V447)</f>
        <v/>
      </c>
      <c r="C455" s="419" t="str">
        <f>IF(DataH!$X447&lt;0, NA(), IF(ISERROR(DataH!$W447/DataH!$X447), "", DataH!$W447/DataH!$X447))</f>
        <v/>
      </c>
      <c r="D455" s="419" t="str">
        <f>IF(DataH!$Y447&lt;0, NA(), IF(ISERROR(DataH!$W447/DataH!$Y447), "", DataH!$W447/DataH!$Y447))</f>
        <v/>
      </c>
      <c r="E455" s="420" t="str">
        <f>IF(DataH!$Z447&lt;0, NA(), IF(ISERROR(DataH!$W447/DataH!$Z447), "", DataH!$W447/DataH!$Z447))</f>
        <v/>
      </c>
      <c r="G455" s="421" t="str">
        <f>IF(DataH!$AB447&lt;0, NA(), IF(ISERROR(DataH!$AA447/DataH!$AB447), "", DataH!$AA447/DataH!$AB447))</f>
        <v/>
      </c>
      <c r="H455" s="419" t="str">
        <f>IF(DataH!$AC447&lt;0, NA(), IF(ISERROR(DataH!$AA447/DataH!$AC447), "", DataH!$AA447/DataH!$AC447))</f>
        <v/>
      </c>
      <c r="I455" s="420" t="str">
        <f>IF(DataH!$AD447&lt;0, NA(), IF(ISERROR(DataH!$AA447/DataH!$AD447), "", DataH!$AA447/DataH!$AD447))</f>
        <v/>
      </c>
    </row>
    <row r="456" spans="2:9" ht="15" customHeight="1">
      <c r="B456" s="322" t="str">
        <f>IF(DataH!$V448="", "", DataH!$V448)</f>
        <v/>
      </c>
      <c r="C456" s="416" t="str">
        <f>IF(DataH!$X448&lt;0, NA(), IF(ISERROR(DataH!$W448/DataH!$X448), "", DataH!$W448/DataH!$X448))</f>
        <v/>
      </c>
      <c r="D456" s="416" t="str">
        <f>IF(DataH!$Y448&lt;0, NA(), IF(ISERROR(DataH!$W448/DataH!$Y448), "", DataH!$W448/DataH!$Y448))</f>
        <v/>
      </c>
      <c r="E456" s="417" t="str">
        <f>IF(DataH!$Z448&lt;0, NA(), IF(ISERROR(DataH!$W448/DataH!$Z448), "", DataH!$W448/DataH!$Z448))</f>
        <v/>
      </c>
      <c r="G456" s="418" t="str">
        <f>IF(DataH!$AB448&lt;0, NA(), IF(ISERROR(DataH!$AA448/DataH!$AB448), "", DataH!$AA448/DataH!$AB448))</f>
        <v/>
      </c>
      <c r="H456" s="416" t="str">
        <f>IF(DataH!$AC448&lt;0, NA(), IF(ISERROR(DataH!$AA448/DataH!$AC448), "", DataH!$AA448/DataH!$AC448))</f>
        <v/>
      </c>
      <c r="I456" s="417" t="str">
        <f>IF(DataH!$AD448&lt;0, NA(), IF(ISERROR(DataH!$AA448/DataH!$AD448), "", DataH!$AA448/DataH!$AD448))</f>
        <v/>
      </c>
    </row>
    <row r="457" spans="2:9" ht="15" customHeight="1">
      <c r="B457" s="318" t="str">
        <f>IF(DataH!$V449="", "", DataH!$V449)</f>
        <v/>
      </c>
      <c r="C457" s="419" t="str">
        <f>IF(DataH!$X449&lt;0, NA(), IF(ISERROR(DataH!$W449/DataH!$X449), "", DataH!$W449/DataH!$X449))</f>
        <v/>
      </c>
      <c r="D457" s="419" t="str">
        <f>IF(DataH!$Y449&lt;0, NA(), IF(ISERROR(DataH!$W449/DataH!$Y449), "", DataH!$W449/DataH!$Y449))</f>
        <v/>
      </c>
      <c r="E457" s="420" t="str">
        <f>IF(DataH!$Z449&lt;0, NA(), IF(ISERROR(DataH!$W449/DataH!$Z449), "", DataH!$W449/DataH!$Z449))</f>
        <v/>
      </c>
      <c r="G457" s="421" t="str">
        <f>IF(DataH!$AB449&lt;0, NA(), IF(ISERROR(DataH!$AA449/DataH!$AB449), "", DataH!$AA449/DataH!$AB449))</f>
        <v/>
      </c>
      <c r="H457" s="419" t="str">
        <f>IF(DataH!$AC449&lt;0, NA(), IF(ISERROR(DataH!$AA449/DataH!$AC449), "", DataH!$AA449/DataH!$AC449))</f>
        <v/>
      </c>
      <c r="I457" s="420" t="str">
        <f>IF(DataH!$AD449&lt;0, NA(), IF(ISERROR(DataH!$AA449/DataH!$AD449), "", DataH!$AA449/DataH!$AD449))</f>
        <v/>
      </c>
    </row>
    <row r="458" spans="2:9" ht="15" customHeight="1">
      <c r="B458" s="322" t="str">
        <f>IF(DataH!$V450="", "", DataH!$V450)</f>
        <v/>
      </c>
      <c r="C458" s="416" t="str">
        <f>IF(DataH!$X450&lt;0, NA(), IF(ISERROR(DataH!$W450/DataH!$X450), "", DataH!$W450/DataH!$X450))</f>
        <v/>
      </c>
      <c r="D458" s="416" t="str">
        <f>IF(DataH!$Y450&lt;0, NA(), IF(ISERROR(DataH!$W450/DataH!$Y450), "", DataH!$W450/DataH!$Y450))</f>
        <v/>
      </c>
      <c r="E458" s="417" t="str">
        <f>IF(DataH!$Z450&lt;0, NA(), IF(ISERROR(DataH!$W450/DataH!$Z450), "", DataH!$W450/DataH!$Z450))</f>
        <v/>
      </c>
      <c r="G458" s="418" t="str">
        <f>IF(DataH!$AB450&lt;0, NA(), IF(ISERROR(DataH!$AA450/DataH!$AB450), "", DataH!$AA450/DataH!$AB450))</f>
        <v/>
      </c>
      <c r="H458" s="416" t="str">
        <f>IF(DataH!$AC450&lt;0, NA(), IF(ISERROR(DataH!$AA450/DataH!$AC450), "", DataH!$AA450/DataH!$AC450))</f>
        <v/>
      </c>
      <c r="I458" s="417" t="str">
        <f>IF(DataH!$AD450&lt;0, NA(), IF(ISERROR(DataH!$AA450/DataH!$AD450), "", DataH!$AA450/DataH!$AD450))</f>
        <v/>
      </c>
    </row>
    <row r="459" spans="2:9" ht="15" customHeight="1">
      <c r="B459" s="318" t="str">
        <f>IF(DataH!$V451="", "", DataH!$V451)</f>
        <v/>
      </c>
      <c r="C459" s="419" t="str">
        <f>IF(DataH!$X451&lt;0, NA(), IF(ISERROR(DataH!$W451/DataH!$X451), "", DataH!$W451/DataH!$X451))</f>
        <v/>
      </c>
      <c r="D459" s="419" t="str">
        <f>IF(DataH!$Y451&lt;0, NA(), IF(ISERROR(DataH!$W451/DataH!$Y451), "", DataH!$W451/DataH!$Y451))</f>
        <v/>
      </c>
      <c r="E459" s="420" t="str">
        <f>IF(DataH!$Z451&lt;0, NA(), IF(ISERROR(DataH!$W451/DataH!$Z451), "", DataH!$W451/DataH!$Z451))</f>
        <v/>
      </c>
      <c r="G459" s="421" t="str">
        <f>IF(DataH!$AB451&lt;0, NA(), IF(ISERROR(DataH!$AA451/DataH!$AB451), "", DataH!$AA451/DataH!$AB451))</f>
        <v/>
      </c>
      <c r="H459" s="419" t="str">
        <f>IF(DataH!$AC451&lt;0, NA(), IF(ISERROR(DataH!$AA451/DataH!$AC451), "", DataH!$AA451/DataH!$AC451))</f>
        <v/>
      </c>
      <c r="I459" s="420" t="str">
        <f>IF(DataH!$AD451&lt;0, NA(), IF(ISERROR(DataH!$AA451/DataH!$AD451), "", DataH!$AA451/DataH!$AD451))</f>
        <v/>
      </c>
    </row>
    <row r="460" spans="2:9" ht="15" customHeight="1">
      <c r="B460" s="322" t="str">
        <f>IF(DataH!$V452="", "", DataH!$V452)</f>
        <v/>
      </c>
      <c r="C460" s="416" t="str">
        <f>IF(DataH!$X452&lt;0, NA(), IF(ISERROR(DataH!$W452/DataH!$X452), "", DataH!$W452/DataH!$X452))</f>
        <v/>
      </c>
      <c r="D460" s="416" t="str">
        <f>IF(DataH!$Y452&lt;0, NA(), IF(ISERROR(DataH!$W452/DataH!$Y452), "", DataH!$W452/DataH!$Y452))</f>
        <v/>
      </c>
      <c r="E460" s="417" t="str">
        <f>IF(DataH!$Z452&lt;0, NA(), IF(ISERROR(DataH!$W452/DataH!$Z452), "", DataH!$W452/DataH!$Z452))</f>
        <v/>
      </c>
      <c r="G460" s="418" t="str">
        <f>IF(DataH!$AB452&lt;0, NA(), IF(ISERROR(DataH!$AA452/DataH!$AB452), "", DataH!$AA452/DataH!$AB452))</f>
        <v/>
      </c>
      <c r="H460" s="416" t="str">
        <f>IF(DataH!$AC452&lt;0, NA(), IF(ISERROR(DataH!$AA452/DataH!$AC452), "", DataH!$AA452/DataH!$AC452))</f>
        <v/>
      </c>
      <c r="I460" s="417" t="str">
        <f>IF(DataH!$AD452&lt;0, NA(), IF(ISERROR(DataH!$AA452/DataH!$AD452), "", DataH!$AA452/DataH!$AD452))</f>
        <v/>
      </c>
    </row>
    <row r="461" spans="2:9" ht="15" customHeight="1">
      <c r="B461" s="318" t="str">
        <f>IF(DataH!$V453="", "", DataH!$V453)</f>
        <v/>
      </c>
      <c r="C461" s="419" t="str">
        <f>IF(DataH!$X453&lt;0, NA(), IF(ISERROR(DataH!$W453/DataH!$X453), "", DataH!$W453/DataH!$X453))</f>
        <v/>
      </c>
      <c r="D461" s="419" t="str">
        <f>IF(DataH!$Y453&lt;0, NA(), IF(ISERROR(DataH!$W453/DataH!$Y453), "", DataH!$W453/DataH!$Y453))</f>
        <v/>
      </c>
      <c r="E461" s="420" t="str">
        <f>IF(DataH!$Z453&lt;0, NA(), IF(ISERROR(DataH!$W453/DataH!$Z453), "", DataH!$W453/DataH!$Z453))</f>
        <v/>
      </c>
      <c r="G461" s="421" t="str">
        <f>IF(DataH!$AB453&lt;0, NA(), IF(ISERROR(DataH!$AA453/DataH!$AB453), "", DataH!$AA453/DataH!$AB453))</f>
        <v/>
      </c>
      <c r="H461" s="419" t="str">
        <f>IF(DataH!$AC453&lt;0, NA(), IF(ISERROR(DataH!$AA453/DataH!$AC453), "", DataH!$AA453/DataH!$AC453))</f>
        <v/>
      </c>
      <c r="I461" s="420" t="str">
        <f>IF(DataH!$AD453&lt;0, NA(), IF(ISERROR(DataH!$AA453/DataH!$AD453), "", DataH!$AA453/DataH!$AD453))</f>
        <v/>
      </c>
    </row>
    <row r="462" spans="2:9" ht="15" customHeight="1">
      <c r="B462" s="322" t="str">
        <f>IF(DataH!$V454="", "", DataH!$V454)</f>
        <v/>
      </c>
      <c r="C462" s="416" t="str">
        <f>IF(DataH!$X454&lt;0, NA(), IF(ISERROR(DataH!$W454/DataH!$X454), "", DataH!$W454/DataH!$X454))</f>
        <v/>
      </c>
      <c r="D462" s="416" t="str">
        <f>IF(DataH!$Y454&lt;0, NA(), IF(ISERROR(DataH!$W454/DataH!$Y454), "", DataH!$W454/DataH!$Y454))</f>
        <v/>
      </c>
      <c r="E462" s="417" t="str">
        <f>IF(DataH!$Z454&lt;0, NA(), IF(ISERROR(DataH!$W454/DataH!$Z454), "", DataH!$W454/DataH!$Z454))</f>
        <v/>
      </c>
      <c r="G462" s="418" t="str">
        <f>IF(DataH!$AB454&lt;0, NA(), IF(ISERROR(DataH!$AA454/DataH!$AB454), "", DataH!$AA454/DataH!$AB454))</f>
        <v/>
      </c>
      <c r="H462" s="416" t="str">
        <f>IF(DataH!$AC454&lt;0, NA(), IF(ISERROR(DataH!$AA454/DataH!$AC454), "", DataH!$AA454/DataH!$AC454))</f>
        <v/>
      </c>
      <c r="I462" s="417" t="str">
        <f>IF(DataH!$AD454&lt;0, NA(), IF(ISERROR(DataH!$AA454/DataH!$AD454), "", DataH!$AA454/DataH!$AD454))</f>
        <v/>
      </c>
    </row>
    <row r="463" spans="2:9" ht="15" customHeight="1">
      <c r="B463" s="318" t="str">
        <f>IF(DataH!$V455="", "", DataH!$V455)</f>
        <v/>
      </c>
      <c r="C463" s="419" t="str">
        <f>IF(DataH!$X455&lt;0, NA(), IF(ISERROR(DataH!$W455/DataH!$X455), "", DataH!$W455/DataH!$X455))</f>
        <v/>
      </c>
      <c r="D463" s="419" t="str">
        <f>IF(DataH!$Y455&lt;0, NA(), IF(ISERROR(DataH!$W455/DataH!$Y455), "", DataH!$W455/DataH!$Y455))</f>
        <v/>
      </c>
      <c r="E463" s="420" t="str">
        <f>IF(DataH!$Z455&lt;0, NA(), IF(ISERROR(DataH!$W455/DataH!$Z455), "", DataH!$W455/DataH!$Z455))</f>
        <v/>
      </c>
      <c r="G463" s="421" t="str">
        <f>IF(DataH!$AB455&lt;0, NA(), IF(ISERROR(DataH!$AA455/DataH!$AB455), "", DataH!$AA455/DataH!$AB455))</f>
        <v/>
      </c>
      <c r="H463" s="419" t="str">
        <f>IF(DataH!$AC455&lt;0, NA(), IF(ISERROR(DataH!$AA455/DataH!$AC455), "", DataH!$AA455/DataH!$AC455))</f>
        <v/>
      </c>
      <c r="I463" s="420" t="str">
        <f>IF(DataH!$AD455&lt;0, NA(), IF(ISERROR(DataH!$AA455/DataH!$AD455), "", DataH!$AA455/DataH!$AD455))</f>
        <v/>
      </c>
    </row>
    <row r="464" spans="2:9" ht="15" customHeight="1">
      <c r="B464" s="322" t="str">
        <f>IF(DataH!$V456="", "", DataH!$V456)</f>
        <v/>
      </c>
      <c r="C464" s="416" t="str">
        <f>IF(DataH!$X456&lt;0, NA(), IF(ISERROR(DataH!$W456/DataH!$X456), "", DataH!$W456/DataH!$X456))</f>
        <v/>
      </c>
      <c r="D464" s="416" t="str">
        <f>IF(DataH!$Y456&lt;0, NA(), IF(ISERROR(DataH!$W456/DataH!$Y456), "", DataH!$W456/DataH!$Y456))</f>
        <v/>
      </c>
      <c r="E464" s="417" t="str">
        <f>IF(DataH!$Z456&lt;0, NA(), IF(ISERROR(DataH!$W456/DataH!$Z456), "", DataH!$W456/DataH!$Z456))</f>
        <v/>
      </c>
      <c r="G464" s="418" t="str">
        <f>IF(DataH!$AB456&lt;0, NA(), IF(ISERROR(DataH!$AA456/DataH!$AB456), "", DataH!$AA456/DataH!$AB456))</f>
        <v/>
      </c>
      <c r="H464" s="416" t="str">
        <f>IF(DataH!$AC456&lt;0, NA(), IF(ISERROR(DataH!$AA456/DataH!$AC456), "", DataH!$AA456/DataH!$AC456))</f>
        <v/>
      </c>
      <c r="I464" s="417" t="str">
        <f>IF(DataH!$AD456&lt;0, NA(), IF(ISERROR(DataH!$AA456/DataH!$AD456), "", DataH!$AA456/DataH!$AD456))</f>
        <v/>
      </c>
    </row>
    <row r="465" spans="2:9" ht="15" customHeight="1">
      <c r="B465" s="318" t="str">
        <f>IF(DataH!$V457="", "", DataH!$V457)</f>
        <v/>
      </c>
      <c r="C465" s="419" t="str">
        <f>IF(DataH!$X457&lt;0, NA(), IF(ISERROR(DataH!$W457/DataH!$X457), "", DataH!$W457/DataH!$X457))</f>
        <v/>
      </c>
      <c r="D465" s="419" t="str">
        <f>IF(DataH!$Y457&lt;0, NA(), IF(ISERROR(DataH!$W457/DataH!$Y457), "", DataH!$W457/DataH!$Y457))</f>
        <v/>
      </c>
      <c r="E465" s="420" t="str">
        <f>IF(DataH!$Z457&lt;0, NA(), IF(ISERROR(DataH!$W457/DataH!$Z457), "", DataH!$W457/DataH!$Z457))</f>
        <v/>
      </c>
      <c r="G465" s="421" t="str">
        <f>IF(DataH!$AB457&lt;0, NA(), IF(ISERROR(DataH!$AA457/DataH!$AB457), "", DataH!$AA457/DataH!$AB457))</f>
        <v/>
      </c>
      <c r="H465" s="419" t="str">
        <f>IF(DataH!$AC457&lt;0, NA(), IF(ISERROR(DataH!$AA457/DataH!$AC457), "", DataH!$AA457/DataH!$AC457))</f>
        <v/>
      </c>
      <c r="I465" s="420" t="str">
        <f>IF(DataH!$AD457&lt;0, NA(), IF(ISERROR(DataH!$AA457/DataH!$AD457), "", DataH!$AA457/DataH!$AD457))</f>
        <v/>
      </c>
    </row>
    <row r="466" spans="2:9" ht="15" customHeight="1">
      <c r="B466" s="322" t="str">
        <f>IF(DataH!$V458="", "", DataH!$V458)</f>
        <v/>
      </c>
      <c r="C466" s="416" t="str">
        <f>IF(DataH!$X458&lt;0, NA(), IF(ISERROR(DataH!$W458/DataH!$X458), "", DataH!$W458/DataH!$X458))</f>
        <v/>
      </c>
      <c r="D466" s="416" t="str">
        <f>IF(DataH!$Y458&lt;0, NA(), IF(ISERROR(DataH!$W458/DataH!$Y458), "", DataH!$W458/DataH!$Y458))</f>
        <v/>
      </c>
      <c r="E466" s="417" t="str">
        <f>IF(DataH!$Z458&lt;0, NA(), IF(ISERROR(DataH!$W458/DataH!$Z458), "", DataH!$W458/DataH!$Z458))</f>
        <v/>
      </c>
      <c r="G466" s="418" t="str">
        <f>IF(DataH!$AB458&lt;0, NA(), IF(ISERROR(DataH!$AA458/DataH!$AB458), "", DataH!$AA458/DataH!$AB458))</f>
        <v/>
      </c>
      <c r="H466" s="416" t="str">
        <f>IF(DataH!$AC458&lt;0, NA(), IF(ISERROR(DataH!$AA458/DataH!$AC458), "", DataH!$AA458/DataH!$AC458))</f>
        <v/>
      </c>
      <c r="I466" s="417" t="str">
        <f>IF(DataH!$AD458&lt;0, NA(), IF(ISERROR(DataH!$AA458/DataH!$AD458), "", DataH!$AA458/DataH!$AD458))</f>
        <v/>
      </c>
    </row>
    <row r="467" spans="2:9" ht="15" customHeight="1">
      <c r="B467" s="318" t="str">
        <f>IF(DataH!$V459="", "", DataH!$V459)</f>
        <v/>
      </c>
      <c r="C467" s="419" t="str">
        <f>IF(DataH!$X459&lt;0, NA(), IF(ISERROR(DataH!$W459/DataH!$X459), "", DataH!$W459/DataH!$X459))</f>
        <v/>
      </c>
      <c r="D467" s="419" t="str">
        <f>IF(DataH!$Y459&lt;0, NA(), IF(ISERROR(DataH!$W459/DataH!$Y459), "", DataH!$W459/DataH!$Y459))</f>
        <v/>
      </c>
      <c r="E467" s="420" t="str">
        <f>IF(DataH!$Z459&lt;0, NA(), IF(ISERROR(DataH!$W459/DataH!$Z459), "", DataH!$W459/DataH!$Z459))</f>
        <v/>
      </c>
      <c r="G467" s="421" t="str">
        <f>IF(DataH!$AB459&lt;0, NA(), IF(ISERROR(DataH!$AA459/DataH!$AB459), "", DataH!$AA459/DataH!$AB459))</f>
        <v/>
      </c>
      <c r="H467" s="419" t="str">
        <f>IF(DataH!$AC459&lt;0, NA(), IF(ISERROR(DataH!$AA459/DataH!$AC459), "", DataH!$AA459/DataH!$AC459))</f>
        <v/>
      </c>
      <c r="I467" s="420" t="str">
        <f>IF(DataH!$AD459&lt;0, NA(), IF(ISERROR(DataH!$AA459/DataH!$AD459), "", DataH!$AA459/DataH!$AD459))</f>
        <v/>
      </c>
    </row>
    <row r="468" spans="2:9" ht="15" customHeight="1">
      <c r="B468" s="322" t="str">
        <f>IF(DataH!$V460="", "", DataH!$V460)</f>
        <v/>
      </c>
      <c r="C468" s="416" t="str">
        <f>IF(DataH!$X460&lt;0, NA(), IF(ISERROR(DataH!$W460/DataH!$X460), "", DataH!$W460/DataH!$X460))</f>
        <v/>
      </c>
      <c r="D468" s="416" t="str">
        <f>IF(DataH!$Y460&lt;0, NA(), IF(ISERROR(DataH!$W460/DataH!$Y460), "", DataH!$W460/DataH!$Y460))</f>
        <v/>
      </c>
      <c r="E468" s="417" t="str">
        <f>IF(DataH!$Z460&lt;0, NA(), IF(ISERROR(DataH!$W460/DataH!$Z460), "", DataH!$W460/DataH!$Z460))</f>
        <v/>
      </c>
      <c r="G468" s="418" t="str">
        <f>IF(DataH!$AB460&lt;0, NA(), IF(ISERROR(DataH!$AA460/DataH!$AB460), "", DataH!$AA460/DataH!$AB460))</f>
        <v/>
      </c>
      <c r="H468" s="416" t="str">
        <f>IF(DataH!$AC460&lt;0, NA(), IF(ISERROR(DataH!$AA460/DataH!$AC460), "", DataH!$AA460/DataH!$AC460))</f>
        <v/>
      </c>
      <c r="I468" s="417" t="str">
        <f>IF(DataH!$AD460&lt;0, NA(), IF(ISERROR(DataH!$AA460/DataH!$AD460), "", DataH!$AA460/DataH!$AD460))</f>
        <v/>
      </c>
    </row>
    <row r="469" spans="2:9" ht="15" customHeight="1">
      <c r="B469" s="318" t="str">
        <f>IF(DataH!$V461="", "", DataH!$V461)</f>
        <v/>
      </c>
      <c r="C469" s="419" t="str">
        <f>IF(DataH!$X461&lt;0, NA(), IF(ISERROR(DataH!$W461/DataH!$X461), "", DataH!$W461/DataH!$X461))</f>
        <v/>
      </c>
      <c r="D469" s="419" t="str">
        <f>IF(DataH!$Y461&lt;0, NA(), IF(ISERROR(DataH!$W461/DataH!$Y461), "", DataH!$W461/DataH!$Y461))</f>
        <v/>
      </c>
      <c r="E469" s="420" t="str">
        <f>IF(DataH!$Z461&lt;0, NA(), IF(ISERROR(DataH!$W461/DataH!$Z461), "", DataH!$W461/DataH!$Z461))</f>
        <v/>
      </c>
      <c r="G469" s="421" t="str">
        <f>IF(DataH!$AB461&lt;0, NA(), IF(ISERROR(DataH!$AA461/DataH!$AB461), "", DataH!$AA461/DataH!$AB461))</f>
        <v/>
      </c>
      <c r="H469" s="419" t="str">
        <f>IF(DataH!$AC461&lt;0, NA(), IF(ISERROR(DataH!$AA461/DataH!$AC461), "", DataH!$AA461/DataH!$AC461))</f>
        <v/>
      </c>
      <c r="I469" s="420" t="str">
        <f>IF(DataH!$AD461&lt;0, NA(), IF(ISERROR(DataH!$AA461/DataH!$AD461), "", DataH!$AA461/DataH!$AD461))</f>
        <v/>
      </c>
    </row>
    <row r="470" spans="2:9" ht="15" customHeight="1">
      <c r="B470" s="322" t="str">
        <f>IF(DataH!$V462="", "", DataH!$V462)</f>
        <v/>
      </c>
      <c r="C470" s="416" t="str">
        <f>IF(DataH!$X462&lt;0, NA(), IF(ISERROR(DataH!$W462/DataH!$X462), "", DataH!$W462/DataH!$X462))</f>
        <v/>
      </c>
      <c r="D470" s="416" t="str">
        <f>IF(DataH!$Y462&lt;0, NA(), IF(ISERROR(DataH!$W462/DataH!$Y462), "", DataH!$W462/DataH!$Y462))</f>
        <v/>
      </c>
      <c r="E470" s="417" t="str">
        <f>IF(DataH!$Z462&lt;0, NA(), IF(ISERROR(DataH!$W462/DataH!$Z462), "", DataH!$W462/DataH!$Z462))</f>
        <v/>
      </c>
      <c r="G470" s="418" t="str">
        <f>IF(DataH!$AB462&lt;0, NA(), IF(ISERROR(DataH!$AA462/DataH!$AB462), "", DataH!$AA462/DataH!$AB462))</f>
        <v/>
      </c>
      <c r="H470" s="416" t="str">
        <f>IF(DataH!$AC462&lt;0, NA(), IF(ISERROR(DataH!$AA462/DataH!$AC462), "", DataH!$AA462/DataH!$AC462))</f>
        <v/>
      </c>
      <c r="I470" s="417" t="str">
        <f>IF(DataH!$AD462&lt;0, NA(), IF(ISERROR(DataH!$AA462/DataH!$AD462), "", DataH!$AA462/DataH!$AD462))</f>
        <v/>
      </c>
    </row>
    <row r="471" spans="2:9" ht="15" customHeight="1">
      <c r="B471" s="318" t="str">
        <f>IF(DataH!$V463="", "", DataH!$V463)</f>
        <v/>
      </c>
      <c r="C471" s="419" t="str">
        <f>IF(DataH!$X463&lt;0, NA(), IF(ISERROR(DataH!$W463/DataH!$X463), "", DataH!$W463/DataH!$X463))</f>
        <v/>
      </c>
      <c r="D471" s="419" t="str">
        <f>IF(DataH!$Y463&lt;0, NA(), IF(ISERROR(DataH!$W463/DataH!$Y463), "", DataH!$W463/DataH!$Y463))</f>
        <v/>
      </c>
      <c r="E471" s="420" t="str">
        <f>IF(DataH!$Z463&lt;0, NA(), IF(ISERROR(DataH!$W463/DataH!$Z463), "", DataH!$W463/DataH!$Z463))</f>
        <v/>
      </c>
      <c r="G471" s="421" t="str">
        <f>IF(DataH!$AB463&lt;0, NA(), IF(ISERROR(DataH!$AA463/DataH!$AB463), "", DataH!$AA463/DataH!$AB463))</f>
        <v/>
      </c>
      <c r="H471" s="419" t="str">
        <f>IF(DataH!$AC463&lt;0, NA(), IF(ISERROR(DataH!$AA463/DataH!$AC463), "", DataH!$AA463/DataH!$AC463))</f>
        <v/>
      </c>
      <c r="I471" s="420" t="str">
        <f>IF(DataH!$AD463&lt;0, NA(), IF(ISERROR(DataH!$AA463/DataH!$AD463), "", DataH!$AA463/DataH!$AD463))</f>
        <v/>
      </c>
    </row>
    <row r="472" spans="2:9" ht="15" customHeight="1">
      <c r="B472" s="322" t="str">
        <f>IF(DataH!$V464="", "", DataH!$V464)</f>
        <v/>
      </c>
      <c r="C472" s="416" t="str">
        <f>IF(DataH!$X464&lt;0, NA(), IF(ISERROR(DataH!$W464/DataH!$X464), "", DataH!$W464/DataH!$X464))</f>
        <v/>
      </c>
      <c r="D472" s="416" t="str">
        <f>IF(DataH!$Y464&lt;0, NA(), IF(ISERROR(DataH!$W464/DataH!$Y464), "", DataH!$W464/DataH!$Y464))</f>
        <v/>
      </c>
      <c r="E472" s="417" t="str">
        <f>IF(DataH!$Z464&lt;0, NA(), IF(ISERROR(DataH!$W464/DataH!$Z464), "", DataH!$W464/DataH!$Z464))</f>
        <v/>
      </c>
      <c r="G472" s="418" t="str">
        <f>IF(DataH!$AB464&lt;0, NA(), IF(ISERROR(DataH!$AA464/DataH!$AB464), "", DataH!$AA464/DataH!$AB464))</f>
        <v/>
      </c>
      <c r="H472" s="416" t="str">
        <f>IF(DataH!$AC464&lt;0, NA(), IF(ISERROR(DataH!$AA464/DataH!$AC464), "", DataH!$AA464/DataH!$AC464))</f>
        <v/>
      </c>
      <c r="I472" s="417" t="str">
        <f>IF(DataH!$AD464&lt;0, NA(), IF(ISERROR(DataH!$AA464/DataH!$AD464), "", DataH!$AA464/DataH!$AD464))</f>
        <v/>
      </c>
    </row>
    <row r="473" spans="2:9" ht="15" customHeight="1">
      <c r="B473" s="318" t="str">
        <f>IF(DataH!$V465="", "", DataH!$V465)</f>
        <v/>
      </c>
      <c r="C473" s="419" t="str">
        <f>IF(DataH!$X465&lt;0, NA(), IF(ISERROR(DataH!$W465/DataH!$X465), "", DataH!$W465/DataH!$X465))</f>
        <v/>
      </c>
      <c r="D473" s="419" t="str">
        <f>IF(DataH!$Y465&lt;0, NA(), IF(ISERROR(DataH!$W465/DataH!$Y465), "", DataH!$W465/DataH!$Y465))</f>
        <v/>
      </c>
      <c r="E473" s="420" t="str">
        <f>IF(DataH!$Z465&lt;0, NA(), IF(ISERROR(DataH!$W465/DataH!$Z465), "", DataH!$W465/DataH!$Z465))</f>
        <v/>
      </c>
      <c r="G473" s="421" t="str">
        <f>IF(DataH!$AB465&lt;0, NA(), IF(ISERROR(DataH!$AA465/DataH!$AB465), "", DataH!$AA465/DataH!$AB465))</f>
        <v/>
      </c>
      <c r="H473" s="419" t="str">
        <f>IF(DataH!$AC465&lt;0, NA(), IF(ISERROR(DataH!$AA465/DataH!$AC465), "", DataH!$AA465/DataH!$AC465))</f>
        <v/>
      </c>
      <c r="I473" s="420" t="str">
        <f>IF(DataH!$AD465&lt;0, NA(), IF(ISERROR(DataH!$AA465/DataH!$AD465), "", DataH!$AA465/DataH!$AD465))</f>
        <v/>
      </c>
    </row>
    <row r="474" spans="2:9" ht="15" customHeight="1">
      <c r="B474" s="322" t="str">
        <f>IF(DataH!$V466="", "", DataH!$V466)</f>
        <v/>
      </c>
      <c r="C474" s="416" t="str">
        <f>IF(DataH!$X466&lt;0, NA(), IF(ISERROR(DataH!$W466/DataH!$X466), "", DataH!$W466/DataH!$X466))</f>
        <v/>
      </c>
      <c r="D474" s="416" t="str">
        <f>IF(DataH!$Y466&lt;0, NA(), IF(ISERROR(DataH!$W466/DataH!$Y466), "", DataH!$W466/DataH!$Y466))</f>
        <v/>
      </c>
      <c r="E474" s="417" t="str">
        <f>IF(DataH!$Z466&lt;0, NA(), IF(ISERROR(DataH!$W466/DataH!$Z466), "", DataH!$W466/DataH!$Z466))</f>
        <v/>
      </c>
      <c r="G474" s="418" t="str">
        <f>IF(DataH!$AB466&lt;0, NA(), IF(ISERROR(DataH!$AA466/DataH!$AB466), "", DataH!$AA466/DataH!$AB466))</f>
        <v/>
      </c>
      <c r="H474" s="416" t="str">
        <f>IF(DataH!$AC466&lt;0, NA(), IF(ISERROR(DataH!$AA466/DataH!$AC466), "", DataH!$AA466/DataH!$AC466))</f>
        <v/>
      </c>
      <c r="I474" s="417" t="str">
        <f>IF(DataH!$AD466&lt;0, NA(), IF(ISERROR(DataH!$AA466/DataH!$AD466), "", DataH!$AA466/DataH!$AD466))</f>
        <v/>
      </c>
    </row>
    <row r="475" spans="2:9" ht="15" customHeight="1">
      <c r="B475" s="318" t="str">
        <f>IF(DataH!$V467="", "", DataH!$V467)</f>
        <v/>
      </c>
      <c r="C475" s="419" t="str">
        <f>IF(DataH!$X467&lt;0, NA(), IF(ISERROR(DataH!$W467/DataH!$X467), "", DataH!$W467/DataH!$X467))</f>
        <v/>
      </c>
      <c r="D475" s="419" t="str">
        <f>IF(DataH!$Y467&lt;0, NA(), IF(ISERROR(DataH!$W467/DataH!$Y467), "", DataH!$W467/DataH!$Y467))</f>
        <v/>
      </c>
      <c r="E475" s="420" t="str">
        <f>IF(DataH!$Z467&lt;0, NA(), IF(ISERROR(DataH!$W467/DataH!$Z467), "", DataH!$W467/DataH!$Z467))</f>
        <v/>
      </c>
      <c r="G475" s="421" t="str">
        <f>IF(DataH!$AB467&lt;0, NA(), IF(ISERROR(DataH!$AA467/DataH!$AB467), "", DataH!$AA467/DataH!$AB467))</f>
        <v/>
      </c>
      <c r="H475" s="419" t="str">
        <f>IF(DataH!$AC467&lt;0, NA(), IF(ISERROR(DataH!$AA467/DataH!$AC467), "", DataH!$AA467/DataH!$AC467))</f>
        <v/>
      </c>
      <c r="I475" s="420" t="str">
        <f>IF(DataH!$AD467&lt;0, NA(), IF(ISERROR(DataH!$AA467/DataH!$AD467), "", DataH!$AA467/DataH!$AD467))</f>
        <v/>
      </c>
    </row>
    <row r="476" spans="2:9" ht="15" customHeight="1">
      <c r="B476" s="322" t="str">
        <f>IF(DataH!$V468="", "", DataH!$V468)</f>
        <v/>
      </c>
      <c r="C476" s="416" t="str">
        <f>IF(DataH!$X468&lt;0, NA(), IF(ISERROR(DataH!$W468/DataH!$X468), "", DataH!$W468/DataH!$X468))</f>
        <v/>
      </c>
      <c r="D476" s="416" t="str">
        <f>IF(DataH!$Y468&lt;0, NA(), IF(ISERROR(DataH!$W468/DataH!$Y468), "", DataH!$W468/DataH!$Y468))</f>
        <v/>
      </c>
      <c r="E476" s="417" t="str">
        <f>IF(DataH!$Z468&lt;0, NA(), IF(ISERROR(DataH!$W468/DataH!$Z468), "", DataH!$W468/DataH!$Z468))</f>
        <v/>
      </c>
      <c r="G476" s="418" t="str">
        <f>IF(DataH!$AB468&lt;0, NA(), IF(ISERROR(DataH!$AA468/DataH!$AB468), "", DataH!$AA468/DataH!$AB468))</f>
        <v/>
      </c>
      <c r="H476" s="416" t="str">
        <f>IF(DataH!$AC468&lt;0, NA(), IF(ISERROR(DataH!$AA468/DataH!$AC468), "", DataH!$AA468/DataH!$AC468))</f>
        <v/>
      </c>
      <c r="I476" s="417" t="str">
        <f>IF(DataH!$AD468&lt;0, NA(), IF(ISERROR(DataH!$AA468/DataH!$AD468), "", DataH!$AA468/DataH!$AD468))</f>
        <v/>
      </c>
    </row>
    <row r="477" spans="2:9" ht="15" customHeight="1">
      <c r="B477" s="318" t="str">
        <f>IF(DataH!$V469="", "", DataH!$V469)</f>
        <v/>
      </c>
      <c r="C477" s="419" t="str">
        <f>IF(DataH!$X469&lt;0, NA(), IF(ISERROR(DataH!$W469/DataH!$X469), "", DataH!$W469/DataH!$X469))</f>
        <v/>
      </c>
      <c r="D477" s="419" t="str">
        <f>IF(DataH!$Y469&lt;0, NA(), IF(ISERROR(DataH!$W469/DataH!$Y469), "", DataH!$W469/DataH!$Y469))</f>
        <v/>
      </c>
      <c r="E477" s="420" t="str">
        <f>IF(DataH!$Z469&lt;0, NA(), IF(ISERROR(DataH!$W469/DataH!$Z469), "", DataH!$W469/DataH!$Z469))</f>
        <v/>
      </c>
      <c r="G477" s="421" t="str">
        <f>IF(DataH!$AB469&lt;0, NA(), IF(ISERROR(DataH!$AA469/DataH!$AB469), "", DataH!$AA469/DataH!$AB469))</f>
        <v/>
      </c>
      <c r="H477" s="419" t="str">
        <f>IF(DataH!$AC469&lt;0, NA(), IF(ISERROR(DataH!$AA469/DataH!$AC469), "", DataH!$AA469/DataH!$AC469))</f>
        <v/>
      </c>
      <c r="I477" s="420" t="str">
        <f>IF(DataH!$AD469&lt;0, NA(), IF(ISERROR(DataH!$AA469/DataH!$AD469), "", DataH!$AA469/DataH!$AD469))</f>
        <v/>
      </c>
    </row>
    <row r="478" spans="2:9" ht="15" customHeight="1">
      <c r="B478" s="322" t="str">
        <f>IF(DataH!$V470="", "", DataH!$V470)</f>
        <v/>
      </c>
      <c r="C478" s="416" t="str">
        <f>IF(DataH!$X470&lt;0, NA(), IF(ISERROR(DataH!$W470/DataH!$X470), "", DataH!$W470/DataH!$X470))</f>
        <v/>
      </c>
      <c r="D478" s="416" t="str">
        <f>IF(DataH!$Y470&lt;0, NA(), IF(ISERROR(DataH!$W470/DataH!$Y470), "", DataH!$W470/DataH!$Y470))</f>
        <v/>
      </c>
      <c r="E478" s="417" t="str">
        <f>IF(DataH!$Z470&lt;0, NA(), IF(ISERROR(DataH!$W470/DataH!$Z470), "", DataH!$W470/DataH!$Z470))</f>
        <v/>
      </c>
      <c r="G478" s="418" t="str">
        <f>IF(DataH!$AB470&lt;0, NA(), IF(ISERROR(DataH!$AA470/DataH!$AB470), "", DataH!$AA470/DataH!$AB470))</f>
        <v/>
      </c>
      <c r="H478" s="416" t="str">
        <f>IF(DataH!$AC470&lt;0, NA(), IF(ISERROR(DataH!$AA470/DataH!$AC470), "", DataH!$AA470/DataH!$AC470))</f>
        <v/>
      </c>
      <c r="I478" s="417" t="str">
        <f>IF(DataH!$AD470&lt;0, NA(), IF(ISERROR(DataH!$AA470/DataH!$AD470), "", DataH!$AA470/DataH!$AD470))</f>
        <v/>
      </c>
    </row>
    <row r="479" spans="2:9" ht="15" customHeight="1">
      <c r="B479" s="318" t="str">
        <f>IF(DataH!$V471="", "", DataH!$V471)</f>
        <v/>
      </c>
      <c r="C479" s="419" t="str">
        <f>IF(DataH!$X471&lt;0, NA(), IF(ISERROR(DataH!$W471/DataH!$X471), "", DataH!$W471/DataH!$X471))</f>
        <v/>
      </c>
      <c r="D479" s="419" t="str">
        <f>IF(DataH!$Y471&lt;0, NA(), IF(ISERROR(DataH!$W471/DataH!$Y471), "", DataH!$W471/DataH!$Y471))</f>
        <v/>
      </c>
      <c r="E479" s="420" t="str">
        <f>IF(DataH!$Z471&lt;0, NA(), IF(ISERROR(DataH!$W471/DataH!$Z471), "", DataH!$W471/DataH!$Z471))</f>
        <v/>
      </c>
      <c r="G479" s="421" t="str">
        <f>IF(DataH!$AB471&lt;0, NA(), IF(ISERROR(DataH!$AA471/DataH!$AB471), "", DataH!$AA471/DataH!$AB471))</f>
        <v/>
      </c>
      <c r="H479" s="419" t="str">
        <f>IF(DataH!$AC471&lt;0, NA(), IF(ISERROR(DataH!$AA471/DataH!$AC471), "", DataH!$AA471/DataH!$AC471))</f>
        <v/>
      </c>
      <c r="I479" s="420" t="str">
        <f>IF(DataH!$AD471&lt;0, NA(), IF(ISERROR(DataH!$AA471/DataH!$AD471), "", DataH!$AA471/DataH!$AD471))</f>
        <v/>
      </c>
    </row>
    <row r="480" spans="2:9" ht="15" customHeight="1">
      <c r="B480" s="322" t="str">
        <f>IF(DataH!$V472="", "", DataH!$V472)</f>
        <v/>
      </c>
      <c r="C480" s="416" t="str">
        <f>IF(DataH!$X472&lt;0, NA(), IF(ISERROR(DataH!$W472/DataH!$X472), "", DataH!$W472/DataH!$X472))</f>
        <v/>
      </c>
      <c r="D480" s="416" t="str">
        <f>IF(DataH!$Y472&lt;0, NA(), IF(ISERROR(DataH!$W472/DataH!$Y472), "", DataH!$W472/DataH!$Y472))</f>
        <v/>
      </c>
      <c r="E480" s="417" t="str">
        <f>IF(DataH!$Z472&lt;0, NA(), IF(ISERROR(DataH!$W472/DataH!$Z472), "", DataH!$W472/DataH!$Z472))</f>
        <v/>
      </c>
      <c r="G480" s="418" t="str">
        <f>IF(DataH!$AB472&lt;0, NA(), IF(ISERROR(DataH!$AA472/DataH!$AB472), "", DataH!$AA472/DataH!$AB472))</f>
        <v/>
      </c>
      <c r="H480" s="416" t="str">
        <f>IF(DataH!$AC472&lt;0, NA(), IF(ISERROR(DataH!$AA472/DataH!$AC472), "", DataH!$AA472/DataH!$AC472))</f>
        <v/>
      </c>
      <c r="I480" s="417" t="str">
        <f>IF(DataH!$AD472&lt;0, NA(), IF(ISERROR(DataH!$AA472/DataH!$AD472), "", DataH!$AA472/DataH!$AD472))</f>
        <v/>
      </c>
    </row>
    <row r="481" spans="2:9" ht="15" customHeight="1">
      <c r="B481" s="318" t="str">
        <f>IF(DataH!$V473="", "", DataH!$V473)</f>
        <v/>
      </c>
      <c r="C481" s="419" t="str">
        <f>IF(DataH!$X473&lt;0, NA(), IF(ISERROR(DataH!$W473/DataH!$X473), "", DataH!$W473/DataH!$X473))</f>
        <v/>
      </c>
      <c r="D481" s="419" t="str">
        <f>IF(DataH!$Y473&lt;0, NA(), IF(ISERROR(DataH!$W473/DataH!$Y473), "", DataH!$W473/DataH!$Y473))</f>
        <v/>
      </c>
      <c r="E481" s="420" t="str">
        <f>IF(DataH!$Z473&lt;0, NA(), IF(ISERROR(DataH!$W473/DataH!$Z473), "", DataH!$W473/DataH!$Z473))</f>
        <v/>
      </c>
      <c r="G481" s="421" t="str">
        <f>IF(DataH!$AB473&lt;0, NA(), IF(ISERROR(DataH!$AA473/DataH!$AB473), "", DataH!$AA473/DataH!$AB473))</f>
        <v/>
      </c>
      <c r="H481" s="419" t="str">
        <f>IF(DataH!$AC473&lt;0, NA(), IF(ISERROR(DataH!$AA473/DataH!$AC473), "", DataH!$AA473/DataH!$AC473))</f>
        <v/>
      </c>
      <c r="I481" s="420" t="str">
        <f>IF(DataH!$AD473&lt;0, NA(), IF(ISERROR(DataH!$AA473/DataH!$AD473), "", DataH!$AA473/DataH!$AD473))</f>
        <v/>
      </c>
    </row>
    <row r="482" spans="2:9" ht="15" customHeight="1">
      <c r="B482" s="322" t="str">
        <f>IF(DataH!$V474="", "", DataH!$V474)</f>
        <v/>
      </c>
      <c r="C482" s="416" t="str">
        <f>IF(DataH!$X474&lt;0, NA(), IF(ISERROR(DataH!$W474/DataH!$X474), "", DataH!$W474/DataH!$X474))</f>
        <v/>
      </c>
      <c r="D482" s="416" t="str">
        <f>IF(DataH!$Y474&lt;0, NA(), IF(ISERROR(DataH!$W474/DataH!$Y474), "", DataH!$W474/DataH!$Y474))</f>
        <v/>
      </c>
      <c r="E482" s="417" t="str">
        <f>IF(DataH!$Z474&lt;0, NA(), IF(ISERROR(DataH!$W474/DataH!$Z474), "", DataH!$W474/DataH!$Z474))</f>
        <v/>
      </c>
      <c r="G482" s="418" t="str">
        <f>IF(DataH!$AB474&lt;0, NA(), IF(ISERROR(DataH!$AA474/DataH!$AB474), "", DataH!$AA474/DataH!$AB474))</f>
        <v/>
      </c>
      <c r="H482" s="416" t="str">
        <f>IF(DataH!$AC474&lt;0, NA(), IF(ISERROR(DataH!$AA474/DataH!$AC474), "", DataH!$AA474/DataH!$AC474))</f>
        <v/>
      </c>
      <c r="I482" s="417" t="str">
        <f>IF(DataH!$AD474&lt;0, NA(), IF(ISERROR(DataH!$AA474/DataH!$AD474), "", DataH!$AA474/DataH!$AD474))</f>
        <v/>
      </c>
    </row>
    <row r="483" spans="2:9" ht="15" customHeight="1">
      <c r="B483" s="318" t="str">
        <f>IF(DataH!$V475="", "", DataH!$V475)</f>
        <v/>
      </c>
      <c r="C483" s="419" t="str">
        <f>IF(DataH!$X475&lt;0, NA(), IF(ISERROR(DataH!$W475/DataH!$X475), "", DataH!$W475/DataH!$X475))</f>
        <v/>
      </c>
      <c r="D483" s="419" t="str">
        <f>IF(DataH!$Y475&lt;0, NA(), IF(ISERROR(DataH!$W475/DataH!$Y475), "", DataH!$W475/DataH!$Y475))</f>
        <v/>
      </c>
      <c r="E483" s="420" t="str">
        <f>IF(DataH!$Z475&lt;0, NA(), IF(ISERROR(DataH!$W475/DataH!$Z475), "", DataH!$W475/DataH!$Z475))</f>
        <v/>
      </c>
      <c r="G483" s="421" t="str">
        <f>IF(DataH!$AB475&lt;0, NA(), IF(ISERROR(DataH!$AA475/DataH!$AB475), "", DataH!$AA475/DataH!$AB475))</f>
        <v/>
      </c>
      <c r="H483" s="419" t="str">
        <f>IF(DataH!$AC475&lt;0, NA(), IF(ISERROR(DataH!$AA475/DataH!$AC475), "", DataH!$AA475/DataH!$AC475))</f>
        <v/>
      </c>
      <c r="I483" s="420" t="str">
        <f>IF(DataH!$AD475&lt;0, NA(), IF(ISERROR(DataH!$AA475/DataH!$AD475), "", DataH!$AA475/DataH!$AD475))</f>
        <v/>
      </c>
    </row>
    <row r="484" spans="2:9" ht="15" customHeight="1">
      <c r="B484" s="322" t="str">
        <f>IF(DataH!$V476="", "", DataH!$V476)</f>
        <v/>
      </c>
      <c r="C484" s="416" t="str">
        <f>IF(DataH!$X476&lt;0, NA(), IF(ISERROR(DataH!$W476/DataH!$X476), "", DataH!$W476/DataH!$X476))</f>
        <v/>
      </c>
      <c r="D484" s="416" t="str">
        <f>IF(DataH!$Y476&lt;0, NA(), IF(ISERROR(DataH!$W476/DataH!$Y476), "", DataH!$W476/DataH!$Y476))</f>
        <v/>
      </c>
      <c r="E484" s="417" t="str">
        <f>IF(DataH!$Z476&lt;0, NA(), IF(ISERROR(DataH!$W476/DataH!$Z476), "", DataH!$W476/DataH!$Z476))</f>
        <v/>
      </c>
      <c r="G484" s="418" t="str">
        <f>IF(DataH!$AB476&lt;0, NA(), IF(ISERROR(DataH!$AA476/DataH!$AB476), "", DataH!$AA476/DataH!$AB476))</f>
        <v/>
      </c>
      <c r="H484" s="416" t="str">
        <f>IF(DataH!$AC476&lt;0, NA(), IF(ISERROR(DataH!$AA476/DataH!$AC476), "", DataH!$AA476/DataH!$AC476))</f>
        <v/>
      </c>
      <c r="I484" s="417" t="str">
        <f>IF(DataH!$AD476&lt;0, NA(), IF(ISERROR(DataH!$AA476/DataH!$AD476), "", DataH!$AA476/DataH!$AD476))</f>
        <v/>
      </c>
    </row>
    <row r="485" spans="2:9" ht="15" customHeight="1">
      <c r="B485" s="318" t="str">
        <f>IF(DataH!$V477="", "", DataH!$V477)</f>
        <v/>
      </c>
      <c r="C485" s="419" t="str">
        <f>IF(DataH!$X477&lt;0, NA(), IF(ISERROR(DataH!$W477/DataH!$X477), "", DataH!$W477/DataH!$X477))</f>
        <v/>
      </c>
      <c r="D485" s="419" t="str">
        <f>IF(DataH!$Y477&lt;0, NA(), IF(ISERROR(DataH!$W477/DataH!$Y477), "", DataH!$W477/DataH!$Y477))</f>
        <v/>
      </c>
      <c r="E485" s="420" t="str">
        <f>IF(DataH!$Z477&lt;0, NA(), IF(ISERROR(DataH!$W477/DataH!$Z477), "", DataH!$W477/DataH!$Z477))</f>
        <v/>
      </c>
      <c r="G485" s="421" t="str">
        <f>IF(DataH!$AB477&lt;0, NA(), IF(ISERROR(DataH!$AA477/DataH!$AB477), "", DataH!$AA477/DataH!$AB477))</f>
        <v/>
      </c>
      <c r="H485" s="419" t="str">
        <f>IF(DataH!$AC477&lt;0, NA(), IF(ISERROR(DataH!$AA477/DataH!$AC477), "", DataH!$AA477/DataH!$AC477))</f>
        <v/>
      </c>
      <c r="I485" s="420" t="str">
        <f>IF(DataH!$AD477&lt;0, NA(), IF(ISERROR(DataH!$AA477/DataH!$AD477), "", DataH!$AA477/DataH!$AD477))</f>
        <v/>
      </c>
    </row>
    <row r="486" spans="2:9" ht="15" customHeight="1">
      <c r="B486" s="322" t="str">
        <f>IF(DataH!$V478="", "", DataH!$V478)</f>
        <v/>
      </c>
      <c r="C486" s="416" t="str">
        <f>IF(DataH!$X478&lt;0, NA(), IF(ISERROR(DataH!$W478/DataH!$X478), "", DataH!$W478/DataH!$X478))</f>
        <v/>
      </c>
      <c r="D486" s="416" t="str">
        <f>IF(DataH!$Y478&lt;0, NA(), IF(ISERROR(DataH!$W478/DataH!$Y478), "", DataH!$W478/DataH!$Y478))</f>
        <v/>
      </c>
      <c r="E486" s="417" t="str">
        <f>IF(DataH!$Z478&lt;0, NA(), IF(ISERROR(DataH!$W478/DataH!$Z478), "", DataH!$W478/DataH!$Z478))</f>
        <v/>
      </c>
      <c r="G486" s="418" t="str">
        <f>IF(DataH!$AB478&lt;0, NA(), IF(ISERROR(DataH!$AA478/DataH!$AB478), "", DataH!$AA478/DataH!$AB478))</f>
        <v/>
      </c>
      <c r="H486" s="416" t="str">
        <f>IF(DataH!$AC478&lt;0, NA(), IF(ISERROR(DataH!$AA478/DataH!$AC478), "", DataH!$AA478/DataH!$AC478))</f>
        <v/>
      </c>
      <c r="I486" s="417" t="str">
        <f>IF(DataH!$AD478&lt;0, NA(), IF(ISERROR(DataH!$AA478/DataH!$AD478), "", DataH!$AA478/DataH!$AD478))</f>
        <v/>
      </c>
    </row>
    <row r="487" spans="2:9" ht="15" customHeight="1">
      <c r="B487" s="318" t="str">
        <f>IF(DataH!$V479="", "", DataH!$V479)</f>
        <v/>
      </c>
      <c r="C487" s="419" t="str">
        <f>IF(DataH!$X479&lt;0, NA(), IF(ISERROR(DataH!$W479/DataH!$X479), "", DataH!$W479/DataH!$X479))</f>
        <v/>
      </c>
      <c r="D487" s="419" t="str">
        <f>IF(DataH!$Y479&lt;0, NA(), IF(ISERROR(DataH!$W479/DataH!$Y479), "", DataH!$W479/DataH!$Y479))</f>
        <v/>
      </c>
      <c r="E487" s="420" t="str">
        <f>IF(DataH!$Z479&lt;0, NA(), IF(ISERROR(DataH!$W479/DataH!$Z479), "", DataH!$W479/DataH!$Z479))</f>
        <v/>
      </c>
      <c r="G487" s="421" t="str">
        <f>IF(DataH!$AB479&lt;0, NA(), IF(ISERROR(DataH!$AA479/DataH!$AB479), "", DataH!$AA479/DataH!$AB479))</f>
        <v/>
      </c>
      <c r="H487" s="419" t="str">
        <f>IF(DataH!$AC479&lt;0, NA(), IF(ISERROR(DataH!$AA479/DataH!$AC479), "", DataH!$AA479/DataH!$AC479))</f>
        <v/>
      </c>
      <c r="I487" s="420" t="str">
        <f>IF(DataH!$AD479&lt;0, NA(), IF(ISERROR(DataH!$AA479/DataH!$AD479), "", DataH!$AA479/DataH!$AD479))</f>
        <v/>
      </c>
    </row>
    <row r="488" spans="2:9" ht="15" customHeight="1">
      <c r="B488" s="322" t="str">
        <f>IF(DataH!$V480="", "", DataH!$V480)</f>
        <v/>
      </c>
      <c r="C488" s="416" t="str">
        <f>IF(DataH!$X480&lt;0, NA(), IF(ISERROR(DataH!$W480/DataH!$X480), "", DataH!$W480/DataH!$X480))</f>
        <v/>
      </c>
      <c r="D488" s="416" t="str">
        <f>IF(DataH!$Y480&lt;0, NA(), IF(ISERROR(DataH!$W480/DataH!$Y480), "", DataH!$W480/DataH!$Y480))</f>
        <v/>
      </c>
      <c r="E488" s="417" t="str">
        <f>IF(DataH!$Z480&lt;0, NA(), IF(ISERROR(DataH!$W480/DataH!$Z480), "", DataH!$W480/DataH!$Z480))</f>
        <v/>
      </c>
      <c r="G488" s="418" t="str">
        <f>IF(DataH!$AB480&lt;0, NA(), IF(ISERROR(DataH!$AA480/DataH!$AB480), "", DataH!$AA480/DataH!$AB480))</f>
        <v/>
      </c>
      <c r="H488" s="416" t="str">
        <f>IF(DataH!$AC480&lt;0, NA(), IF(ISERROR(DataH!$AA480/DataH!$AC480), "", DataH!$AA480/DataH!$AC480))</f>
        <v/>
      </c>
      <c r="I488" s="417" t="str">
        <f>IF(DataH!$AD480&lt;0, NA(), IF(ISERROR(DataH!$AA480/DataH!$AD480), "", DataH!$AA480/DataH!$AD480))</f>
        <v/>
      </c>
    </row>
    <row r="489" spans="2:9" ht="15" customHeight="1">
      <c r="B489" s="318" t="str">
        <f>IF(DataH!$V481="", "", DataH!$V481)</f>
        <v/>
      </c>
      <c r="C489" s="419" t="str">
        <f>IF(DataH!$X481&lt;0, NA(), IF(ISERROR(DataH!$W481/DataH!$X481), "", DataH!$W481/DataH!$X481))</f>
        <v/>
      </c>
      <c r="D489" s="419" t="str">
        <f>IF(DataH!$Y481&lt;0, NA(), IF(ISERROR(DataH!$W481/DataH!$Y481), "", DataH!$W481/DataH!$Y481))</f>
        <v/>
      </c>
      <c r="E489" s="420" t="str">
        <f>IF(DataH!$Z481&lt;0, NA(), IF(ISERROR(DataH!$W481/DataH!$Z481), "", DataH!$W481/DataH!$Z481))</f>
        <v/>
      </c>
      <c r="G489" s="421" t="str">
        <f>IF(DataH!$AB481&lt;0, NA(), IF(ISERROR(DataH!$AA481/DataH!$AB481), "", DataH!$AA481/DataH!$AB481))</f>
        <v/>
      </c>
      <c r="H489" s="419" t="str">
        <f>IF(DataH!$AC481&lt;0, NA(), IF(ISERROR(DataH!$AA481/DataH!$AC481), "", DataH!$AA481/DataH!$AC481))</f>
        <v/>
      </c>
      <c r="I489" s="420" t="str">
        <f>IF(DataH!$AD481&lt;0, NA(), IF(ISERROR(DataH!$AA481/DataH!$AD481), "", DataH!$AA481/DataH!$AD481))</f>
        <v/>
      </c>
    </row>
    <row r="490" spans="2:9" ht="15" customHeight="1">
      <c r="B490" s="322" t="str">
        <f>IF(DataH!$V482="", "", DataH!$V482)</f>
        <v/>
      </c>
      <c r="C490" s="416" t="str">
        <f>IF(DataH!$X482&lt;0, NA(), IF(ISERROR(DataH!$W482/DataH!$X482), "", DataH!$W482/DataH!$X482))</f>
        <v/>
      </c>
      <c r="D490" s="416" t="str">
        <f>IF(DataH!$Y482&lt;0, NA(), IF(ISERROR(DataH!$W482/DataH!$Y482), "", DataH!$W482/DataH!$Y482))</f>
        <v/>
      </c>
      <c r="E490" s="417" t="str">
        <f>IF(DataH!$Z482&lt;0, NA(), IF(ISERROR(DataH!$W482/DataH!$Z482), "", DataH!$W482/DataH!$Z482))</f>
        <v/>
      </c>
      <c r="G490" s="418" t="str">
        <f>IF(DataH!$AB482&lt;0, NA(), IF(ISERROR(DataH!$AA482/DataH!$AB482), "", DataH!$AA482/DataH!$AB482))</f>
        <v/>
      </c>
      <c r="H490" s="416" t="str">
        <f>IF(DataH!$AC482&lt;0, NA(), IF(ISERROR(DataH!$AA482/DataH!$AC482), "", DataH!$AA482/DataH!$AC482))</f>
        <v/>
      </c>
      <c r="I490" s="417" t="str">
        <f>IF(DataH!$AD482&lt;0, NA(), IF(ISERROR(DataH!$AA482/DataH!$AD482), "", DataH!$AA482/DataH!$AD482))</f>
        <v/>
      </c>
    </row>
    <row r="491" spans="2:9" ht="15" customHeight="1">
      <c r="B491" s="318" t="str">
        <f>IF(DataH!$V483="", "", DataH!$V483)</f>
        <v/>
      </c>
      <c r="C491" s="419" t="str">
        <f>IF(DataH!$X483&lt;0, NA(), IF(ISERROR(DataH!$W483/DataH!$X483), "", DataH!$W483/DataH!$X483))</f>
        <v/>
      </c>
      <c r="D491" s="419" t="str">
        <f>IF(DataH!$Y483&lt;0, NA(), IF(ISERROR(DataH!$W483/DataH!$Y483), "", DataH!$W483/DataH!$Y483))</f>
        <v/>
      </c>
      <c r="E491" s="420" t="str">
        <f>IF(DataH!$Z483&lt;0, NA(), IF(ISERROR(DataH!$W483/DataH!$Z483), "", DataH!$W483/DataH!$Z483))</f>
        <v/>
      </c>
      <c r="G491" s="421" t="str">
        <f>IF(DataH!$AB483&lt;0, NA(), IF(ISERROR(DataH!$AA483/DataH!$AB483), "", DataH!$AA483/DataH!$AB483))</f>
        <v/>
      </c>
      <c r="H491" s="419" t="str">
        <f>IF(DataH!$AC483&lt;0, NA(), IF(ISERROR(DataH!$AA483/DataH!$AC483), "", DataH!$AA483/DataH!$AC483))</f>
        <v/>
      </c>
      <c r="I491" s="420" t="str">
        <f>IF(DataH!$AD483&lt;0, NA(), IF(ISERROR(DataH!$AA483/DataH!$AD483), "", DataH!$AA483/DataH!$AD483))</f>
        <v/>
      </c>
    </row>
    <row r="492" spans="2:9" ht="15" customHeight="1">
      <c r="B492" s="322" t="str">
        <f>IF(DataH!$V484="", "", DataH!$V484)</f>
        <v/>
      </c>
      <c r="C492" s="416" t="str">
        <f>IF(DataH!$X484&lt;0, NA(), IF(ISERROR(DataH!$W484/DataH!$X484), "", DataH!$W484/DataH!$X484))</f>
        <v/>
      </c>
      <c r="D492" s="416" t="str">
        <f>IF(DataH!$Y484&lt;0, NA(), IF(ISERROR(DataH!$W484/DataH!$Y484), "", DataH!$W484/DataH!$Y484))</f>
        <v/>
      </c>
      <c r="E492" s="417" t="str">
        <f>IF(DataH!$Z484&lt;0, NA(), IF(ISERROR(DataH!$W484/DataH!$Z484), "", DataH!$W484/DataH!$Z484))</f>
        <v/>
      </c>
      <c r="G492" s="418" t="str">
        <f>IF(DataH!$AB484&lt;0, NA(), IF(ISERROR(DataH!$AA484/DataH!$AB484), "", DataH!$AA484/DataH!$AB484))</f>
        <v/>
      </c>
      <c r="H492" s="416" t="str">
        <f>IF(DataH!$AC484&lt;0, NA(), IF(ISERROR(DataH!$AA484/DataH!$AC484), "", DataH!$AA484/DataH!$AC484))</f>
        <v/>
      </c>
      <c r="I492" s="417" t="str">
        <f>IF(DataH!$AD484&lt;0, NA(), IF(ISERROR(DataH!$AA484/DataH!$AD484), "", DataH!$AA484/DataH!$AD484))</f>
        <v/>
      </c>
    </row>
    <row r="493" spans="2:9" ht="15" customHeight="1">
      <c r="B493" s="318" t="str">
        <f>IF(DataH!$V485="", "", DataH!$V485)</f>
        <v/>
      </c>
      <c r="C493" s="419" t="str">
        <f>IF(DataH!$X485&lt;0, NA(), IF(ISERROR(DataH!$W485/DataH!$X485), "", DataH!$W485/DataH!$X485))</f>
        <v/>
      </c>
      <c r="D493" s="419" t="str">
        <f>IF(DataH!$Y485&lt;0, NA(), IF(ISERROR(DataH!$W485/DataH!$Y485), "", DataH!$W485/DataH!$Y485))</f>
        <v/>
      </c>
      <c r="E493" s="420" t="str">
        <f>IF(DataH!$Z485&lt;0, NA(), IF(ISERROR(DataH!$W485/DataH!$Z485), "", DataH!$W485/DataH!$Z485))</f>
        <v/>
      </c>
      <c r="G493" s="421" t="str">
        <f>IF(DataH!$AB485&lt;0, NA(), IF(ISERROR(DataH!$AA485/DataH!$AB485), "", DataH!$AA485/DataH!$AB485))</f>
        <v/>
      </c>
      <c r="H493" s="419" t="str">
        <f>IF(DataH!$AC485&lt;0, NA(), IF(ISERROR(DataH!$AA485/DataH!$AC485), "", DataH!$AA485/DataH!$AC485))</f>
        <v/>
      </c>
      <c r="I493" s="420" t="str">
        <f>IF(DataH!$AD485&lt;0, NA(), IF(ISERROR(DataH!$AA485/DataH!$AD485), "", DataH!$AA485/DataH!$AD485))</f>
        <v/>
      </c>
    </row>
    <row r="494" spans="2:9" ht="15" customHeight="1">
      <c r="B494" s="322" t="str">
        <f>IF(DataH!$V486="", "", DataH!$V486)</f>
        <v/>
      </c>
      <c r="C494" s="416" t="str">
        <f>IF(DataH!$X486&lt;0, NA(), IF(ISERROR(DataH!$W486/DataH!$X486), "", DataH!$W486/DataH!$X486))</f>
        <v/>
      </c>
      <c r="D494" s="416" t="str">
        <f>IF(DataH!$Y486&lt;0, NA(), IF(ISERROR(DataH!$W486/DataH!$Y486), "", DataH!$W486/DataH!$Y486))</f>
        <v/>
      </c>
      <c r="E494" s="417" t="str">
        <f>IF(DataH!$Z486&lt;0, NA(), IF(ISERROR(DataH!$W486/DataH!$Z486), "", DataH!$W486/DataH!$Z486))</f>
        <v/>
      </c>
      <c r="G494" s="418" t="str">
        <f>IF(DataH!$AB486&lt;0, NA(), IF(ISERROR(DataH!$AA486/DataH!$AB486), "", DataH!$AA486/DataH!$AB486))</f>
        <v/>
      </c>
      <c r="H494" s="416" t="str">
        <f>IF(DataH!$AC486&lt;0, NA(), IF(ISERROR(DataH!$AA486/DataH!$AC486), "", DataH!$AA486/DataH!$AC486))</f>
        <v/>
      </c>
      <c r="I494" s="417" t="str">
        <f>IF(DataH!$AD486&lt;0, NA(), IF(ISERROR(DataH!$AA486/DataH!$AD486), "", DataH!$AA486/DataH!$AD486))</f>
        <v/>
      </c>
    </row>
    <row r="495" spans="2:9" ht="15" customHeight="1">
      <c r="B495" s="318" t="str">
        <f>IF(DataH!$V487="", "", DataH!$V487)</f>
        <v/>
      </c>
      <c r="C495" s="419" t="str">
        <f>IF(DataH!$X487&lt;0, NA(), IF(ISERROR(DataH!$W487/DataH!$X487), "", DataH!$W487/DataH!$X487))</f>
        <v/>
      </c>
      <c r="D495" s="419" t="str">
        <f>IF(DataH!$Y487&lt;0, NA(), IF(ISERROR(DataH!$W487/DataH!$Y487), "", DataH!$W487/DataH!$Y487))</f>
        <v/>
      </c>
      <c r="E495" s="420" t="str">
        <f>IF(DataH!$Z487&lt;0, NA(), IF(ISERROR(DataH!$W487/DataH!$Z487), "", DataH!$W487/DataH!$Z487))</f>
        <v/>
      </c>
      <c r="G495" s="421" t="str">
        <f>IF(DataH!$AB487&lt;0, NA(), IF(ISERROR(DataH!$AA487/DataH!$AB487), "", DataH!$AA487/DataH!$AB487))</f>
        <v/>
      </c>
      <c r="H495" s="419" t="str">
        <f>IF(DataH!$AC487&lt;0, NA(), IF(ISERROR(DataH!$AA487/DataH!$AC487), "", DataH!$AA487/DataH!$AC487))</f>
        <v/>
      </c>
      <c r="I495" s="420" t="str">
        <f>IF(DataH!$AD487&lt;0, NA(), IF(ISERROR(DataH!$AA487/DataH!$AD487), "", DataH!$AA487/DataH!$AD487))</f>
        <v/>
      </c>
    </row>
    <row r="496" spans="2:9" ht="15" customHeight="1">
      <c r="B496" s="322" t="str">
        <f>IF(DataH!$V488="", "", DataH!$V488)</f>
        <v/>
      </c>
      <c r="C496" s="416" t="str">
        <f>IF(DataH!$X488&lt;0, NA(), IF(ISERROR(DataH!$W488/DataH!$X488), "", DataH!$W488/DataH!$X488))</f>
        <v/>
      </c>
      <c r="D496" s="416" t="str">
        <f>IF(DataH!$Y488&lt;0, NA(), IF(ISERROR(DataH!$W488/DataH!$Y488), "", DataH!$W488/DataH!$Y488))</f>
        <v/>
      </c>
      <c r="E496" s="417" t="str">
        <f>IF(DataH!$Z488&lt;0, NA(), IF(ISERROR(DataH!$W488/DataH!$Z488), "", DataH!$W488/DataH!$Z488))</f>
        <v/>
      </c>
      <c r="G496" s="418" t="str">
        <f>IF(DataH!$AB488&lt;0, NA(), IF(ISERROR(DataH!$AA488/DataH!$AB488), "", DataH!$AA488/DataH!$AB488))</f>
        <v/>
      </c>
      <c r="H496" s="416" t="str">
        <f>IF(DataH!$AC488&lt;0, NA(), IF(ISERROR(DataH!$AA488/DataH!$AC488), "", DataH!$AA488/DataH!$AC488))</f>
        <v/>
      </c>
      <c r="I496" s="417" t="str">
        <f>IF(DataH!$AD488&lt;0, NA(), IF(ISERROR(DataH!$AA488/DataH!$AD488), "", DataH!$AA488/DataH!$AD488))</f>
        <v/>
      </c>
    </row>
    <row r="497" spans="2:9" ht="15" customHeight="1">
      <c r="B497" s="318" t="str">
        <f>IF(DataH!$V489="", "", DataH!$V489)</f>
        <v/>
      </c>
      <c r="C497" s="419" t="str">
        <f>IF(DataH!$X489&lt;0, NA(), IF(ISERROR(DataH!$W489/DataH!$X489), "", DataH!$W489/DataH!$X489))</f>
        <v/>
      </c>
      <c r="D497" s="419" t="str">
        <f>IF(DataH!$Y489&lt;0, NA(), IF(ISERROR(DataH!$W489/DataH!$Y489), "", DataH!$W489/DataH!$Y489))</f>
        <v/>
      </c>
      <c r="E497" s="420" t="str">
        <f>IF(DataH!$Z489&lt;0, NA(), IF(ISERROR(DataH!$W489/DataH!$Z489), "", DataH!$W489/DataH!$Z489))</f>
        <v/>
      </c>
      <c r="G497" s="421" t="str">
        <f>IF(DataH!$AB489&lt;0, NA(), IF(ISERROR(DataH!$AA489/DataH!$AB489), "", DataH!$AA489/DataH!$AB489))</f>
        <v/>
      </c>
      <c r="H497" s="419" t="str">
        <f>IF(DataH!$AC489&lt;0, NA(), IF(ISERROR(DataH!$AA489/DataH!$AC489), "", DataH!$AA489/DataH!$AC489))</f>
        <v/>
      </c>
      <c r="I497" s="420" t="str">
        <f>IF(DataH!$AD489&lt;0, NA(), IF(ISERROR(DataH!$AA489/DataH!$AD489), "", DataH!$AA489/DataH!$AD489))</f>
        <v/>
      </c>
    </row>
    <row r="498" spans="2:9" ht="15" customHeight="1">
      <c r="B498" s="322" t="str">
        <f>IF(DataH!$V490="", "", DataH!$V490)</f>
        <v/>
      </c>
      <c r="C498" s="416" t="str">
        <f>IF(DataH!$X490&lt;0, NA(), IF(ISERROR(DataH!$W490/DataH!$X490), "", DataH!$W490/DataH!$X490))</f>
        <v/>
      </c>
      <c r="D498" s="416" t="str">
        <f>IF(DataH!$Y490&lt;0, NA(), IF(ISERROR(DataH!$W490/DataH!$Y490), "", DataH!$W490/DataH!$Y490))</f>
        <v/>
      </c>
      <c r="E498" s="417" t="str">
        <f>IF(DataH!$Z490&lt;0, NA(), IF(ISERROR(DataH!$W490/DataH!$Z490), "", DataH!$W490/DataH!$Z490))</f>
        <v/>
      </c>
      <c r="G498" s="418" t="str">
        <f>IF(DataH!$AB490&lt;0, NA(), IF(ISERROR(DataH!$AA490/DataH!$AB490), "", DataH!$AA490/DataH!$AB490))</f>
        <v/>
      </c>
      <c r="H498" s="416" t="str">
        <f>IF(DataH!$AC490&lt;0, NA(), IF(ISERROR(DataH!$AA490/DataH!$AC490), "", DataH!$AA490/DataH!$AC490))</f>
        <v/>
      </c>
      <c r="I498" s="417" t="str">
        <f>IF(DataH!$AD490&lt;0, NA(), IF(ISERROR(DataH!$AA490/DataH!$AD490), "", DataH!$AA490/DataH!$AD490))</f>
        <v/>
      </c>
    </row>
    <row r="499" spans="2:9" ht="15" customHeight="1">
      <c r="B499" s="318" t="str">
        <f>IF(DataH!$V491="", "", DataH!$V491)</f>
        <v/>
      </c>
      <c r="C499" s="419" t="str">
        <f>IF(DataH!$X491&lt;0, NA(), IF(ISERROR(DataH!$W491/DataH!$X491), "", DataH!$W491/DataH!$X491))</f>
        <v/>
      </c>
      <c r="D499" s="419" t="str">
        <f>IF(DataH!$Y491&lt;0, NA(), IF(ISERROR(DataH!$W491/DataH!$Y491), "", DataH!$W491/DataH!$Y491))</f>
        <v/>
      </c>
      <c r="E499" s="420" t="str">
        <f>IF(DataH!$Z491&lt;0, NA(), IF(ISERROR(DataH!$W491/DataH!$Z491), "", DataH!$W491/DataH!$Z491))</f>
        <v/>
      </c>
      <c r="G499" s="421" t="str">
        <f>IF(DataH!$AB491&lt;0, NA(), IF(ISERROR(DataH!$AA491/DataH!$AB491), "", DataH!$AA491/DataH!$AB491))</f>
        <v/>
      </c>
      <c r="H499" s="419" t="str">
        <f>IF(DataH!$AC491&lt;0, NA(), IF(ISERROR(DataH!$AA491/DataH!$AC491), "", DataH!$AA491/DataH!$AC491))</f>
        <v/>
      </c>
      <c r="I499" s="420" t="str">
        <f>IF(DataH!$AD491&lt;0, NA(), IF(ISERROR(DataH!$AA491/DataH!$AD491), "", DataH!$AA491/DataH!$AD491))</f>
        <v/>
      </c>
    </row>
    <row r="500" spans="2:9" ht="15" customHeight="1">
      <c r="B500" s="322" t="str">
        <f>IF(DataH!$V492="", "", DataH!$V492)</f>
        <v/>
      </c>
      <c r="C500" s="416" t="str">
        <f>IF(DataH!$X492&lt;0, NA(), IF(ISERROR(DataH!$W492/DataH!$X492), "", DataH!$W492/DataH!$X492))</f>
        <v/>
      </c>
      <c r="D500" s="416" t="str">
        <f>IF(DataH!$Y492&lt;0, NA(), IF(ISERROR(DataH!$W492/DataH!$Y492), "", DataH!$W492/DataH!$Y492))</f>
        <v/>
      </c>
      <c r="E500" s="417" t="str">
        <f>IF(DataH!$Z492&lt;0, NA(), IF(ISERROR(DataH!$W492/DataH!$Z492), "", DataH!$W492/DataH!$Z492))</f>
        <v/>
      </c>
      <c r="G500" s="418" t="str">
        <f>IF(DataH!$AB492&lt;0, NA(), IF(ISERROR(DataH!$AA492/DataH!$AB492), "", DataH!$AA492/DataH!$AB492))</f>
        <v/>
      </c>
      <c r="H500" s="416" t="str">
        <f>IF(DataH!$AC492&lt;0, NA(), IF(ISERROR(DataH!$AA492/DataH!$AC492), "", DataH!$AA492/DataH!$AC492))</f>
        <v/>
      </c>
      <c r="I500" s="417" t="str">
        <f>IF(DataH!$AD492&lt;0, NA(), IF(ISERROR(DataH!$AA492/DataH!$AD492), "", DataH!$AA492/DataH!$AD492))</f>
        <v/>
      </c>
    </row>
    <row r="501" spans="2:9" ht="15" customHeight="1">
      <c r="B501" s="318" t="str">
        <f>IF(DataH!$V493="", "", DataH!$V493)</f>
        <v/>
      </c>
      <c r="C501" s="419" t="str">
        <f>IF(DataH!$X493&lt;0, NA(), IF(ISERROR(DataH!$W493/DataH!$X493), "", DataH!$W493/DataH!$X493))</f>
        <v/>
      </c>
      <c r="D501" s="419" t="str">
        <f>IF(DataH!$Y493&lt;0, NA(), IF(ISERROR(DataH!$W493/DataH!$Y493), "", DataH!$W493/DataH!$Y493))</f>
        <v/>
      </c>
      <c r="E501" s="420" t="str">
        <f>IF(DataH!$Z493&lt;0, NA(), IF(ISERROR(DataH!$W493/DataH!$Z493), "", DataH!$W493/DataH!$Z493))</f>
        <v/>
      </c>
      <c r="G501" s="421" t="str">
        <f>IF(DataH!$AB493&lt;0, NA(), IF(ISERROR(DataH!$AA493/DataH!$AB493), "", DataH!$AA493/DataH!$AB493))</f>
        <v/>
      </c>
      <c r="H501" s="419" t="str">
        <f>IF(DataH!$AC493&lt;0, NA(), IF(ISERROR(DataH!$AA493/DataH!$AC493), "", DataH!$AA493/DataH!$AC493))</f>
        <v/>
      </c>
      <c r="I501" s="420" t="str">
        <f>IF(DataH!$AD493&lt;0, NA(), IF(ISERROR(DataH!$AA493/DataH!$AD493), "", DataH!$AA493/DataH!$AD493))</f>
        <v/>
      </c>
    </row>
    <row r="502" spans="2:9" ht="15" customHeight="1">
      <c r="B502" s="322" t="str">
        <f>IF(DataH!$V494="", "", DataH!$V494)</f>
        <v/>
      </c>
      <c r="C502" s="416" t="str">
        <f>IF(DataH!$X494&lt;0, NA(), IF(ISERROR(DataH!$W494/DataH!$X494), "", DataH!$W494/DataH!$X494))</f>
        <v/>
      </c>
      <c r="D502" s="416" t="str">
        <f>IF(DataH!$Y494&lt;0, NA(), IF(ISERROR(DataH!$W494/DataH!$Y494), "", DataH!$W494/DataH!$Y494))</f>
        <v/>
      </c>
      <c r="E502" s="417" t="str">
        <f>IF(DataH!$Z494&lt;0, NA(), IF(ISERROR(DataH!$W494/DataH!$Z494), "", DataH!$W494/DataH!$Z494))</f>
        <v/>
      </c>
      <c r="G502" s="418" t="str">
        <f>IF(DataH!$AB494&lt;0, NA(), IF(ISERROR(DataH!$AA494/DataH!$AB494), "", DataH!$AA494/DataH!$AB494))</f>
        <v/>
      </c>
      <c r="H502" s="416" t="str">
        <f>IF(DataH!$AC494&lt;0, NA(), IF(ISERROR(DataH!$AA494/DataH!$AC494), "", DataH!$AA494/DataH!$AC494))</f>
        <v/>
      </c>
      <c r="I502" s="417" t="str">
        <f>IF(DataH!$AD494&lt;0, NA(), IF(ISERROR(DataH!$AA494/DataH!$AD494), "", DataH!$AA494/DataH!$AD494))</f>
        <v/>
      </c>
    </row>
    <row r="503" spans="2:9" ht="15" customHeight="1">
      <c r="B503" s="318" t="str">
        <f>IF(DataH!$V495="", "", DataH!$V495)</f>
        <v/>
      </c>
      <c r="C503" s="419" t="str">
        <f>IF(DataH!$X495&lt;0, NA(), IF(ISERROR(DataH!$W495/DataH!$X495), "", DataH!$W495/DataH!$X495))</f>
        <v/>
      </c>
      <c r="D503" s="419" t="str">
        <f>IF(DataH!$Y495&lt;0, NA(), IF(ISERROR(DataH!$W495/DataH!$Y495), "", DataH!$W495/DataH!$Y495))</f>
        <v/>
      </c>
      <c r="E503" s="420" t="str">
        <f>IF(DataH!$Z495&lt;0, NA(), IF(ISERROR(DataH!$W495/DataH!$Z495), "", DataH!$W495/DataH!$Z495))</f>
        <v/>
      </c>
      <c r="G503" s="421" t="str">
        <f>IF(DataH!$AB495&lt;0, NA(), IF(ISERROR(DataH!$AA495/DataH!$AB495), "", DataH!$AA495/DataH!$AB495))</f>
        <v/>
      </c>
      <c r="H503" s="419" t="str">
        <f>IF(DataH!$AC495&lt;0, NA(), IF(ISERROR(DataH!$AA495/DataH!$AC495), "", DataH!$AA495/DataH!$AC495))</f>
        <v/>
      </c>
      <c r="I503" s="420" t="str">
        <f>IF(DataH!$AD495&lt;0, NA(), IF(ISERROR(DataH!$AA495/DataH!$AD495), "", DataH!$AA495/DataH!$AD495))</f>
        <v/>
      </c>
    </row>
    <row r="504" spans="2:9" ht="15" customHeight="1">
      <c r="B504" s="322" t="str">
        <f>IF(DataH!$V496="", "", DataH!$V496)</f>
        <v/>
      </c>
      <c r="C504" s="416" t="str">
        <f>IF(DataH!$X496&lt;0, NA(), IF(ISERROR(DataH!$W496/DataH!$X496), "", DataH!$W496/DataH!$X496))</f>
        <v/>
      </c>
      <c r="D504" s="416" t="str">
        <f>IF(DataH!$Y496&lt;0, NA(), IF(ISERROR(DataH!$W496/DataH!$Y496), "", DataH!$W496/DataH!$Y496))</f>
        <v/>
      </c>
      <c r="E504" s="417" t="str">
        <f>IF(DataH!$Z496&lt;0, NA(), IF(ISERROR(DataH!$W496/DataH!$Z496), "", DataH!$W496/DataH!$Z496))</f>
        <v/>
      </c>
      <c r="G504" s="418" t="str">
        <f>IF(DataH!$AB496&lt;0, NA(), IF(ISERROR(DataH!$AA496/DataH!$AB496), "", DataH!$AA496/DataH!$AB496))</f>
        <v/>
      </c>
      <c r="H504" s="416" t="str">
        <f>IF(DataH!$AC496&lt;0, NA(), IF(ISERROR(DataH!$AA496/DataH!$AC496), "", DataH!$AA496/DataH!$AC496))</f>
        <v/>
      </c>
      <c r="I504" s="417" t="str">
        <f>IF(DataH!$AD496&lt;0, NA(), IF(ISERROR(DataH!$AA496/DataH!$AD496), "", DataH!$AA496/DataH!$AD496))</f>
        <v/>
      </c>
    </row>
    <row r="505" spans="2:9" ht="15" customHeight="1">
      <c r="B505" s="318" t="str">
        <f>IF(DataH!$V497="", "", DataH!$V497)</f>
        <v/>
      </c>
      <c r="C505" s="419" t="str">
        <f>IF(DataH!$X497&lt;0, NA(), IF(ISERROR(DataH!$W497/DataH!$X497), "", DataH!$W497/DataH!$X497))</f>
        <v/>
      </c>
      <c r="D505" s="419" t="str">
        <f>IF(DataH!$Y497&lt;0, NA(), IF(ISERROR(DataH!$W497/DataH!$Y497), "", DataH!$W497/DataH!$Y497))</f>
        <v/>
      </c>
      <c r="E505" s="420" t="str">
        <f>IF(DataH!$Z497&lt;0, NA(), IF(ISERROR(DataH!$W497/DataH!$Z497), "", DataH!$W497/DataH!$Z497))</f>
        <v/>
      </c>
      <c r="G505" s="421" t="str">
        <f>IF(DataH!$AB497&lt;0, NA(), IF(ISERROR(DataH!$AA497/DataH!$AB497), "", DataH!$AA497/DataH!$AB497))</f>
        <v/>
      </c>
      <c r="H505" s="419" t="str">
        <f>IF(DataH!$AC497&lt;0, NA(), IF(ISERROR(DataH!$AA497/DataH!$AC497), "", DataH!$AA497/DataH!$AC497))</f>
        <v/>
      </c>
      <c r="I505" s="420" t="str">
        <f>IF(DataH!$AD497&lt;0, NA(), IF(ISERROR(DataH!$AA497/DataH!$AD497), "", DataH!$AA497/DataH!$AD497))</f>
        <v/>
      </c>
    </row>
    <row r="506" spans="2:9" ht="15" customHeight="1">
      <c r="B506" s="322" t="str">
        <f>IF(DataH!$V498="", "", DataH!$V498)</f>
        <v/>
      </c>
      <c r="C506" s="416" t="str">
        <f>IF(DataH!$X498&lt;0, NA(), IF(ISERROR(DataH!$W498/DataH!$X498), "", DataH!$W498/DataH!$X498))</f>
        <v/>
      </c>
      <c r="D506" s="416" t="str">
        <f>IF(DataH!$Y498&lt;0, NA(), IF(ISERROR(DataH!$W498/DataH!$Y498), "", DataH!$W498/DataH!$Y498))</f>
        <v/>
      </c>
      <c r="E506" s="417" t="str">
        <f>IF(DataH!$Z498&lt;0, NA(), IF(ISERROR(DataH!$W498/DataH!$Z498), "", DataH!$W498/DataH!$Z498))</f>
        <v/>
      </c>
      <c r="G506" s="418" t="str">
        <f>IF(DataH!$AB498&lt;0, NA(), IF(ISERROR(DataH!$AA498/DataH!$AB498), "", DataH!$AA498/DataH!$AB498))</f>
        <v/>
      </c>
      <c r="H506" s="416" t="str">
        <f>IF(DataH!$AC498&lt;0, NA(), IF(ISERROR(DataH!$AA498/DataH!$AC498), "", DataH!$AA498/DataH!$AC498))</f>
        <v/>
      </c>
      <c r="I506" s="417" t="str">
        <f>IF(DataH!$AD498&lt;0, NA(), IF(ISERROR(DataH!$AA498/DataH!$AD498), "", DataH!$AA498/DataH!$AD498))</f>
        <v/>
      </c>
    </row>
    <row r="507" spans="2:9" ht="15" customHeight="1">
      <c r="B507" s="318" t="str">
        <f>IF(DataH!$V499="", "", DataH!$V499)</f>
        <v/>
      </c>
      <c r="C507" s="419" t="str">
        <f>IF(DataH!$X499&lt;0, NA(), IF(ISERROR(DataH!$W499/DataH!$X499), "", DataH!$W499/DataH!$X499))</f>
        <v/>
      </c>
      <c r="D507" s="419" t="str">
        <f>IF(DataH!$Y499&lt;0, NA(), IF(ISERROR(DataH!$W499/DataH!$Y499), "", DataH!$W499/DataH!$Y499))</f>
        <v/>
      </c>
      <c r="E507" s="420" t="str">
        <f>IF(DataH!$Z499&lt;0, NA(), IF(ISERROR(DataH!$W499/DataH!$Z499), "", DataH!$W499/DataH!$Z499))</f>
        <v/>
      </c>
      <c r="G507" s="421" t="str">
        <f>IF(DataH!$AB499&lt;0, NA(), IF(ISERROR(DataH!$AA499/DataH!$AB499), "", DataH!$AA499/DataH!$AB499))</f>
        <v/>
      </c>
      <c r="H507" s="419" t="str">
        <f>IF(DataH!$AC499&lt;0, NA(), IF(ISERROR(DataH!$AA499/DataH!$AC499), "", DataH!$AA499/DataH!$AC499))</f>
        <v/>
      </c>
      <c r="I507" s="420" t="str">
        <f>IF(DataH!$AD499&lt;0, NA(), IF(ISERROR(DataH!$AA499/DataH!$AD499), "", DataH!$AA499/DataH!$AD499))</f>
        <v/>
      </c>
    </row>
    <row r="508" spans="2:9" ht="15" customHeight="1">
      <c r="B508" s="322" t="str">
        <f>IF(DataH!$V500="", "", DataH!$V500)</f>
        <v/>
      </c>
      <c r="C508" s="416" t="str">
        <f>IF(DataH!$X500&lt;0, NA(), IF(ISERROR(DataH!$W500/DataH!$X500), "", DataH!$W500/DataH!$X500))</f>
        <v/>
      </c>
      <c r="D508" s="416" t="str">
        <f>IF(DataH!$Y500&lt;0, NA(), IF(ISERROR(DataH!$W500/DataH!$Y500), "", DataH!$W500/DataH!$Y500))</f>
        <v/>
      </c>
      <c r="E508" s="417" t="str">
        <f>IF(DataH!$Z500&lt;0, NA(), IF(ISERROR(DataH!$W500/DataH!$Z500), "", DataH!$W500/DataH!$Z500))</f>
        <v/>
      </c>
      <c r="G508" s="418" t="str">
        <f>IF(DataH!$AB500&lt;0, NA(), IF(ISERROR(DataH!$AA500/DataH!$AB500), "", DataH!$AA500/DataH!$AB500))</f>
        <v/>
      </c>
      <c r="H508" s="416" t="str">
        <f>IF(DataH!$AC500&lt;0, NA(), IF(ISERROR(DataH!$AA500/DataH!$AC500), "", DataH!$AA500/DataH!$AC500))</f>
        <v/>
      </c>
      <c r="I508" s="417" t="str">
        <f>IF(DataH!$AD500&lt;0, NA(), IF(ISERROR(DataH!$AA500/DataH!$AD500), "", DataH!$AA500/DataH!$AD500))</f>
        <v/>
      </c>
    </row>
    <row r="509" spans="2:9" ht="15" customHeight="1">
      <c r="B509" s="318" t="str">
        <f>IF(DataH!$V501="", "", DataH!$V501)</f>
        <v/>
      </c>
      <c r="C509" s="419" t="str">
        <f>IF(DataH!$X501&lt;0, NA(), IF(ISERROR(DataH!$W501/DataH!$X501), "", DataH!$W501/DataH!$X501))</f>
        <v/>
      </c>
      <c r="D509" s="419" t="str">
        <f>IF(DataH!$Y501&lt;0, NA(), IF(ISERROR(DataH!$W501/DataH!$Y501), "", DataH!$W501/DataH!$Y501))</f>
        <v/>
      </c>
      <c r="E509" s="420" t="str">
        <f>IF(DataH!$Z501&lt;0, NA(), IF(ISERROR(DataH!$W501/DataH!$Z501), "", DataH!$W501/DataH!$Z501))</f>
        <v/>
      </c>
      <c r="G509" s="421" t="str">
        <f>IF(DataH!$AB501&lt;0, NA(), IF(ISERROR(DataH!$AA501/DataH!$AB501), "", DataH!$AA501/DataH!$AB501))</f>
        <v/>
      </c>
      <c r="H509" s="419" t="str">
        <f>IF(DataH!$AC501&lt;0, NA(), IF(ISERROR(DataH!$AA501/DataH!$AC501), "", DataH!$AA501/DataH!$AC501))</f>
        <v/>
      </c>
      <c r="I509" s="420" t="str">
        <f>IF(DataH!$AD501&lt;0, NA(), IF(ISERROR(DataH!$AA501/DataH!$AD501), "", DataH!$AA501/DataH!$AD501))</f>
        <v/>
      </c>
    </row>
    <row r="510" spans="2:9" ht="15" customHeight="1">
      <c r="B510" s="322" t="str">
        <f>IF(DataH!$V502="", "", DataH!$V502)</f>
        <v/>
      </c>
      <c r="C510" s="416" t="str">
        <f>IF(DataH!$X502&lt;0, NA(), IF(ISERROR(DataH!$W502/DataH!$X502), "", DataH!$W502/DataH!$X502))</f>
        <v/>
      </c>
      <c r="D510" s="416" t="str">
        <f>IF(DataH!$Y502&lt;0, NA(), IF(ISERROR(DataH!$W502/DataH!$Y502), "", DataH!$W502/DataH!$Y502))</f>
        <v/>
      </c>
      <c r="E510" s="417" t="str">
        <f>IF(DataH!$Z502&lt;0, NA(), IF(ISERROR(DataH!$W502/DataH!$Z502), "", DataH!$W502/DataH!$Z502))</f>
        <v/>
      </c>
      <c r="G510" s="418" t="str">
        <f>IF(DataH!$AB502&lt;0, NA(), IF(ISERROR(DataH!$AA502/DataH!$AB502), "", DataH!$AA502/DataH!$AB502))</f>
        <v/>
      </c>
      <c r="H510" s="416" t="str">
        <f>IF(DataH!$AC502&lt;0, NA(), IF(ISERROR(DataH!$AA502/DataH!$AC502), "", DataH!$AA502/DataH!$AC502))</f>
        <v/>
      </c>
      <c r="I510" s="417" t="str">
        <f>IF(DataH!$AD502&lt;0, NA(), IF(ISERROR(DataH!$AA502/DataH!$AD502), "", DataH!$AA502/DataH!$AD502))</f>
        <v/>
      </c>
    </row>
    <row r="511" spans="2:9" ht="15" customHeight="1">
      <c r="B511" s="318" t="str">
        <f>IF(DataH!$V503="", "", DataH!$V503)</f>
        <v/>
      </c>
      <c r="C511" s="419" t="str">
        <f>IF(DataH!$X503&lt;0, NA(), IF(ISERROR(DataH!$W503/DataH!$X503), "", DataH!$W503/DataH!$X503))</f>
        <v/>
      </c>
      <c r="D511" s="419" t="str">
        <f>IF(DataH!$Y503&lt;0, NA(), IF(ISERROR(DataH!$W503/DataH!$Y503), "", DataH!$W503/DataH!$Y503))</f>
        <v/>
      </c>
      <c r="E511" s="420" t="str">
        <f>IF(DataH!$Z503&lt;0, NA(), IF(ISERROR(DataH!$W503/DataH!$Z503), "", DataH!$W503/DataH!$Z503))</f>
        <v/>
      </c>
      <c r="G511" s="421" t="str">
        <f>IF(DataH!$AB503&lt;0, NA(), IF(ISERROR(DataH!$AA503/DataH!$AB503), "", DataH!$AA503/DataH!$AB503))</f>
        <v/>
      </c>
      <c r="H511" s="419" t="str">
        <f>IF(DataH!$AC503&lt;0, NA(), IF(ISERROR(DataH!$AA503/DataH!$AC503), "", DataH!$AA503/DataH!$AC503))</f>
        <v/>
      </c>
      <c r="I511" s="420" t="str">
        <f>IF(DataH!$AD503&lt;0, NA(), IF(ISERROR(DataH!$AA503/DataH!$AD503), "", DataH!$AA503/DataH!$AD503))</f>
        <v/>
      </c>
    </row>
    <row r="512" spans="2:9" ht="15" customHeight="1">
      <c r="B512" s="322" t="str">
        <f>IF(DataH!$V504="", "", DataH!$V504)</f>
        <v/>
      </c>
      <c r="C512" s="416" t="str">
        <f>IF(DataH!$X504&lt;0, NA(), IF(ISERROR(DataH!$W504/DataH!$X504), "", DataH!$W504/DataH!$X504))</f>
        <v/>
      </c>
      <c r="D512" s="416" t="str">
        <f>IF(DataH!$Y504&lt;0, NA(), IF(ISERROR(DataH!$W504/DataH!$Y504), "", DataH!$W504/DataH!$Y504))</f>
        <v/>
      </c>
      <c r="E512" s="417" t="str">
        <f>IF(DataH!$Z504&lt;0, NA(), IF(ISERROR(DataH!$W504/DataH!$Z504), "", DataH!$W504/DataH!$Z504))</f>
        <v/>
      </c>
      <c r="G512" s="418" t="str">
        <f>IF(DataH!$AB504&lt;0, NA(), IF(ISERROR(DataH!$AA504/DataH!$AB504), "", DataH!$AA504/DataH!$AB504))</f>
        <v/>
      </c>
      <c r="H512" s="416" t="str">
        <f>IF(DataH!$AC504&lt;0, NA(), IF(ISERROR(DataH!$AA504/DataH!$AC504), "", DataH!$AA504/DataH!$AC504))</f>
        <v/>
      </c>
      <c r="I512" s="417" t="str">
        <f>IF(DataH!$AD504&lt;0, NA(), IF(ISERROR(DataH!$AA504/DataH!$AD504), "", DataH!$AA504/DataH!$AD504))</f>
        <v/>
      </c>
    </row>
    <row r="513" spans="2:9" ht="15" customHeight="1">
      <c r="B513" s="318" t="str">
        <f>IF(DataH!$V505="", "", DataH!$V505)</f>
        <v/>
      </c>
      <c r="C513" s="419" t="str">
        <f>IF(DataH!$X505&lt;0, NA(), IF(ISERROR(DataH!$W505/DataH!$X505), "", DataH!$W505/DataH!$X505))</f>
        <v/>
      </c>
      <c r="D513" s="419" t="str">
        <f>IF(DataH!$Y505&lt;0, NA(), IF(ISERROR(DataH!$W505/DataH!$Y505), "", DataH!$W505/DataH!$Y505))</f>
        <v/>
      </c>
      <c r="E513" s="420" t="str">
        <f>IF(DataH!$Z505&lt;0, NA(), IF(ISERROR(DataH!$W505/DataH!$Z505), "", DataH!$W505/DataH!$Z505))</f>
        <v/>
      </c>
      <c r="G513" s="421" t="str">
        <f>IF(DataH!$AB505&lt;0, NA(), IF(ISERROR(DataH!$AA505/DataH!$AB505), "", DataH!$AA505/DataH!$AB505))</f>
        <v/>
      </c>
      <c r="H513" s="419" t="str">
        <f>IF(DataH!$AC505&lt;0, NA(), IF(ISERROR(DataH!$AA505/DataH!$AC505), "", DataH!$AA505/DataH!$AC505))</f>
        <v/>
      </c>
      <c r="I513" s="420" t="str">
        <f>IF(DataH!$AD505&lt;0, NA(), IF(ISERROR(DataH!$AA505/DataH!$AD505), "", DataH!$AA505/DataH!$AD505))</f>
        <v/>
      </c>
    </row>
    <row r="514" spans="2:9" ht="15" customHeight="1">
      <c r="B514" s="322" t="str">
        <f>IF(DataH!$V506="", "", DataH!$V506)</f>
        <v/>
      </c>
      <c r="C514" s="416" t="str">
        <f>IF(DataH!$X506&lt;0, NA(), IF(ISERROR(DataH!$W506/DataH!$X506), "", DataH!$W506/DataH!$X506))</f>
        <v/>
      </c>
      <c r="D514" s="416" t="str">
        <f>IF(DataH!$Y506&lt;0, NA(), IF(ISERROR(DataH!$W506/DataH!$Y506), "", DataH!$W506/DataH!$Y506))</f>
        <v/>
      </c>
      <c r="E514" s="417" t="str">
        <f>IF(DataH!$Z506&lt;0, NA(), IF(ISERROR(DataH!$W506/DataH!$Z506), "", DataH!$W506/DataH!$Z506))</f>
        <v/>
      </c>
      <c r="G514" s="418" t="str">
        <f>IF(DataH!$AB506&lt;0, NA(), IF(ISERROR(DataH!$AA506/DataH!$AB506), "", DataH!$AA506/DataH!$AB506))</f>
        <v/>
      </c>
      <c r="H514" s="416" t="str">
        <f>IF(DataH!$AC506&lt;0, NA(), IF(ISERROR(DataH!$AA506/DataH!$AC506), "", DataH!$AA506/DataH!$AC506))</f>
        <v/>
      </c>
      <c r="I514" s="417" t="str">
        <f>IF(DataH!$AD506&lt;0, NA(), IF(ISERROR(DataH!$AA506/DataH!$AD506), "", DataH!$AA506/DataH!$AD506))</f>
        <v/>
      </c>
    </row>
    <row r="515" spans="2:9" ht="15" customHeight="1">
      <c r="B515" s="318" t="str">
        <f>IF(DataH!$V507="", "", DataH!$V507)</f>
        <v/>
      </c>
      <c r="C515" s="419" t="str">
        <f>IF(DataH!$X507&lt;0, NA(), IF(ISERROR(DataH!$W507/DataH!$X507), "", DataH!$W507/DataH!$X507))</f>
        <v/>
      </c>
      <c r="D515" s="419" t="str">
        <f>IF(DataH!$Y507&lt;0, NA(), IF(ISERROR(DataH!$W507/DataH!$Y507), "", DataH!$W507/DataH!$Y507))</f>
        <v/>
      </c>
      <c r="E515" s="420" t="str">
        <f>IF(DataH!$Z507&lt;0, NA(), IF(ISERROR(DataH!$W507/DataH!$Z507), "", DataH!$W507/DataH!$Z507))</f>
        <v/>
      </c>
      <c r="G515" s="421" t="str">
        <f>IF(DataH!$AB507&lt;0, NA(), IF(ISERROR(DataH!$AA507/DataH!$AB507), "", DataH!$AA507/DataH!$AB507))</f>
        <v/>
      </c>
      <c r="H515" s="419" t="str">
        <f>IF(DataH!$AC507&lt;0, NA(), IF(ISERROR(DataH!$AA507/DataH!$AC507), "", DataH!$AA507/DataH!$AC507))</f>
        <v/>
      </c>
      <c r="I515" s="420" t="str">
        <f>IF(DataH!$AD507&lt;0, NA(), IF(ISERROR(DataH!$AA507/DataH!$AD507), "", DataH!$AA507/DataH!$AD507))</f>
        <v/>
      </c>
    </row>
    <row r="516" spans="2:9" ht="15" customHeight="1">
      <c r="B516" s="322" t="str">
        <f>IF(DataH!$V508="", "", DataH!$V508)</f>
        <v/>
      </c>
      <c r="C516" s="416" t="str">
        <f>IF(DataH!$X508&lt;0, NA(), IF(ISERROR(DataH!$W508/DataH!$X508), "", DataH!$W508/DataH!$X508))</f>
        <v/>
      </c>
      <c r="D516" s="416" t="str">
        <f>IF(DataH!$Y508&lt;0, NA(), IF(ISERROR(DataH!$W508/DataH!$Y508), "", DataH!$W508/DataH!$Y508))</f>
        <v/>
      </c>
      <c r="E516" s="417" t="str">
        <f>IF(DataH!$Z508&lt;0, NA(), IF(ISERROR(DataH!$W508/DataH!$Z508), "", DataH!$W508/DataH!$Z508))</f>
        <v/>
      </c>
      <c r="G516" s="418" t="str">
        <f>IF(DataH!$AB508&lt;0, NA(), IF(ISERROR(DataH!$AA508/DataH!$AB508), "", DataH!$AA508/DataH!$AB508))</f>
        <v/>
      </c>
      <c r="H516" s="416" t="str">
        <f>IF(DataH!$AC508&lt;0, NA(), IF(ISERROR(DataH!$AA508/DataH!$AC508), "", DataH!$AA508/DataH!$AC508))</f>
        <v/>
      </c>
      <c r="I516" s="417" t="str">
        <f>IF(DataH!$AD508&lt;0, NA(), IF(ISERROR(DataH!$AA508/DataH!$AD508), "", DataH!$AA508/DataH!$AD508))</f>
        <v/>
      </c>
    </row>
    <row r="517" spans="2:9" ht="15" customHeight="1">
      <c r="B517" s="318" t="str">
        <f>IF(DataH!$V509="", "", DataH!$V509)</f>
        <v/>
      </c>
      <c r="C517" s="419" t="str">
        <f>IF(DataH!$X509&lt;0, NA(), IF(ISERROR(DataH!$W509/DataH!$X509), "", DataH!$W509/DataH!$X509))</f>
        <v/>
      </c>
      <c r="D517" s="419" t="str">
        <f>IF(DataH!$Y509&lt;0, NA(), IF(ISERROR(DataH!$W509/DataH!$Y509), "", DataH!$W509/DataH!$Y509))</f>
        <v/>
      </c>
      <c r="E517" s="420" t="str">
        <f>IF(DataH!$Z509&lt;0, NA(), IF(ISERROR(DataH!$W509/DataH!$Z509), "", DataH!$W509/DataH!$Z509))</f>
        <v/>
      </c>
      <c r="G517" s="421" t="str">
        <f>IF(DataH!$AB509&lt;0, NA(), IF(ISERROR(DataH!$AA509/DataH!$AB509), "", DataH!$AA509/DataH!$AB509))</f>
        <v/>
      </c>
      <c r="H517" s="419" t="str">
        <f>IF(DataH!$AC509&lt;0, NA(), IF(ISERROR(DataH!$AA509/DataH!$AC509), "", DataH!$AA509/DataH!$AC509))</f>
        <v/>
      </c>
      <c r="I517" s="420" t="str">
        <f>IF(DataH!$AD509&lt;0, NA(), IF(ISERROR(DataH!$AA509/DataH!$AD509), "", DataH!$AA509/DataH!$AD509))</f>
        <v/>
      </c>
    </row>
    <row r="518" spans="2:9" ht="15" customHeight="1">
      <c r="B518" s="322" t="str">
        <f>IF(DataH!$V510="", "", DataH!$V510)</f>
        <v/>
      </c>
      <c r="C518" s="416" t="str">
        <f>IF(DataH!$X510&lt;0, NA(), IF(ISERROR(DataH!$W510/DataH!$X510), "", DataH!$W510/DataH!$X510))</f>
        <v/>
      </c>
      <c r="D518" s="416" t="str">
        <f>IF(DataH!$Y510&lt;0, NA(), IF(ISERROR(DataH!$W510/DataH!$Y510), "", DataH!$W510/DataH!$Y510))</f>
        <v/>
      </c>
      <c r="E518" s="417" t="str">
        <f>IF(DataH!$Z510&lt;0, NA(), IF(ISERROR(DataH!$W510/DataH!$Z510), "", DataH!$W510/DataH!$Z510))</f>
        <v/>
      </c>
      <c r="G518" s="418" t="str">
        <f>IF(DataH!$AB510&lt;0, NA(), IF(ISERROR(DataH!$AA510/DataH!$AB510), "", DataH!$AA510/DataH!$AB510))</f>
        <v/>
      </c>
      <c r="H518" s="416" t="str">
        <f>IF(DataH!$AC510&lt;0, NA(), IF(ISERROR(DataH!$AA510/DataH!$AC510), "", DataH!$AA510/DataH!$AC510))</f>
        <v/>
      </c>
      <c r="I518" s="417" t="str">
        <f>IF(DataH!$AD510&lt;0, NA(), IF(ISERROR(DataH!$AA510/DataH!$AD510), "", DataH!$AA510/DataH!$AD510))</f>
        <v/>
      </c>
    </row>
    <row r="519" spans="2:9" ht="15" customHeight="1">
      <c r="B519" s="318" t="str">
        <f>IF(DataH!$V511="", "", DataH!$V511)</f>
        <v/>
      </c>
      <c r="C519" s="419" t="str">
        <f>IF(DataH!$X511&lt;0, NA(), IF(ISERROR(DataH!$W511/DataH!$X511), "", DataH!$W511/DataH!$X511))</f>
        <v/>
      </c>
      <c r="D519" s="419" t="str">
        <f>IF(DataH!$Y511&lt;0, NA(), IF(ISERROR(DataH!$W511/DataH!$Y511), "", DataH!$W511/DataH!$Y511))</f>
        <v/>
      </c>
      <c r="E519" s="420" t="str">
        <f>IF(DataH!$Z511&lt;0, NA(), IF(ISERROR(DataH!$W511/DataH!$Z511), "", DataH!$W511/DataH!$Z511))</f>
        <v/>
      </c>
      <c r="G519" s="421" t="str">
        <f>IF(DataH!$AB511&lt;0, NA(), IF(ISERROR(DataH!$AA511/DataH!$AB511), "", DataH!$AA511/DataH!$AB511))</f>
        <v/>
      </c>
      <c r="H519" s="419" t="str">
        <f>IF(DataH!$AC511&lt;0, NA(), IF(ISERROR(DataH!$AA511/DataH!$AC511), "", DataH!$AA511/DataH!$AC511))</f>
        <v/>
      </c>
      <c r="I519" s="420" t="str">
        <f>IF(DataH!$AD511&lt;0, NA(), IF(ISERROR(DataH!$AA511/DataH!$AD511), "", DataH!$AA511/DataH!$AD511))</f>
        <v/>
      </c>
    </row>
    <row r="520" spans="2:9" ht="15" customHeight="1">
      <c r="B520" s="322" t="str">
        <f>IF(DataH!$V512="", "", DataH!$V512)</f>
        <v/>
      </c>
      <c r="C520" s="416" t="str">
        <f>IF(DataH!$X512&lt;0, NA(), IF(ISERROR(DataH!$W512/DataH!$X512), "", DataH!$W512/DataH!$X512))</f>
        <v/>
      </c>
      <c r="D520" s="416" t="str">
        <f>IF(DataH!$Y512&lt;0, NA(), IF(ISERROR(DataH!$W512/DataH!$Y512), "", DataH!$W512/DataH!$Y512))</f>
        <v/>
      </c>
      <c r="E520" s="417" t="str">
        <f>IF(DataH!$Z512&lt;0, NA(), IF(ISERROR(DataH!$W512/DataH!$Z512), "", DataH!$W512/DataH!$Z512))</f>
        <v/>
      </c>
      <c r="G520" s="418" t="str">
        <f>IF(DataH!$AB512&lt;0, NA(), IF(ISERROR(DataH!$AA512/DataH!$AB512), "", DataH!$AA512/DataH!$AB512))</f>
        <v/>
      </c>
      <c r="H520" s="416" t="str">
        <f>IF(DataH!$AC512&lt;0, NA(), IF(ISERROR(DataH!$AA512/DataH!$AC512), "", DataH!$AA512/DataH!$AC512))</f>
        <v/>
      </c>
      <c r="I520" s="417" t="str">
        <f>IF(DataH!$AD512&lt;0, NA(), IF(ISERROR(DataH!$AA512/DataH!$AD512), "", DataH!$AA512/DataH!$AD512))</f>
        <v/>
      </c>
    </row>
    <row r="521" spans="2:9" ht="15" customHeight="1">
      <c r="B521" s="318" t="str">
        <f>IF(DataH!$V513="", "", DataH!$V513)</f>
        <v/>
      </c>
      <c r="C521" s="419" t="str">
        <f>IF(DataH!$X513&lt;0, NA(), IF(ISERROR(DataH!$W513/DataH!$X513), "", DataH!$W513/DataH!$X513))</f>
        <v/>
      </c>
      <c r="D521" s="419" t="str">
        <f>IF(DataH!$Y513&lt;0, NA(), IF(ISERROR(DataH!$W513/DataH!$Y513), "", DataH!$W513/DataH!$Y513))</f>
        <v/>
      </c>
      <c r="E521" s="420" t="str">
        <f>IF(DataH!$Z513&lt;0, NA(), IF(ISERROR(DataH!$W513/DataH!$Z513), "", DataH!$W513/DataH!$Z513))</f>
        <v/>
      </c>
      <c r="G521" s="421" t="str">
        <f>IF(DataH!$AB513&lt;0, NA(), IF(ISERROR(DataH!$AA513/DataH!$AB513), "", DataH!$AA513/DataH!$AB513))</f>
        <v/>
      </c>
      <c r="H521" s="419" t="str">
        <f>IF(DataH!$AC513&lt;0, NA(), IF(ISERROR(DataH!$AA513/DataH!$AC513), "", DataH!$AA513/DataH!$AC513))</f>
        <v/>
      </c>
      <c r="I521" s="420" t="str">
        <f>IF(DataH!$AD513&lt;0, NA(), IF(ISERROR(DataH!$AA513/DataH!$AD513), "", DataH!$AA513/DataH!$AD513))</f>
        <v/>
      </c>
    </row>
    <row r="522" spans="2:9" ht="15" customHeight="1">
      <c r="B522" s="322" t="str">
        <f>IF(DataH!$V514="", "", DataH!$V514)</f>
        <v/>
      </c>
      <c r="C522" s="416" t="str">
        <f>IF(DataH!$X514&lt;0, NA(), IF(ISERROR(DataH!$W514/DataH!$X514), "", DataH!$W514/DataH!$X514))</f>
        <v/>
      </c>
      <c r="D522" s="416" t="str">
        <f>IF(DataH!$Y514&lt;0, NA(), IF(ISERROR(DataH!$W514/DataH!$Y514), "", DataH!$W514/DataH!$Y514))</f>
        <v/>
      </c>
      <c r="E522" s="417" t="str">
        <f>IF(DataH!$Z514&lt;0, NA(), IF(ISERROR(DataH!$W514/DataH!$Z514), "", DataH!$W514/DataH!$Z514))</f>
        <v/>
      </c>
      <c r="G522" s="418" t="str">
        <f>IF(DataH!$AB514&lt;0, NA(), IF(ISERROR(DataH!$AA514/DataH!$AB514), "", DataH!$AA514/DataH!$AB514))</f>
        <v/>
      </c>
      <c r="H522" s="416" t="str">
        <f>IF(DataH!$AC514&lt;0, NA(), IF(ISERROR(DataH!$AA514/DataH!$AC514), "", DataH!$AA514/DataH!$AC514))</f>
        <v/>
      </c>
      <c r="I522" s="417" t="str">
        <f>IF(DataH!$AD514&lt;0, NA(), IF(ISERROR(DataH!$AA514/DataH!$AD514), "", DataH!$AA514/DataH!$AD514))</f>
        <v/>
      </c>
    </row>
    <row r="523" spans="2:9" ht="15" customHeight="1">
      <c r="B523" s="318" t="str">
        <f>IF(DataH!$V515="", "", DataH!$V515)</f>
        <v/>
      </c>
      <c r="C523" s="419" t="str">
        <f>IF(DataH!$X515&lt;0, NA(), IF(ISERROR(DataH!$W515/DataH!$X515), "", DataH!$W515/DataH!$X515))</f>
        <v/>
      </c>
      <c r="D523" s="419" t="str">
        <f>IF(DataH!$Y515&lt;0, NA(), IF(ISERROR(DataH!$W515/DataH!$Y515), "", DataH!$W515/DataH!$Y515))</f>
        <v/>
      </c>
      <c r="E523" s="420" t="str">
        <f>IF(DataH!$Z515&lt;0, NA(), IF(ISERROR(DataH!$W515/DataH!$Z515), "", DataH!$W515/DataH!$Z515))</f>
        <v/>
      </c>
      <c r="G523" s="421" t="str">
        <f>IF(DataH!$AB515&lt;0, NA(), IF(ISERROR(DataH!$AA515/DataH!$AB515), "", DataH!$AA515/DataH!$AB515))</f>
        <v/>
      </c>
      <c r="H523" s="419" t="str">
        <f>IF(DataH!$AC515&lt;0, NA(), IF(ISERROR(DataH!$AA515/DataH!$AC515), "", DataH!$AA515/DataH!$AC515))</f>
        <v/>
      </c>
      <c r="I523" s="420" t="str">
        <f>IF(DataH!$AD515&lt;0, NA(), IF(ISERROR(DataH!$AA515/DataH!$AD515), "", DataH!$AA515/DataH!$AD515))</f>
        <v/>
      </c>
    </row>
    <row r="524" spans="2:9" ht="15" customHeight="1">
      <c r="B524" s="322" t="str">
        <f>IF(DataH!$V516="", "", DataH!$V516)</f>
        <v/>
      </c>
      <c r="C524" s="416" t="str">
        <f>IF(DataH!$X516&lt;0, NA(), IF(ISERROR(DataH!$W516/DataH!$X516), "", DataH!$W516/DataH!$X516))</f>
        <v/>
      </c>
      <c r="D524" s="416" t="str">
        <f>IF(DataH!$Y516&lt;0, NA(), IF(ISERROR(DataH!$W516/DataH!$Y516), "", DataH!$W516/DataH!$Y516))</f>
        <v/>
      </c>
      <c r="E524" s="417" t="str">
        <f>IF(DataH!$Z516&lt;0, NA(), IF(ISERROR(DataH!$W516/DataH!$Z516), "", DataH!$W516/DataH!$Z516))</f>
        <v/>
      </c>
      <c r="G524" s="418" t="str">
        <f>IF(DataH!$AB516&lt;0, NA(), IF(ISERROR(DataH!$AA516/DataH!$AB516), "", DataH!$AA516/DataH!$AB516))</f>
        <v/>
      </c>
      <c r="H524" s="416" t="str">
        <f>IF(DataH!$AC516&lt;0, NA(), IF(ISERROR(DataH!$AA516/DataH!$AC516), "", DataH!$AA516/DataH!$AC516))</f>
        <v/>
      </c>
      <c r="I524" s="417" t="str">
        <f>IF(DataH!$AD516&lt;0, NA(), IF(ISERROR(DataH!$AA516/DataH!$AD516), "", DataH!$AA516/DataH!$AD516))</f>
        <v/>
      </c>
    </row>
    <row r="525" spans="2:9" ht="15" customHeight="1">
      <c r="B525" s="318" t="str">
        <f>IF(DataH!$V517="", "", DataH!$V517)</f>
        <v/>
      </c>
      <c r="C525" s="419" t="str">
        <f>IF(DataH!$X517&lt;0, NA(), IF(ISERROR(DataH!$W517/DataH!$X517), "", DataH!$W517/DataH!$X517))</f>
        <v/>
      </c>
      <c r="D525" s="419" t="str">
        <f>IF(DataH!$Y517&lt;0, NA(), IF(ISERROR(DataH!$W517/DataH!$Y517), "", DataH!$W517/DataH!$Y517))</f>
        <v/>
      </c>
      <c r="E525" s="420" t="str">
        <f>IF(DataH!$Z517&lt;0, NA(), IF(ISERROR(DataH!$W517/DataH!$Z517), "", DataH!$W517/DataH!$Z517))</f>
        <v/>
      </c>
      <c r="G525" s="421" t="str">
        <f>IF(DataH!$AB517&lt;0, NA(), IF(ISERROR(DataH!$AA517/DataH!$AB517), "", DataH!$AA517/DataH!$AB517))</f>
        <v/>
      </c>
      <c r="H525" s="419" t="str">
        <f>IF(DataH!$AC517&lt;0, NA(), IF(ISERROR(DataH!$AA517/DataH!$AC517), "", DataH!$AA517/DataH!$AC517))</f>
        <v/>
      </c>
      <c r="I525" s="420" t="str">
        <f>IF(DataH!$AD517&lt;0, NA(), IF(ISERROR(DataH!$AA517/DataH!$AD517), "", DataH!$AA517/DataH!$AD517))</f>
        <v/>
      </c>
    </row>
    <row r="526" spans="2:9" ht="15" customHeight="1">
      <c r="B526" s="322" t="str">
        <f>IF(DataH!$V518="", "", DataH!$V518)</f>
        <v/>
      </c>
      <c r="C526" s="416" t="str">
        <f>IF(DataH!$X518&lt;0, NA(), IF(ISERROR(DataH!$W518/DataH!$X518), "", DataH!$W518/DataH!$X518))</f>
        <v/>
      </c>
      <c r="D526" s="416" t="str">
        <f>IF(DataH!$Y518&lt;0, NA(), IF(ISERROR(DataH!$W518/DataH!$Y518), "", DataH!$W518/DataH!$Y518))</f>
        <v/>
      </c>
      <c r="E526" s="417" t="str">
        <f>IF(DataH!$Z518&lt;0, NA(), IF(ISERROR(DataH!$W518/DataH!$Z518), "", DataH!$W518/DataH!$Z518))</f>
        <v/>
      </c>
      <c r="G526" s="418" t="str">
        <f>IF(DataH!$AB518&lt;0, NA(), IF(ISERROR(DataH!$AA518/DataH!$AB518), "", DataH!$AA518/DataH!$AB518))</f>
        <v/>
      </c>
      <c r="H526" s="416" t="str">
        <f>IF(DataH!$AC518&lt;0, NA(), IF(ISERROR(DataH!$AA518/DataH!$AC518), "", DataH!$AA518/DataH!$AC518))</f>
        <v/>
      </c>
      <c r="I526" s="417" t="str">
        <f>IF(DataH!$AD518&lt;0, NA(), IF(ISERROR(DataH!$AA518/DataH!$AD518), "", DataH!$AA518/DataH!$AD518))</f>
        <v/>
      </c>
    </row>
    <row r="527" spans="2:9" ht="15" customHeight="1">
      <c r="B527" s="318" t="str">
        <f>IF(DataH!$V519="", "", DataH!$V519)</f>
        <v/>
      </c>
      <c r="C527" s="419" t="str">
        <f>IF(DataH!$X519&lt;0, NA(), IF(ISERROR(DataH!$W519/DataH!$X519), "", DataH!$W519/DataH!$X519))</f>
        <v/>
      </c>
      <c r="D527" s="419" t="str">
        <f>IF(DataH!$Y519&lt;0, NA(), IF(ISERROR(DataH!$W519/DataH!$Y519), "", DataH!$W519/DataH!$Y519))</f>
        <v/>
      </c>
      <c r="E527" s="420" t="str">
        <f>IF(DataH!$Z519&lt;0, NA(), IF(ISERROR(DataH!$W519/DataH!$Z519), "", DataH!$W519/DataH!$Z519))</f>
        <v/>
      </c>
      <c r="G527" s="421" t="str">
        <f>IF(DataH!$AB519&lt;0, NA(), IF(ISERROR(DataH!$AA519/DataH!$AB519), "", DataH!$AA519/DataH!$AB519))</f>
        <v/>
      </c>
      <c r="H527" s="419" t="str">
        <f>IF(DataH!$AC519&lt;0, NA(), IF(ISERROR(DataH!$AA519/DataH!$AC519), "", DataH!$AA519/DataH!$AC519))</f>
        <v/>
      </c>
      <c r="I527" s="420" t="str">
        <f>IF(DataH!$AD519&lt;0, NA(), IF(ISERROR(DataH!$AA519/DataH!$AD519), "", DataH!$AA519/DataH!$AD519))</f>
        <v/>
      </c>
    </row>
    <row r="528" spans="2:9" ht="15" customHeight="1">
      <c r="B528" s="322" t="str">
        <f>IF(DataH!$V520="", "", DataH!$V520)</f>
        <v/>
      </c>
      <c r="C528" s="416" t="str">
        <f>IF(DataH!$X520&lt;0, NA(), IF(ISERROR(DataH!$W520/DataH!$X520), "", DataH!$W520/DataH!$X520))</f>
        <v/>
      </c>
      <c r="D528" s="416" t="str">
        <f>IF(DataH!$Y520&lt;0, NA(), IF(ISERROR(DataH!$W520/DataH!$Y520), "", DataH!$W520/DataH!$Y520))</f>
        <v/>
      </c>
      <c r="E528" s="417" t="str">
        <f>IF(DataH!$Z520&lt;0, NA(), IF(ISERROR(DataH!$W520/DataH!$Z520), "", DataH!$W520/DataH!$Z520))</f>
        <v/>
      </c>
      <c r="G528" s="418" t="str">
        <f>IF(DataH!$AB520&lt;0, NA(), IF(ISERROR(DataH!$AA520/DataH!$AB520), "", DataH!$AA520/DataH!$AB520))</f>
        <v/>
      </c>
      <c r="H528" s="416" t="str">
        <f>IF(DataH!$AC520&lt;0, NA(), IF(ISERROR(DataH!$AA520/DataH!$AC520), "", DataH!$AA520/DataH!$AC520))</f>
        <v/>
      </c>
      <c r="I528" s="417" t="str">
        <f>IF(DataH!$AD520&lt;0, NA(), IF(ISERROR(DataH!$AA520/DataH!$AD520), "", DataH!$AA520/DataH!$AD520))</f>
        <v/>
      </c>
    </row>
    <row r="529" spans="2:9" ht="15" customHeight="1">
      <c r="B529" s="318" t="str">
        <f>IF(DataH!$V521="", "", DataH!$V521)</f>
        <v/>
      </c>
      <c r="C529" s="419" t="str">
        <f>IF(DataH!$X521&lt;0, NA(), IF(ISERROR(DataH!$W521/DataH!$X521), "", DataH!$W521/DataH!$X521))</f>
        <v/>
      </c>
      <c r="D529" s="419" t="str">
        <f>IF(DataH!$Y521&lt;0, NA(), IF(ISERROR(DataH!$W521/DataH!$Y521), "", DataH!$W521/DataH!$Y521))</f>
        <v/>
      </c>
      <c r="E529" s="420" t="str">
        <f>IF(DataH!$Z521&lt;0, NA(), IF(ISERROR(DataH!$W521/DataH!$Z521), "", DataH!$W521/DataH!$Z521))</f>
        <v/>
      </c>
      <c r="G529" s="421" t="str">
        <f>IF(DataH!$AB521&lt;0, NA(), IF(ISERROR(DataH!$AA521/DataH!$AB521), "", DataH!$AA521/DataH!$AB521))</f>
        <v/>
      </c>
      <c r="H529" s="419" t="str">
        <f>IF(DataH!$AC521&lt;0, NA(), IF(ISERROR(DataH!$AA521/DataH!$AC521), "", DataH!$AA521/DataH!$AC521))</f>
        <v/>
      </c>
      <c r="I529" s="420" t="str">
        <f>IF(DataH!$AD521&lt;0, NA(), IF(ISERROR(DataH!$AA521/DataH!$AD521), "", DataH!$AA521/DataH!$AD521))</f>
        <v/>
      </c>
    </row>
    <row r="530" spans="2:9" ht="15" customHeight="1">
      <c r="B530" s="322" t="str">
        <f>IF(DataH!$V522="", "", DataH!$V522)</f>
        <v/>
      </c>
      <c r="C530" s="416" t="str">
        <f>IF(DataH!$X522&lt;0, NA(), IF(ISERROR(DataH!$W522/DataH!$X522), "", DataH!$W522/DataH!$X522))</f>
        <v/>
      </c>
      <c r="D530" s="416" t="str">
        <f>IF(DataH!$Y522&lt;0, NA(), IF(ISERROR(DataH!$W522/DataH!$Y522), "", DataH!$W522/DataH!$Y522))</f>
        <v/>
      </c>
      <c r="E530" s="417" t="str">
        <f>IF(DataH!$Z522&lt;0, NA(), IF(ISERROR(DataH!$W522/DataH!$Z522), "", DataH!$W522/DataH!$Z522))</f>
        <v/>
      </c>
      <c r="G530" s="418" t="str">
        <f>IF(DataH!$AB522&lt;0, NA(), IF(ISERROR(DataH!$AA522/DataH!$AB522), "", DataH!$AA522/DataH!$AB522))</f>
        <v/>
      </c>
      <c r="H530" s="416" t="str">
        <f>IF(DataH!$AC522&lt;0, NA(), IF(ISERROR(DataH!$AA522/DataH!$AC522), "", DataH!$AA522/DataH!$AC522))</f>
        <v/>
      </c>
      <c r="I530" s="417" t="str">
        <f>IF(DataH!$AD522&lt;0, NA(), IF(ISERROR(DataH!$AA522/DataH!$AD522), "", DataH!$AA522/DataH!$AD522))</f>
        <v/>
      </c>
    </row>
    <row r="531" spans="2:9" ht="15" customHeight="1">
      <c r="B531" s="318" t="str">
        <f>IF(DataH!$V523="", "", DataH!$V523)</f>
        <v/>
      </c>
      <c r="C531" s="419" t="str">
        <f>IF(DataH!$X523&lt;0, NA(), IF(ISERROR(DataH!$W523/DataH!$X523), "", DataH!$W523/DataH!$X523))</f>
        <v/>
      </c>
      <c r="D531" s="419" t="str">
        <f>IF(DataH!$Y523&lt;0, NA(), IF(ISERROR(DataH!$W523/DataH!$Y523), "", DataH!$W523/DataH!$Y523))</f>
        <v/>
      </c>
      <c r="E531" s="420" t="str">
        <f>IF(DataH!$Z523&lt;0, NA(), IF(ISERROR(DataH!$W523/DataH!$Z523), "", DataH!$W523/DataH!$Z523))</f>
        <v/>
      </c>
      <c r="G531" s="421" t="str">
        <f>IF(DataH!$AB523&lt;0, NA(), IF(ISERROR(DataH!$AA523/DataH!$AB523), "", DataH!$AA523/DataH!$AB523))</f>
        <v/>
      </c>
      <c r="H531" s="419" t="str">
        <f>IF(DataH!$AC523&lt;0, NA(), IF(ISERROR(DataH!$AA523/DataH!$AC523), "", DataH!$AA523/DataH!$AC523))</f>
        <v/>
      </c>
      <c r="I531" s="420" t="str">
        <f>IF(DataH!$AD523&lt;0, NA(), IF(ISERROR(DataH!$AA523/DataH!$AD523), "", DataH!$AA523/DataH!$AD523))</f>
        <v/>
      </c>
    </row>
    <row r="532" spans="2:9" ht="15" customHeight="1">
      <c r="B532" s="322" t="str">
        <f>IF(DataH!$V524="", "", DataH!$V524)</f>
        <v/>
      </c>
      <c r="C532" s="416" t="str">
        <f>IF(DataH!$X524&lt;0, NA(), IF(ISERROR(DataH!$W524/DataH!$X524), "", DataH!$W524/DataH!$X524))</f>
        <v/>
      </c>
      <c r="D532" s="416" t="str">
        <f>IF(DataH!$Y524&lt;0, NA(), IF(ISERROR(DataH!$W524/DataH!$Y524), "", DataH!$W524/DataH!$Y524))</f>
        <v/>
      </c>
      <c r="E532" s="417" t="str">
        <f>IF(DataH!$Z524&lt;0, NA(), IF(ISERROR(DataH!$W524/DataH!$Z524), "", DataH!$W524/DataH!$Z524))</f>
        <v/>
      </c>
      <c r="G532" s="418" t="str">
        <f>IF(DataH!$AB524&lt;0, NA(), IF(ISERROR(DataH!$AA524/DataH!$AB524), "", DataH!$AA524/DataH!$AB524))</f>
        <v/>
      </c>
      <c r="H532" s="416" t="str">
        <f>IF(DataH!$AC524&lt;0, NA(), IF(ISERROR(DataH!$AA524/DataH!$AC524), "", DataH!$AA524/DataH!$AC524))</f>
        <v/>
      </c>
      <c r="I532" s="417" t="str">
        <f>IF(DataH!$AD524&lt;0, NA(), IF(ISERROR(DataH!$AA524/DataH!$AD524), "", DataH!$AA524/DataH!$AD524))</f>
        <v/>
      </c>
    </row>
    <row r="533" spans="2:9" ht="15" customHeight="1">
      <c r="B533" s="318" t="str">
        <f>IF(DataH!$V525="", "", DataH!$V525)</f>
        <v/>
      </c>
      <c r="C533" s="419" t="str">
        <f>IF(DataH!$X525&lt;0, NA(), IF(ISERROR(DataH!$W525/DataH!$X525), "", DataH!$W525/DataH!$X525))</f>
        <v/>
      </c>
      <c r="D533" s="419" t="str">
        <f>IF(DataH!$Y525&lt;0, NA(), IF(ISERROR(DataH!$W525/DataH!$Y525), "", DataH!$W525/DataH!$Y525))</f>
        <v/>
      </c>
      <c r="E533" s="420" t="str">
        <f>IF(DataH!$Z525&lt;0, NA(), IF(ISERROR(DataH!$W525/DataH!$Z525), "", DataH!$W525/DataH!$Z525))</f>
        <v/>
      </c>
      <c r="G533" s="421" t="str">
        <f>IF(DataH!$AB525&lt;0, NA(), IF(ISERROR(DataH!$AA525/DataH!$AB525), "", DataH!$AA525/DataH!$AB525))</f>
        <v/>
      </c>
      <c r="H533" s="419" t="str">
        <f>IF(DataH!$AC525&lt;0, NA(), IF(ISERROR(DataH!$AA525/DataH!$AC525), "", DataH!$AA525/DataH!$AC525))</f>
        <v/>
      </c>
      <c r="I533" s="420" t="str">
        <f>IF(DataH!$AD525&lt;0, NA(), IF(ISERROR(DataH!$AA525/DataH!$AD525), "", DataH!$AA525/DataH!$AD525))</f>
        <v/>
      </c>
    </row>
    <row r="534" spans="2:9" ht="15" customHeight="1">
      <c r="B534" s="322" t="str">
        <f>IF(DataH!$V526="", "", DataH!$V526)</f>
        <v/>
      </c>
      <c r="C534" s="416" t="str">
        <f>IF(DataH!$X526&lt;0, NA(), IF(ISERROR(DataH!$W526/DataH!$X526), "", DataH!$W526/DataH!$X526))</f>
        <v/>
      </c>
      <c r="D534" s="416" t="str">
        <f>IF(DataH!$Y526&lt;0, NA(), IF(ISERROR(DataH!$W526/DataH!$Y526), "", DataH!$W526/DataH!$Y526))</f>
        <v/>
      </c>
      <c r="E534" s="417" t="str">
        <f>IF(DataH!$Z526&lt;0, NA(), IF(ISERROR(DataH!$W526/DataH!$Z526), "", DataH!$W526/DataH!$Z526))</f>
        <v/>
      </c>
      <c r="G534" s="418" t="str">
        <f>IF(DataH!$AB526&lt;0, NA(), IF(ISERROR(DataH!$AA526/DataH!$AB526), "", DataH!$AA526/DataH!$AB526))</f>
        <v/>
      </c>
      <c r="H534" s="416" t="str">
        <f>IF(DataH!$AC526&lt;0, NA(), IF(ISERROR(DataH!$AA526/DataH!$AC526), "", DataH!$AA526/DataH!$AC526))</f>
        <v/>
      </c>
      <c r="I534" s="417" t="str">
        <f>IF(DataH!$AD526&lt;0, NA(), IF(ISERROR(DataH!$AA526/DataH!$AD526), "", DataH!$AA526/DataH!$AD526))</f>
        <v/>
      </c>
    </row>
    <row r="535" spans="2:9" ht="15" customHeight="1">
      <c r="B535" s="318" t="str">
        <f>IF(DataH!$V527="", "", DataH!$V527)</f>
        <v/>
      </c>
      <c r="C535" s="419" t="str">
        <f>IF(DataH!$X527&lt;0, NA(), IF(ISERROR(DataH!$W527/DataH!$X527), "", DataH!$W527/DataH!$X527))</f>
        <v/>
      </c>
      <c r="D535" s="419" t="str">
        <f>IF(DataH!$Y527&lt;0, NA(), IF(ISERROR(DataH!$W527/DataH!$Y527), "", DataH!$W527/DataH!$Y527))</f>
        <v/>
      </c>
      <c r="E535" s="420" t="str">
        <f>IF(DataH!$Z527&lt;0, NA(), IF(ISERROR(DataH!$W527/DataH!$Z527), "", DataH!$W527/DataH!$Z527))</f>
        <v/>
      </c>
      <c r="G535" s="421" t="str">
        <f>IF(DataH!$AB527&lt;0, NA(), IF(ISERROR(DataH!$AA527/DataH!$AB527), "", DataH!$AA527/DataH!$AB527))</f>
        <v/>
      </c>
      <c r="H535" s="419" t="str">
        <f>IF(DataH!$AC527&lt;0, NA(), IF(ISERROR(DataH!$AA527/DataH!$AC527), "", DataH!$AA527/DataH!$AC527))</f>
        <v/>
      </c>
      <c r="I535" s="420" t="str">
        <f>IF(DataH!$AD527&lt;0, NA(), IF(ISERROR(DataH!$AA527/DataH!$AD527), "", DataH!$AA527/DataH!$AD527))</f>
        <v/>
      </c>
    </row>
    <row r="536" spans="2:9" ht="15" customHeight="1">
      <c r="B536" s="322" t="str">
        <f>IF(DataH!$V528="", "", DataH!$V528)</f>
        <v/>
      </c>
      <c r="C536" s="416" t="str">
        <f>IF(DataH!$X528&lt;0, NA(), IF(ISERROR(DataH!$W528/DataH!$X528), "", DataH!$W528/DataH!$X528))</f>
        <v/>
      </c>
      <c r="D536" s="416" t="str">
        <f>IF(DataH!$Y528&lt;0, NA(), IF(ISERROR(DataH!$W528/DataH!$Y528), "", DataH!$W528/DataH!$Y528))</f>
        <v/>
      </c>
      <c r="E536" s="417" t="str">
        <f>IF(DataH!$Z528&lt;0, NA(), IF(ISERROR(DataH!$W528/DataH!$Z528), "", DataH!$W528/DataH!$Z528))</f>
        <v/>
      </c>
      <c r="G536" s="418" t="str">
        <f>IF(DataH!$AB528&lt;0, NA(), IF(ISERROR(DataH!$AA528/DataH!$AB528), "", DataH!$AA528/DataH!$AB528))</f>
        <v/>
      </c>
      <c r="H536" s="416" t="str">
        <f>IF(DataH!$AC528&lt;0, NA(), IF(ISERROR(DataH!$AA528/DataH!$AC528), "", DataH!$AA528/DataH!$AC528))</f>
        <v/>
      </c>
      <c r="I536" s="417" t="str">
        <f>IF(DataH!$AD528&lt;0, NA(), IF(ISERROR(DataH!$AA528/DataH!$AD528), "", DataH!$AA528/DataH!$AD528))</f>
        <v/>
      </c>
    </row>
    <row r="537" spans="2:9" ht="15" customHeight="1">
      <c r="B537" s="318" t="str">
        <f>IF(DataH!$V529="", "", DataH!$V529)</f>
        <v/>
      </c>
      <c r="C537" s="419" t="str">
        <f>IF(DataH!$X529&lt;0, NA(), IF(ISERROR(DataH!$W529/DataH!$X529), "", DataH!$W529/DataH!$X529))</f>
        <v/>
      </c>
      <c r="D537" s="419" t="str">
        <f>IF(DataH!$Y529&lt;0, NA(), IF(ISERROR(DataH!$W529/DataH!$Y529), "", DataH!$W529/DataH!$Y529))</f>
        <v/>
      </c>
      <c r="E537" s="420" t="str">
        <f>IF(DataH!$Z529&lt;0, NA(), IF(ISERROR(DataH!$W529/DataH!$Z529), "", DataH!$W529/DataH!$Z529))</f>
        <v/>
      </c>
      <c r="G537" s="421" t="str">
        <f>IF(DataH!$AB529&lt;0, NA(), IF(ISERROR(DataH!$AA529/DataH!$AB529), "", DataH!$AA529/DataH!$AB529))</f>
        <v/>
      </c>
      <c r="H537" s="419" t="str">
        <f>IF(DataH!$AC529&lt;0, NA(), IF(ISERROR(DataH!$AA529/DataH!$AC529), "", DataH!$AA529/DataH!$AC529))</f>
        <v/>
      </c>
      <c r="I537" s="420" t="str">
        <f>IF(DataH!$AD529&lt;0, NA(), IF(ISERROR(DataH!$AA529/DataH!$AD529), "", DataH!$AA529/DataH!$AD529))</f>
        <v/>
      </c>
    </row>
    <row r="538" spans="2:9" ht="15" customHeight="1">
      <c r="B538" s="322" t="str">
        <f>IF(DataH!$V530="", "", DataH!$V530)</f>
        <v/>
      </c>
      <c r="C538" s="416" t="str">
        <f>IF(DataH!$X530&lt;0, NA(), IF(ISERROR(DataH!$W530/DataH!$X530), "", DataH!$W530/DataH!$X530))</f>
        <v/>
      </c>
      <c r="D538" s="416" t="str">
        <f>IF(DataH!$Y530&lt;0, NA(), IF(ISERROR(DataH!$W530/DataH!$Y530), "", DataH!$W530/DataH!$Y530))</f>
        <v/>
      </c>
      <c r="E538" s="417" t="str">
        <f>IF(DataH!$Z530&lt;0, NA(), IF(ISERROR(DataH!$W530/DataH!$Z530), "", DataH!$W530/DataH!$Z530))</f>
        <v/>
      </c>
      <c r="G538" s="418" t="str">
        <f>IF(DataH!$AB530&lt;0, NA(), IF(ISERROR(DataH!$AA530/DataH!$AB530), "", DataH!$AA530/DataH!$AB530))</f>
        <v/>
      </c>
      <c r="H538" s="416" t="str">
        <f>IF(DataH!$AC530&lt;0, NA(), IF(ISERROR(DataH!$AA530/DataH!$AC530), "", DataH!$AA530/DataH!$AC530))</f>
        <v/>
      </c>
      <c r="I538" s="417" t="str">
        <f>IF(DataH!$AD530&lt;0, NA(), IF(ISERROR(DataH!$AA530/DataH!$AD530), "", DataH!$AA530/DataH!$AD530))</f>
        <v/>
      </c>
    </row>
    <row r="539" spans="2:9" ht="15" customHeight="1">
      <c r="B539" s="318" t="str">
        <f>IF(DataH!$V531="", "", DataH!$V531)</f>
        <v/>
      </c>
      <c r="C539" s="419" t="str">
        <f>IF(DataH!$X531&lt;0, NA(), IF(ISERROR(DataH!$W531/DataH!$X531), "", DataH!$W531/DataH!$X531))</f>
        <v/>
      </c>
      <c r="D539" s="419" t="str">
        <f>IF(DataH!$Y531&lt;0, NA(), IF(ISERROR(DataH!$W531/DataH!$Y531), "", DataH!$W531/DataH!$Y531))</f>
        <v/>
      </c>
      <c r="E539" s="420" t="str">
        <f>IF(DataH!$Z531&lt;0, NA(), IF(ISERROR(DataH!$W531/DataH!$Z531), "", DataH!$W531/DataH!$Z531))</f>
        <v/>
      </c>
      <c r="G539" s="421" t="str">
        <f>IF(DataH!$AB531&lt;0, NA(), IF(ISERROR(DataH!$AA531/DataH!$AB531), "", DataH!$AA531/DataH!$AB531))</f>
        <v/>
      </c>
      <c r="H539" s="419" t="str">
        <f>IF(DataH!$AC531&lt;0, NA(), IF(ISERROR(DataH!$AA531/DataH!$AC531), "", DataH!$AA531/DataH!$AC531))</f>
        <v/>
      </c>
      <c r="I539" s="420" t="str">
        <f>IF(DataH!$AD531&lt;0, NA(), IF(ISERROR(DataH!$AA531/DataH!$AD531), "", DataH!$AA531/DataH!$AD531))</f>
        <v/>
      </c>
    </row>
    <row r="540" spans="2:9" ht="15" customHeight="1">
      <c r="B540" s="322" t="str">
        <f>IF(DataH!$V532="", "", DataH!$V532)</f>
        <v/>
      </c>
      <c r="C540" s="416" t="str">
        <f>IF(DataH!$X532&lt;0, NA(), IF(ISERROR(DataH!$W532/DataH!$X532), "", DataH!$W532/DataH!$X532))</f>
        <v/>
      </c>
      <c r="D540" s="416" t="str">
        <f>IF(DataH!$Y532&lt;0, NA(), IF(ISERROR(DataH!$W532/DataH!$Y532), "", DataH!$W532/DataH!$Y532))</f>
        <v/>
      </c>
      <c r="E540" s="417" t="str">
        <f>IF(DataH!$Z532&lt;0, NA(), IF(ISERROR(DataH!$W532/DataH!$Z532), "", DataH!$W532/DataH!$Z532))</f>
        <v/>
      </c>
      <c r="G540" s="418" t="str">
        <f>IF(DataH!$AB532&lt;0, NA(), IF(ISERROR(DataH!$AA532/DataH!$AB532), "", DataH!$AA532/DataH!$AB532))</f>
        <v/>
      </c>
      <c r="H540" s="416" t="str">
        <f>IF(DataH!$AC532&lt;0, NA(), IF(ISERROR(DataH!$AA532/DataH!$AC532), "", DataH!$AA532/DataH!$AC532))</f>
        <v/>
      </c>
      <c r="I540" s="417" t="str">
        <f>IF(DataH!$AD532&lt;0, NA(), IF(ISERROR(DataH!$AA532/DataH!$AD532), "", DataH!$AA532/DataH!$AD532))</f>
        <v/>
      </c>
    </row>
    <row r="541" spans="2:9" ht="15" customHeight="1">
      <c r="B541" s="318" t="str">
        <f>IF(DataH!$V533="", "", DataH!$V533)</f>
        <v/>
      </c>
      <c r="C541" s="419" t="str">
        <f>IF(DataH!$X533&lt;0, NA(), IF(ISERROR(DataH!$W533/DataH!$X533), "", DataH!$W533/DataH!$X533))</f>
        <v/>
      </c>
      <c r="D541" s="419" t="str">
        <f>IF(DataH!$Y533&lt;0, NA(), IF(ISERROR(DataH!$W533/DataH!$Y533), "", DataH!$W533/DataH!$Y533))</f>
        <v/>
      </c>
      <c r="E541" s="420" t="str">
        <f>IF(DataH!$Z533&lt;0, NA(), IF(ISERROR(DataH!$W533/DataH!$Z533), "", DataH!$W533/DataH!$Z533))</f>
        <v/>
      </c>
      <c r="G541" s="421" t="str">
        <f>IF(DataH!$AB533&lt;0, NA(), IF(ISERROR(DataH!$AA533/DataH!$AB533), "", DataH!$AA533/DataH!$AB533))</f>
        <v/>
      </c>
      <c r="H541" s="419" t="str">
        <f>IF(DataH!$AC533&lt;0, NA(), IF(ISERROR(DataH!$AA533/DataH!$AC533), "", DataH!$AA533/DataH!$AC533))</f>
        <v/>
      </c>
      <c r="I541" s="420" t="str">
        <f>IF(DataH!$AD533&lt;0, NA(), IF(ISERROR(DataH!$AA533/DataH!$AD533), "", DataH!$AA533/DataH!$AD533))</f>
        <v/>
      </c>
    </row>
    <row r="542" spans="2:9" ht="15" customHeight="1">
      <c r="B542" s="322" t="str">
        <f>IF(DataH!$V534="", "", DataH!$V534)</f>
        <v/>
      </c>
      <c r="C542" s="416" t="str">
        <f>IF(DataH!$X534&lt;0, NA(), IF(ISERROR(DataH!$W534/DataH!$X534), "", DataH!$W534/DataH!$X534))</f>
        <v/>
      </c>
      <c r="D542" s="416" t="str">
        <f>IF(DataH!$Y534&lt;0, NA(), IF(ISERROR(DataH!$W534/DataH!$Y534), "", DataH!$W534/DataH!$Y534))</f>
        <v/>
      </c>
      <c r="E542" s="417" t="str">
        <f>IF(DataH!$Z534&lt;0, NA(), IF(ISERROR(DataH!$W534/DataH!$Z534), "", DataH!$W534/DataH!$Z534))</f>
        <v/>
      </c>
      <c r="G542" s="418" t="str">
        <f>IF(DataH!$AB534&lt;0, NA(), IF(ISERROR(DataH!$AA534/DataH!$AB534), "", DataH!$AA534/DataH!$AB534))</f>
        <v/>
      </c>
      <c r="H542" s="416" t="str">
        <f>IF(DataH!$AC534&lt;0, NA(), IF(ISERROR(DataH!$AA534/DataH!$AC534), "", DataH!$AA534/DataH!$AC534))</f>
        <v/>
      </c>
      <c r="I542" s="417" t="str">
        <f>IF(DataH!$AD534&lt;0, NA(), IF(ISERROR(DataH!$AA534/DataH!$AD534), "", DataH!$AA534/DataH!$AD534))</f>
        <v/>
      </c>
    </row>
    <row r="543" spans="2:9" ht="15" customHeight="1">
      <c r="B543" s="318" t="str">
        <f>IF(DataH!$V535="", "", DataH!$V535)</f>
        <v/>
      </c>
      <c r="C543" s="419" t="str">
        <f>IF(DataH!$X535&lt;0, NA(), IF(ISERROR(DataH!$W535/DataH!$X535), "", DataH!$W535/DataH!$X535))</f>
        <v/>
      </c>
      <c r="D543" s="419" t="str">
        <f>IF(DataH!$Y535&lt;0, NA(), IF(ISERROR(DataH!$W535/DataH!$Y535), "", DataH!$W535/DataH!$Y535))</f>
        <v/>
      </c>
      <c r="E543" s="420" t="str">
        <f>IF(DataH!$Z535&lt;0, NA(), IF(ISERROR(DataH!$W535/DataH!$Z535), "", DataH!$W535/DataH!$Z535))</f>
        <v/>
      </c>
      <c r="G543" s="421" t="str">
        <f>IF(DataH!$AB535&lt;0, NA(), IF(ISERROR(DataH!$AA535/DataH!$AB535), "", DataH!$AA535/DataH!$AB535))</f>
        <v/>
      </c>
      <c r="H543" s="419" t="str">
        <f>IF(DataH!$AC535&lt;0, NA(), IF(ISERROR(DataH!$AA535/DataH!$AC535), "", DataH!$AA535/DataH!$AC535))</f>
        <v/>
      </c>
      <c r="I543" s="420" t="str">
        <f>IF(DataH!$AD535&lt;0, NA(), IF(ISERROR(DataH!$AA535/DataH!$AD535), "", DataH!$AA535/DataH!$AD535))</f>
        <v/>
      </c>
    </row>
    <row r="544" spans="2:9" ht="15" customHeight="1">
      <c r="B544" s="322" t="str">
        <f>IF(DataH!$V536="", "", DataH!$V536)</f>
        <v/>
      </c>
      <c r="C544" s="416" t="str">
        <f>IF(DataH!$X536&lt;0, NA(), IF(ISERROR(DataH!$W536/DataH!$X536), "", DataH!$W536/DataH!$X536))</f>
        <v/>
      </c>
      <c r="D544" s="416" t="str">
        <f>IF(DataH!$Y536&lt;0, NA(), IF(ISERROR(DataH!$W536/DataH!$Y536), "", DataH!$W536/DataH!$Y536))</f>
        <v/>
      </c>
      <c r="E544" s="417" t="str">
        <f>IF(DataH!$Z536&lt;0, NA(), IF(ISERROR(DataH!$W536/DataH!$Z536), "", DataH!$W536/DataH!$Z536))</f>
        <v/>
      </c>
      <c r="G544" s="418" t="str">
        <f>IF(DataH!$AB536&lt;0, NA(), IF(ISERROR(DataH!$AA536/DataH!$AB536), "", DataH!$AA536/DataH!$AB536))</f>
        <v/>
      </c>
      <c r="H544" s="416" t="str">
        <f>IF(DataH!$AC536&lt;0, NA(), IF(ISERROR(DataH!$AA536/DataH!$AC536), "", DataH!$AA536/DataH!$AC536))</f>
        <v/>
      </c>
      <c r="I544" s="417" t="str">
        <f>IF(DataH!$AD536&lt;0, NA(), IF(ISERROR(DataH!$AA536/DataH!$AD536), "", DataH!$AA536/DataH!$AD536))</f>
        <v/>
      </c>
    </row>
    <row r="545" spans="2:9" ht="15" customHeight="1">
      <c r="B545" s="318" t="str">
        <f>IF(DataH!$V537="", "", DataH!$V537)</f>
        <v/>
      </c>
      <c r="C545" s="419" t="str">
        <f>IF(DataH!$X537&lt;0, NA(), IF(ISERROR(DataH!$W537/DataH!$X537), "", DataH!$W537/DataH!$X537))</f>
        <v/>
      </c>
      <c r="D545" s="419" t="str">
        <f>IF(DataH!$Y537&lt;0, NA(), IF(ISERROR(DataH!$W537/DataH!$Y537), "", DataH!$W537/DataH!$Y537))</f>
        <v/>
      </c>
      <c r="E545" s="420" t="str">
        <f>IF(DataH!$Z537&lt;0, NA(), IF(ISERROR(DataH!$W537/DataH!$Z537), "", DataH!$W537/DataH!$Z537))</f>
        <v/>
      </c>
      <c r="G545" s="421" t="str">
        <f>IF(DataH!$AB537&lt;0, NA(), IF(ISERROR(DataH!$AA537/DataH!$AB537), "", DataH!$AA537/DataH!$AB537))</f>
        <v/>
      </c>
      <c r="H545" s="419" t="str">
        <f>IF(DataH!$AC537&lt;0, NA(), IF(ISERROR(DataH!$AA537/DataH!$AC537), "", DataH!$AA537/DataH!$AC537))</f>
        <v/>
      </c>
      <c r="I545" s="420" t="str">
        <f>IF(DataH!$AD537&lt;0, NA(), IF(ISERROR(DataH!$AA537/DataH!$AD537), "", DataH!$AA537/DataH!$AD537))</f>
        <v/>
      </c>
    </row>
    <row r="546" spans="2:9" ht="15" customHeight="1">
      <c r="B546" s="322" t="str">
        <f>IF(DataH!$V538="", "", DataH!$V538)</f>
        <v/>
      </c>
      <c r="C546" s="416" t="str">
        <f>IF(DataH!$X538&lt;0, NA(), IF(ISERROR(DataH!$W538/DataH!$X538), "", DataH!$W538/DataH!$X538))</f>
        <v/>
      </c>
      <c r="D546" s="416" t="str">
        <f>IF(DataH!$Y538&lt;0, NA(), IF(ISERROR(DataH!$W538/DataH!$Y538), "", DataH!$W538/DataH!$Y538))</f>
        <v/>
      </c>
      <c r="E546" s="417" t="str">
        <f>IF(DataH!$Z538&lt;0, NA(), IF(ISERROR(DataH!$W538/DataH!$Z538), "", DataH!$W538/DataH!$Z538))</f>
        <v/>
      </c>
      <c r="G546" s="418" t="str">
        <f>IF(DataH!$AB538&lt;0, NA(), IF(ISERROR(DataH!$AA538/DataH!$AB538), "", DataH!$AA538/DataH!$AB538))</f>
        <v/>
      </c>
      <c r="H546" s="416" t="str">
        <f>IF(DataH!$AC538&lt;0, NA(), IF(ISERROR(DataH!$AA538/DataH!$AC538), "", DataH!$AA538/DataH!$AC538))</f>
        <v/>
      </c>
      <c r="I546" s="417" t="str">
        <f>IF(DataH!$AD538&lt;0, NA(), IF(ISERROR(DataH!$AA538/DataH!$AD538), "", DataH!$AA538/DataH!$AD538))</f>
        <v/>
      </c>
    </row>
    <row r="547" spans="2:9" ht="15" customHeight="1">
      <c r="B547" s="318" t="str">
        <f>IF(DataH!$V539="", "", DataH!$V539)</f>
        <v/>
      </c>
      <c r="C547" s="419" t="str">
        <f>IF(DataH!$X539&lt;0, NA(), IF(ISERROR(DataH!$W539/DataH!$X539), "", DataH!$W539/DataH!$X539))</f>
        <v/>
      </c>
      <c r="D547" s="419" t="str">
        <f>IF(DataH!$Y539&lt;0, NA(), IF(ISERROR(DataH!$W539/DataH!$Y539), "", DataH!$W539/DataH!$Y539))</f>
        <v/>
      </c>
      <c r="E547" s="420" t="str">
        <f>IF(DataH!$Z539&lt;0, NA(), IF(ISERROR(DataH!$W539/DataH!$Z539), "", DataH!$W539/DataH!$Z539))</f>
        <v/>
      </c>
      <c r="G547" s="421" t="str">
        <f>IF(DataH!$AB539&lt;0, NA(), IF(ISERROR(DataH!$AA539/DataH!$AB539), "", DataH!$AA539/DataH!$AB539))</f>
        <v/>
      </c>
      <c r="H547" s="419" t="str">
        <f>IF(DataH!$AC539&lt;0, NA(), IF(ISERROR(DataH!$AA539/DataH!$AC539), "", DataH!$AA539/DataH!$AC539))</f>
        <v/>
      </c>
      <c r="I547" s="420" t="str">
        <f>IF(DataH!$AD539&lt;0, NA(), IF(ISERROR(DataH!$AA539/DataH!$AD539), "", DataH!$AA539/DataH!$AD539))</f>
        <v/>
      </c>
    </row>
    <row r="548" spans="2:9" ht="15" customHeight="1">
      <c r="B548" s="322" t="str">
        <f>IF(DataH!$V540="", "", DataH!$V540)</f>
        <v/>
      </c>
      <c r="C548" s="416" t="str">
        <f>IF(DataH!$X540&lt;0, NA(), IF(ISERROR(DataH!$W540/DataH!$X540), "", DataH!$W540/DataH!$X540))</f>
        <v/>
      </c>
      <c r="D548" s="416" t="str">
        <f>IF(DataH!$Y540&lt;0, NA(), IF(ISERROR(DataH!$W540/DataH!$Y540), "", DataH!$W540/DataH!$Y540))</f>
        <v/>
      </c>
      <c r="E548" s="417" t="str">
        <f>IF(DataH!$Z540&lt;0, NA(), IF(ISERROR(DataH!$W540/DataH!$Z540), "", DataH!$W540/DataH!$Z540))</f>
        <v/>
      </c>
      <c r="G548" s="418" t="str">
        <f>IF(DataH!$AB540&lt;0, NA(), IF(ISERROR(DataH!$AA540/DataH!$AB540), "", DataH!$AA540/DataH!$AB540))</f>
        <v/>
      </c>
      <c r="H548" s="416" t="str">
        <f>IF(DataH!$AC540&lt;0, NA(), IF(ISERROR(DataH!$AA540/DataH!$AC540), "", DataH!$AA540/DataH!$AC540))</f>
        <v/>
      </c>
      <c r="I548" s="417" t="str">
        <f>IF(DataH!$AD540&lt;0, NA(), IF(ISERROR(DataH!$AA540/DataH!$AD540), "", DataH!$AA540/DataH!$AD540))</f>
        <v/>
      </c>
    </row>
    <row r="549" spans="2:9" ht="15" customHeight="1">
      <c r="B549" s="318" t="str">
        <f>IF(DataH!$V541="", "", DataH!$V541)</f>
        <v/>
      </c>
      <c r="C549" s="419" t="str">
        <f>IF(DataH!$X541&lt;0, NA(), IF(ISERROR(DataH!$W541/DataH!$X541), "", DataH!$W541/DataH!$X541))</f>
        <v/>
      </c>
      <c r="D549" s="419" t="str">
        <f>IF(DataH!$Y541&lt;0, NA(), IF(ISERROR(DataH!$W541/DataH!$Y541), "", DataH!$W541/DataH!$Y541))</f>
        <v/>
      </c>
      <c r="E549" s="420" t="str">
        <f>IF(DataH!$Z541&lt;0, NA(), IF(ISERROR(DataH!$W541/DataH!$Z541), "", DataH!$W541/DataH!$Z541))</f>
        <v/>
      </c>
      <c r="G549" s="421" t="str">
        <f>IF(DataH!$AB541&lt;0, NA(), IF(ISERROR(DataH!$AA541/DataH!$AB541), "", DataH!$AA541/DataH!$AB541))</f>
        <v/>
      </c>
      <c r="H549" s="419" t="str">
        <f>IF(DataH!$AC541&lt;0, NA(), IF(ISERROR(DataH!$AA541/DataH!$AC541), "", DataH!$AA541/DataH!$AC541))</f>
        <v/>
      </c>
      <c r="I549" s="420" t="str">
        <f>IF(DataH!$AD541&lt;0, NA(), IF(ISERROR(DataH!$AA541/DataH!$AD541), "", DataH!$AA541/DataH!$AD541))</f>
        <v/>
      </c>
    </row>
    <row r="550" spans="2:9" ht="15" customHeight="1">
      <c r="B550" s="322" t="str">
        <f>IF(DataH!$V542="", "", DataH!$V542)</f>
        <v/>
      </c>
      <c r="C550" s="416" t="str">
        <f>IF(DataH!$X542&lt;0, NA(), IF(ISERROR(DataH!$W542/DataH!$X542), "", DataH!$W542/DataH!$X542))</f>
        <v/>
      </c>
      <c r="D550" s="416" t="str">
        <f>IF(DataH!$Y542&lt;0, NA(), IF(ISERROR(DataH!$W542/DataH!$Y542), "", DataH!$W542/DataH!$Y542))</f>
        <v/>
      </c>
      <c r="E550" s="417" t="str">
        <f>IF(DataH!$Z542&lt;0, NA(), IF(ISERROR(DataH!$W542/DataH!$Z542), "", DataH!$W542/DataH!$Z542))</f>
        <v/>
      </c>
      <c r="G550" s="418" t="str">
        <f>IF(DataH!$AB542&lt;0, NA(), IF(ISERROR(DataH!$AA542/DataH!$AB542), "", DataH!$AA542/DataH!$AB542))</f>
        <v/>
      </c>
      <c r="H550" s="416" t="str">
        <f>IF(DataH!$AC542&lt;0, NA(), IF(ISERROR(DataH!$AA542/DataH!$AC542), "", DataH!$AA542/DataH!$AC542))</f>
        <v/>
      </c>
      <c r="I550" s="417" t="str">
        <f>IF(DataH!$AD542&lt;0, NA(), IF(ISERROR(DataH!$AA542/DataH!$AD542), "", DataH!$AA542/DataH!$AD542))</f>
        <v/>
      </c>
    </row>
    <row r="551" spans="2:9" ht="15" customHeight="1">
      <c r="B551" s="318" t="str">
        <f>IF(DataH!$V543="", "", DataH!$V543)</f>
        <v/>
      </c>
      <c r="C551" s="419" t="str">
        <f>IF(DataH!$X543&lt;0, NA(), IF(ISERROR(DataH!$W543/DataH!$X543), "", DataH!$W543/DataH!$X543))</f>
        <v/>
      </c>
      <c r="D551" s="419" t="str">
        <f>IF(DataH!$Y543&lt;0, NA(), IF(ISERROR(DataH!$W543/DataH!$Y543), "", DataH!$W543/DataH!$Y543))</f>
        <v/>
      </c>
      <c r="E551" s="420" t="str">
        <f>IF(DataH!$Z543&lt;0, NA(), IF(ISERROR(DataH!$W543/DataH!$Z543), "", DataH!$W543/DataH!$Z543))</f>
        <v/>
      </c>
      <c r="G551" s="421" t="str">
        <f>IF(DataH!$AB543&lt;0, NA(), IF(ISERROR(DataH!$AA543/DataH!$AB543), "", DataH!$AA543/DataH!$AB543))</f>
        <v/>
      </c>
      <c r="H551" s="419" t="str">
        <f>IF(DataH!$AC543&lt;0, NA(), IF(ISERROR(DataH!$AA543/DataH!$AC543), "", DataH!$AA543/DataH!$AC543))</f>
        <v/>
      </c>
      <c r="I551" s="420" t="str">
        <f>IF(DataH!$AD543&lt;0, NA(), IF(ISERROR(DataH!$AA543/DataH!$AD543), "", DataH!$AA543/DataH!$AD543))</f>
        <v/>
      </c>
    </row>
    <row r="552" spans="2:9" ht="15" customHeight="1">
      <c r="B552" s="322" t="str">
        <f>IF(DataH!$V544="", "", DataH!$V544)</f>
        <v/>
      </c>
      <c r="C552" s="416" t="str">
        <f>IF(DataH!$X544&lt;0, NA(), IF(ISERROR(DataH!$W544/DataH!$X544), "", DataH!$W544/DataH!$X544))</f>
        <v/>
      </c>
      <c r="D552" s="416" t="str">
        <f>IF(DataH!$Y544&lt;0, NA(), IF(ISERROR(DataH!$W544/DataH!$Y544), "", DataH!$W544/DataH!$Y544))</f>
        <v/>
      </c>
      <c r="E552" s="417" t="str">
        <f>IF(DataH!$Z544&lt;0, NA(), IF(ISERROR(DataH!$W544/DataH!$Z544), "", DataH!$W544/DataH!$Z544))</f>
        <v/>
      </c>
      <c r="G552" s="418" t="str">
        <f>IF(DataH!$AB544&lt;0, NA(), IF(ISERROR(DataH!$AA544/DataH!$AB544), "", DataH!$AA544/DataH!$AB544))</f>
        <v/>
      </c>
      <c r="H552" s="416" t="str">
        <f>IF(DataH!$AC544&lt;0, NA(), IF(ISERROR(DataH!$AA544/DataH!$AC544), "", DataH!$AA544/DataH!$AC544))</f>
        <v/>
      </c>
      <c r="I552" s="417" t="str">
        <f>IF(DataH!$AD544&lt;0, NA(), IF(ISERROR(DataH!$AA544/DataH!$AD544), "", DataH!$AA544/DataH!$AD544))</f>
        <v/>
      </c>
    </row>
    <row r="553" spans="2:9" ht="15" customHeight="1">
      <c r="B553" s="318" t="str">
        <f>IF(DataH!$V545="", "", DataH!$V545)</f>
        <v/>
      </c>
      <c r="C553" s="419" t="str">
        <f>IF(DataH!$X545&lt;0, NA(), IF(ISERROR(DataH!$W545/DataH!$X545), "", DataH!$W545/DataH!$X545))</f>
        <v/>
      </c>
      <c r="D553" s="419" t="str">
        <f>IF(DataH!$Y545&lt;0, NA(), IF(ISERROR(DataH!$W545/DataH!$Y545), "", DataH!$W545/DataH!$Y545))</f>
        <v/>
      </c>
      <c r="E553" s="420" t="str">
        <f>IF(DataH!$Z545&lt;0, NA(), IF(ISERROR(DataH!$W545/DataH!$Z545), "", DataH!$W545/DataH!$Z545))</f>
        <v/>
      </c>
      <c r="G553" s="421" t="str">
        <f>IF(DataH!$AB545&lt;0, NA(), IF(ISERROR(DataH!$AA545/DataH!$AB545), "", DataH!$AA545/DataH!$AB545))</f>
        <v/>
      </c>
      <c r="H553" s="419" t="str">
        <f>IF(DataH!$AC545&lt;0, NA(), IF(ISERROR(DataH!$AA545/DataH!$AC545), "", DataH!$AA545/DataH!$AC545))</f>
        <v/>
      </c>
      <c r="I553" s="420" t="str">
        <f>IF(DataH!$AD545&lt;0, NA(), IF(ISERROR(DataH!$AA545/DataH!$AD545), "", DataH!$AA545/DataH!$AD545))</f>
        <v/>
      </c>
    </row>
    <row r="554" spans="2:9" ht="15" customHeight="1">
      <c r="B554" s="322" t="str">
        <f>IF(DataH!$V546="", "", DataH!$V546)</f>
        <v/>
      </c>
      <c r="C554" s="416" t="str">
        <f>IF(DataH!$X546&lt;0, NA(), IF(ISERROR(DataH!$W546/DataH!$X546), "", DataH!$W546/DataH!$X546))</f>
        <v/>
      </c>
      <c r="D554" s="416" t="str">
        <f>IF(DataH!$Y546&lt;0, NA(), IF(ISERROR(DataH!$W546/DataH!$Y546), "", DataH!$W546/DataH!$Y546))</f>
        <v/>
      </c>
      <c r="E554" s="417" t="str">
        <f>IF(DataH!$Z546&lt;0, NA(), IF(ISERROR(DataH!$W546/DataH!$Z546), "", DataH!$W546/DataH!$Z546))</f>
        <v/>
      </c>
      <c r="G554" s="418" t="str">
        <f>IF(DataH!$AB546&lt;0, NA(), IF(ISERROR(DataH!$AA546/DataH!$AB546), "", DataH!$AA546/DataH!$AB546))</f>
        <v/>
      </c>
      <c r="H554" s="416" t="str">
        <f>IF(DataH!$AC546&lt;0, NA(), IF(ISERROR(DataH!$AA546/DataH!$AC546), "", DataH!$AA546/DataH!$AC546))</f>
        <v/>
      </c>
      <c r="I554" s="417" t="str">
        <f>IF(DataH!$AD546&lt;0, NA(), IF(ISERROR(DataH!$AA546/DataH!$AD546), "", DataH!$AA546/DataH!$AD546))</f>
        <v/>
      </c>
    </row>
    <row r="555" spans="2:9" ht="15" customHeight="1">
      <c r="B555" s="318" t="str">
        <f>IF(DataH!$V547="", "", DataH!$V547)</f>
        <v/>
      </c>
      <c r="C555" s="419" t="str">
        <f>IF(DataH!$X547&lt;0, NA(), IF(ISERROR(DataH!$W547/DataH!$X547), "", DataH!$W547/DataH!$X547))</f>
        <v/>
      </c>
      <c r="D555" s="419" t="str">
        <f>IF(DataH!$Y547&lt;0, NA(), IF(ISERROR(DataH!$W547/DataH!$Y547), "", DataH!$W547/DataH!$Y547))</f>
        <v/>
      </c>
      <c r="E555" s="420" t="str">
        <f>IF(DataH!$Z547&lt;0, NA(), IF(ISERROR(DataH!$W547/DataH!$Z547), "", DataH!$W547/DataH!$Z547))</f>
        <v/>
      </c>
      <c r="G555" s="421" t="str">
        <f>IF(DataH!$AB547&lt;0, NA(), IF(ISERROR(DataH!$AA547/DataH!$AB547), "", DataH!$AA547/DataH!$AB547))</f>
        <v/>
      </c>
      <c r="H555" s="419" t="str">
        <f>IF(DataH!$AC547&lt;0, NA(), IF(ISERROR(DataH!$AA547/DataH!$AC547), "", DataH!$AA547/DataH!$AC547))</f>
        <v/>
      </c>
      <c r="I555" s="420" t="str">
        <f>IF(DataH!$AD547&lt;0, NA(), IF(ISERROR(DataH!$AA547/DataH!$AD547), "", DataH!$AA547/DataH!$AD547))</f>
        <v/>
      </c>
    </row>
    <row r="556" spans="2:9" ht="15" customHeight="1">
      <c r="B556" s="322" t="str">
        <f>IF(DataH!$V548="", "", DataH!$V548)</f>
        <v/>
      </c>
      <c r="C556" s="416" t="str">
        <f>IF(DataH!$X548&lt;0, NA(), IF(ISERROR(DataH!$W548/DataH!$X548), "", DataH!$W548/DataH!$X548))</f>
        <v/>
      </c>
      <c r="D556" s="416" t="str">
        <f>IF(DataH!$Y548&lt;0, NA(), IF(ISERROR(DataH!$W548/DataH!$Y548), "", DataH!$W548/DataH!$Y548))</f>
        <v/>
      </c>
      <c r="E556" s="417" t="str">
        <f>IF(DataH!$Z548&lt;0, NA(), IF(ISERROR(DataH!$W548/DataH!$Z548), "", DataH!$W548/DataH!$Z548))</f>
        <v/>
      </c>
      <c r="G556" s="418" t="str">
        <f>IF(DataH!$AB548&lt;0, NA(), IF(ISERROR(DataH!$AA548/DataH!$AB548), "", DataH!$AA548/DataH!$AB548))</f>
        <v/>
      </c>
      <c r="H556" s="416" t="str">
        <f>IF(DataH!$AC548&lt;0, NA(), IF(ISERROR(DataH!$AA548/DataH!$AC548), "", DataH!$AA548/DataH!$AC548))</f>
        <v/>
      </c>
      <c r="I556" s="417" t="str">
        <f>IF(DataH!$AD548&lt;0, NA(), IF(ISERROR(DataH!$AA548/DataH!$AD548), "", DataH!$AA548/DataH!$AD548))</f>
        <v/>
      </c>
    </row>
    <row r="557" spans="2:9" ht="15" customHeight="1">
      <c r="B557" s="318" t="str">
        <f>IF(DataH!$V549="", "", DataH!$V549)</f>
        <v/>
      </c>
      <c r="C557" s="419" t="str">
        <f>IF(DataH!$X549&lt;0, NA(), IF(ISERROR(DataH!$W549/DataH!$X549), "", DataH!$W549/DataH!$X549))</f>
        <v/>
      </c>
      <c r="D557" s="419" t="str">
        <f>IF(DataH!$Y549&lt;0, NA(), IF(ISERROR(DataH!$W549/DataH!$Y549), "", DataH!$W549/DataH!$Y549))</f>
        <v/>
      </c>
      <c r="E557" s="420" t="str">
        <f>IF(DataH!$Z549&lt;0, NA(), IF(ISERROR(DataH!$W549/DataH!$Z549), "", DataH!$W549/DataH!$Z549))</f>
        <v/>
      </c>
      <c r="G557" s="421" t="str">
        <f>IF(DataH!$AB549&lt;0, NA(), IF(ISERROR(DataH!$AA549/DataH!$AB549), "", DataH!$AA549/DataH!$AB549))</f>
        <v/>
      </c>
      <c r="H557" s="419" t="str">
        <f>IF(DataH!$AC549&lt;0, NA(), IF(ISERROR(DataH!$AA549/DataH!$AC549), "", DataH!$AA549/DataH!$AC549))</f>
        <v/>
      </c>
      <c r="I557" s="420" t="str">
        <f>IF(DataH!$AD549&lt;0, NA(), IF(ISERROR(DataH!$AA549/DataH!$AD549), "", DataH!$AA549/DataH!$AD549))</f>
        <v/>
      </c>
    </row>
    <row r="558" spans="2:9" ht="15" customHeight="1">
      <c r="B558" s="322" t="str">
        <f>IF(DataH!$V550="", "", DataH!$V550)</f>
        <v/>
      </c>
      <c r="C558" s="416" t="str">
        <f>IF(DataH!$X550&lt;0, NA(), IF(ISERROR(DataH!$W550/DataH!$X550), "", DataH!$W550/DataH!$X550))</f>
        <v/>
      </c>
      <c r="D558" s="416" t="str">
        <f>IF(DataH!$Y550&lt;0, NA(), IF(ISERROR(DataH!$W550/DataH!$Y550), "", DataH!$W550/DataH!$Y550))</f>
        <v/>
      </c>
      <c r="E558" s="417" t="str">
        <f>IF(DataH!$Z550&lt;0, NA(), IF(ISERROR(DataH!$W550/DataH!$Z550), "", DataH!$W550/DataH!$Z550))</f>
        <v/>
      </c>
      <c r="G558" s="418" t="str">
        <f>IF(DataH!$AB550&lt;0, NA(), IF(ISERROR(DataH!$AA550/DataH!$AB550), "", DataH!$AA550/DataH!$AB550))</f>
        <v/>
      </c>
      <c r="H558" s="416" t="str">
        <f>IF(DataH!$AC550&lt;0, NA(), IF(ISERROR(DataH!$AA550/DataH!$AC550), "", DataH!$AA550/DataH!$AC550))</f>
        <v/>
      </c>
      <c r="I558" s="417" t="str">
        <f>IF(DataH!$AD550&lt;0, NA(), IF(ISERROR(DataH!$AA550/DataH!$AD550), "", DataH!$AA550/DataH!$AD550))</f>
        <v/>
      </c>
    </row>
    <row r="559" spans="2:9" ht="15" customHeight="1">
      <c r="B559" s="318" t="str">
        <f>IF(DataH!$V551="", "", DataH!$V551)</f>
        <v/>
      </c>
      <c r="C559" s="419" t="str">
        <f>IF(DataH!$X551&lt;0, NA(), IF(ISERROR(DataH!$W551/DataH!$X551), "", DataH!$W551/DataH!$X551))</f>
        <v/>
      </c>
      <c r="D559" s="419" t="str">
        <f>IF(DataH!$Y551&lt;0, NA(), IF(ISERROR(DataH!$W551/DataH!$Y551), "", DataH!$W551/DataH!$Y551))</f>
        <v/>
      </c>
      <c r="E559" s="420" t="str">
        <f>IF(DataH!$Z551&lt;0, NA(), IF(ISERROR(DataH!$W551/DataH!$Z551), "", DataH!$W551/DataH!$Z551))</f>
        <v/>
      </c>
      <c r="G559" s="421" t="str">
        <f>IF(DataH!$AB551&lt;0, NA(), IF(ISERROR(DataH!$AA551/DataH!$AB551), "", DataH!$AA551/DataH!$AB551))</f>
        <v/>
      </c>
      <c r="H559" s="419" t="str">
        <f>IF(DataH!$AC551&lt;0, NA(), IF(ISERROR(DataH!$AA551/DataH!$AC551), "", DataH!$AA551/DataH!$AC551))</f>
        <v/>
      </c>
      <c r="I559" s="420" t="str">
        <f>IF(DataH!$AD551&lt;0, NA(), IF(ISERROR(DataH!$AA551/DataH!$AD551), "", DataH!$AA551/DataH!$AD551))</f>
        <v/>
      </c>
    </row>
    <row r="560" spans="2:9" ht="15" customHeight="1">
      <c r="B560" s="322" t="str">
        <f>IF(DataH!$V552="", "", DataH!$V552)</f>
        <v/>
      </c>
      <c r="C560" s="416" t="str">
        <f>IF(DataH!$X552&lt;0, NA(), IF(ISERROR(DataH!$W552/DataH!$X552), "", DataH!$W552/DataH!$X552))</f>
        <v/>
      </c>
      <c r="D560" s="416" t="str">
        <f>IF(DataH!$Y552&lt;0, NA(), IF(ISERROR(DataH!$W552/DataH!$Y552), "", DataH!$W552/DataH!$Y552))</f>
        <v/>
      </c>
      <c r="E560" s="417" t="str">
        <f>IF(DataH!$Z552&lt;0, NA(), IF(ISERROR(DataH!$W552/DataH!$Z552), "", DataH!$W552/DataH!$Z552))</f>
        <v/>
      </c>
      <c r="G560" s="418" t="str">
        <f>IF(DataH!$AB552&lt;0, NA(), IF(ISERROR(DataH!$AA552/DataH!$AB552), "", DataH!$AA552/DataH!$AB552))</f>
        <v/>
      </c>
      <c r="H560" s="416" t="str">
        <f>IF(DataH!$AC552&lt;0, NA(), IF(ISERROR(DataH!$AA552/DataH!$AC552), "", DataH!$AA552/DataH!$AC552))</f>
        <v/>
      </c>
      <c r="I560" s="417" t="str">
        <f>IF(DataH!$AD552&lt;0, NA(), IF(ISERROR(DataH!$AA552/DataH!$AD552), "", DataH!$AA552/DataH!$AD552))</f>
        <v/>
      </c>
    </row>
    <row r="561" spans="2:9" ht="15" customHeight="1">
      <c r="B561" s="318" t="str">
        <f>IF(DataH!$V553="", "", DataH!$V553)</f>
        <v/>
      </c>
      <c r="C561" s="419" t="str">
        <f>IF(DataH!$X553&lt;0, NA(), IF(ISERROR(DataH!$W553/DataH!$X553), "", DataH!$W553/DataH!$X553))</f>
        <v/>
      </c>
      <c r="D561" s="419" t="str">
        <f>IF(DataH!$Y553&lt;0, NA(), IF(ISERROR(DataH!$W553/DataH!$Y553), "", DataH!$W553/DataH!$Y553))</f>
        <v/>
      </c>
      <c r="E561" s="420" t="str">
        <f>IF(DataH!$Z553&lt;0, NA(), IF(ISERROR(DataH!$W553/DataH!$Z553), "", DataH!$W553/DataH!$Z553))</f>
        <v/>
      </c>
      <c r="G561" s="421" t="str">
        <f>IF(DataH!$AB553&lt;0, NA(), IF(ISERROR(DataH!$AA553/DataH!$AB553), "", DataH!$AA553/DataH!$AB553))</f>
        <v/>
      </c>
      <c r="H561" s="419" t="str">
        <f>IF(DataH!$AC553&lt;0, NA(), IF(ISERROR(DataH!$AA553/DataH!$AC553), "", DataH!$AA553/DataH!$AC553))</f>
        <v/>
      </c>
      <c r="I561" s="420" t="str">
        <f>IF(DataH!$AD553&lt;0, NA(), IF(ISERROR(DataH!$AA553/DataH!$AD553), "", DataH!$AA553/DataH!$AD553))</f>
        <v/>
      </c>
    </row>
    <row r="562" spans="2:9" ht="15" customHeight="1">
      <c r="B562" s="322" t="str">
        <f>IF(DataH!$V554="", "", DataH!$V554)</f>
        <v/>
      </c>
      <c r="C562" s="416" t="str">
        <f>IF(DataH!$X554&lt;0, NA(), IF(ISERROR(DataH!$W554/DataH!$X554), "", DataH!$W554/DataH!$X554))</f>
        <v/>
      </c>
      <c r="D562" s="416" t="str">
        <f>IF(DataH!$Y554&lt;0, NA(), IF(ISERROR(DataH!$W554/DataH!$Y554), "", DataH!$W554/DataH!$Y554))</f>
        <v/>
      </c>
      <c r="E562" s="417" t="str">
        <f>IF(DataH!$Z554&lt;0, NA(), IF(ISERROR(DataH!$W554/DataH!$Z554), "", DataH!$W554/DataH!$Z554))</f>
        <v/>
      </c>
      <c r="G562" s="418" t="str">
        <f>IF(DataH!$AB554&lt;0, NA(), IF(ISERROR(DataH!$AA554/DataH!$AB554), "", DataH!$AA554/DataH!$AB554))</f>
        <v/>
      </c>
      <c r="H562" s="416" t="str">
        <f>IF(DataH!$AC554&lt;0, NA(), IF(ISERROR(DataH!$AA554/DataH!$AC554), "", DataH!$AA554/DataH!$AC554))</f>
        <v/>
      </c>
      <c r="I562" s="417" t="str">
        <f>IF(DataH!$AD554&lt;0, NA(), IF(ISERROR(DataH!$AA554/DataH!$AD554), "", DataH!$AA554/DataH!$AD554))</f>
        <v/>
      </c>
    </row>
    <row r="563" spans="2:9" ht="15" customHeight="1">
      <c r="B563" s="318" t="str">
        <f>IF(DataH!$V555="", "", DataH!$V555)</f>
        <v/>
      </c>
      <c r="C563" s="419" t="str">
        <f>IF(DataH!$X555&lt;0, NA(), IF(ISERROR(DataH!$W555/DataH!$X555), "", DataH!$W555/DataH!$X555))</f>
        <v/>
      </c>
      <c r="D563" s="419" t="str">
        <f>IF(DataH!$Y555&lt;0, NA(), IF(ISERROR(DataH!$W555/DataH!$Y555), "", DataH!$W555/DataH!$Y555))</f>
        <v/>
      </c>
      <c r="E563" s="420" t="str">
        <f>IF(DataH!$Z555&lt;0, NA(), IF(ISERROR(DataH!$W555/DataH!$Z555), "", DataH!$W555/DataH!$Z555))</f>
        <v/>
      </c>
      <c r="G563" s="421" t="str">
        <f>IF(DataH!$AB555&lt;0, NA(), IF(ISERROR(DataH!$AA555/DataH!$AB555), "", DataH!$AA555/DataH!$AB555))</f>
        <v/>
      </c>
      <c r="H563" s="419" t="str">
        <f>IF(DataH!$AC555&lt;0, NA(), IF(ISERROR(DataH!$AA555/DataH!$AC555), "", DataH!$AA555/DataH!$AC555))</f>
        <v/>
      </c>
      <c r="I563" s="420" t="str">
        <f>IF(DataH!$AD555&lt;0, NA(), IF(ISERROR(DataH!$AA555/DataH!$AD555), "", DataH!$AA555/DataH!$AD555))</f>
        <v/>
      </c>
    </row>
    <row r="564" spans="2:9" ht="15" customHeight="1">
      <c r="B564" s="322" t="str">
        <f>IF(DataH!$V556="", "", DataH!$V556)</f>
        <v/>
      </c>
      <c r="C564" s="416" t="str">
        <f>IF(DataH!$X556&lt;0, NA(), IF(ISERROR(DataH!$W556/DataH!$X556), "", DataH!$W556/DataH!$X556))</f>
        <v/>
      </c>
      <c r="D564" s="416" t="str">
        <f>IF(DataH!$Y556&lt;0, NA(), IF(ISERROR(DataH!$W556/DataH!$Y556), "", DataH!$W556/DataH!$Y556))</f>
        <v/>
      </c>
      <c r="E564" s="417" t="str">
        <f>IF(DataH!$Z556&lt;0, NA(), IF(ISERROR(DataH!$W556/DataH!$Z556), "", DataH!$W556/DataH!$Z556))</f>
        <v/>
      </c>
      <c r="G564" s="418" t="str">
        <f>IF(DataH!$AB556&lt;0, NA(), IF(ISERROR(DataH!$AA556/DataH!$AB556), "", DataH!$AA556/DataH!$AB556))</f>
        <v/>
      </c>
      <c r="H564" s="416" t="str">
        <f>IF(DataH!$AC556&lt;0, NA(), IF(ISERROR(DataH!$AA556/DataH!$AC556), "", DataH!$AA556/DataH!$AC556))</f>
        <v/>
      </c>
      <c r="I564" s="417" t="str">
        <f>IF(DataH!$AD556&lt;0, NA(), IF(ISERROR(DataH!$AA556/DataH!$AD556), "", DataH!$AA556/DataH!$AD556))</f>
        <v/>
      </c>
    </row>
    <row r="565" spans="2:9" ht="15" customHeight="1">
      <c r="B565" s="318" t="str">
        <f>IF(DataH!$V557="", "", DataH!$V557)</f>
        <v/>
      </c>
      <c r="C565" s="419" t="str">
        <f>IF(DataH!$X557&lt;0, NA(), IF(ISERROR(DataH!$W557/DataH!$X557), "", DataH!$W557/DataH!$X557))</f>
        <v/>
      </c>
      <c r="D565" s="419" t="str">
        <f>IF(DataH!$Y557&lt;0, NA(), IF(ISERROR(DataH!$W557/DataH!$Y557), "", DataH!$W557/DataH!$Y557))</f>
        <v/>
      </c>
      <c r="E565" s="420" t="str">
        <f>IF(DataH!$Z557&lt;0, NA(), IF(ISERROR(DataH!$W557/DataH!$Z557), "", DataH!$W557/DataH!$Z557))</f>
        <v/>
      </c>
      <c r="G565" s="421" t="str">
        <f>IF(DataH!$AB557&lt;0, NA(), IF(ISERROR(DataH!$AA557/DataH!$AB557), "", DataH!$AA557/DataH!$AB557))</f>
        <v/>
      </c>
      <c r="H565" s="419" t="str">
        <f>IF(DataH!$AC557&lt;0, NA(), IF(ISERROR(DataH!$AA557/DataH!$AC557), "", DataH!$AA557/DataH!$AC557))</f>
        <v/>
      </c>
      <c r="I565" s="420" t="str">
        <f>IF(DataH!$AD557&lt;0, NA(), IF(ISERROR(DataH!$AA557/DataH!$AD557), "", DataH!$AA557/DataH!$AD557))</f>
        <v/>
      </c>
    </row>
    <row r="566" spans="2:9" ht="15" customHeight="1">
      <c r="B566" s="322" t="str">
        <f>IF(DataH!$V558="", "", DataH!$V558)</f>
        <v/>
      </c>
      <c r="C566" s="416" t="str">
        <f>IF(DataH!$X558&lt;0, NA(), IF(ISERROR(DataH!$W558/DataH!$X558), "", DataH!$W558/DataH!$X558))</f>
        <v/>
      </c>
      <c r="D566" s="416" t="str">
        <f>IF(DataH!$Y558&lt;0, NA(), IF(ISERROR(DataH!$W558/DataH!$Y558), "", DataH!$W558/DataH!$Y558))</f>
        <v/>
      </c>
      <c r="E566" s="417" t="str">
        <f>IF(DataH!$Z558&lt;0, NA(), IF(ISERROR(DataH!$W558/DataH!$Z558), "", DataH!$W558/DataH!$Z558))</f>
        <v/>
      </c>
      <c r="G566" s="418" t="str">
        <f>IF(DataH!$AB558&lt;0, NA(), IF(ISERROR(DataH!$AA558/DataH!$AB558), "", DataH!$AA558/DataH!$AB558))</f>
        <v/>
      </c>
      <c r="H566" s="416" t="str">
        <f>IF(DataH!$AC558&lt;0, NA(), IF(ISERROR(DataH!$AA558/DataH!$AC558), "", DataH!$AA558/DataH!$AC558))</f>
        <v/>
      </c>
      <c r="I566" s="417" t="str">
        <f>IF(DataH!$AD558&lt;0, NA(), IF(ISERROR(DataH!$AA558/DataH!$AD558), "", DataH!$AA558/DataH!$AD558))</f>
        <v/>
      </c>
    </row>
    <row r="567" spans="2:9" ht="15" customHeight="1">
      <c r="B567" s="318" t="str">
        <f>IF(DataH!$V559="", "", DataH!$V559)</f>
        <v/>
      </c>
      <c r="C567" s="419" t="str">
        <f>IF(DataH!$X559&lt;0, NA(), IF(ISERROR(DataH!$W559/DataH!$X559), "", DataH!$W559/DataH!$X559))</f>
        <v/>
      </c>
      <c r="D567" s="419" t="str">
        <f>IF(DataH!$Y559&lt;0, NA(), IF(ISERROR(DataH!$W559/DataH!$Y559), "", DataH!$W559/DataH!$Y559))</f>
        <v/>
      </c>
      <c r="E567" s="420" t="str">
        <f>IF(DataH!$Z559&lt;0, NA(), IF(ISERROR(DataH!$W559/DataH!$Z559), "", DataH!$W559/DataH!$Z559))</f>
        <v/>
      </c>
      <c r="G567" s="421" t="str">
        <f>IF(DataH!$AB559&lt;0, NA(), IF(ISERROR(DataH!$AA559/DataH!$AB559), "", DataH!$AA559/DataH!$AB559))</f>
        <v/>
      </c>
      <c r="H567" s="419" t="str">
        <f>IF(DataH!$AC559&lt;0, NA(), IF(ISERROR(DataH!$AA559/DataH!$AC559), "", DataH!$AA559/DataH!$AC559))</f>
        <v/>
      </c>
      <c r="I567" s="420" t="str">
        <f>IF(DataH!$AD559&lt;0, NA(), IF(ISERROR(DataH!$AA559/DataH!$AD559), "", DataH!$AA559/DataH!$AD559))</f>
        <v/>
      </c>
    </row>
    <row r="568" spans="2:9" ht="15" customHeight="1">
      <c r="B568" s="322" t="str">
        <f>IF(DataH!$V560="", "", DataH!$V560)</f>
        <v/>
      </c>
      <c r="C568" s="416" t="str">
        <f>IF(DataH!$X560&lt;0, NA(), IF(ISERROR(DataH!$W560/DataH!$X560), "", DataH!$W560/DataH!$X560))</f>
        <v/>
      </c>
      <c r="D568" s="416" t="str">
        <f>IF(DataH!$Y560&lt;0, NA(), IF(ISERROR(DataH!$W560/DataH!$Y560), "", DataH!$W560/DataH!$Y560))</f>
        <v/>
      </c>
      <c r="E568" s="417" t="str">
        <f>IF(DataH!$Z560&lt;0, NA(), IF(ISERROR(DataH!$W560/DataH!$Z560), "", DataH!$W560/DataH!$Z560))</f>
        <v/>
      </c>
      <c r="G568" s="418" t="str">
        <f>IF(DataH!$AB560&lt;0, NA(), IF(ISERROR(DataH!$AA560/DataH!$AB560), "", DataH!$AA560/DataH!$AB560))</f>
        <v/>
      </c>
      <c r="H568" s="416" t="str">
        <f>IF(DataH!$AC560&lt;0, NA(), IF(ISERROR(DataH!$AA560/DataH!$AC560), "", DataH!$AA560/DataH!$AC560))</f>
        <v/>
      </c>
      <c r="I568" s="417" t="str">
        <f>IF(DataH!$AD560&lt;0, NA(), IF(ISERROR(DataH!$AA560/DataH!$AD560), "", DataH!$AA560/DataH!$AD560))</f>
        <v/>
      </c>
    </row>
    <row r="569" spans="2:9" ht="15" customHeight="1">
      <c r="B569" s="318" t="str">
        <f>IF(DataH!$V561="", "", DataH!$V561)</f>
        <v/>
      </c>
      <c r="C569" s="419" t="str">
        <f>IF(DataH!$X561&lt;0, NA(), IF(ISERROR(DataH!$W561/DataH!$X561), "", DataH!$W561/DataH!$X561))</f>
        <v/>
      </c>
      <c r="D569" s="419" t="str">
        <f>IF(DataH!$Y561&lt;0, NA(), IF(ISERROR(DataH!$W561/DataH!$Y561), "", DataH!$W561/DataH!$Y561))</f>
        <v/>
      </c>
      <c r="E569" s="420" t="str">
        <f>IF(DataH!$Z561&lt;0, NA(), IF(ISERROR(DataH!$W561/DataH!$Z561), "", DataH!$W561/DataH!$Z561))</f>
        <v/>
      </c>
      <c r="G569" s="421" t="str">
        <f>IF(DataH!$AB561&lt;0, NA(), IF(ISERROR(DataH!$AA561/DataH!$AB561), "", DataH!$AA561/DataH!$AB561))</f>
        <v/>
      </c>
      <c r="H569" s="419" t="str">
        <f>IF(DataH!$AC561&lt;0, NA(), IF(ISERROR(DataH!$AA561/DataH!$AC561), "", DataH!$AA561/DataH!$AC561))</f>
        <v/>
      </c>
      <c r="I569" s="420" t="str">
        <f>IF(DataH!$AD561&lt;0, NA(), IF(ISERROR(DataH!$AA561/DataH!$AD561), "", DataH!$AA561/DataH!$AD561))</f>
        <v/>
      </c>
    </row>
    <row r="570" spans="2:9" ht="15" customHeight="1">
      <c r="B570" s="322" t="str">
        <f>IF(DataH!$V562="", "", DataH!$V562)</f>
        <v/>
      </c>
      <c r="C570" s="416" t="str">
        <f>IF(DataH!$X562&lt;0, NA(), IF(ISERROR(DataH!$W562/DataH!$X562), "", DataH!$W562/DataH!$X562))</f>
        <v/>
      </c>
      <c r="D570" s="416" t="str">
        <f>IF(DataH!$Y562&lt;0, NA(), IF(ISERROR(DataH!$W562/DataH!$Y562), "", DataH!$W562/DataH!$Y562))</f>
        <v/>
      </c>
      <c r="E570" s="417" t="str">
        <f>IF(DataH!$Z562&lt;0, NA(), IF(ISERROR(DataH!$W562/DataH!$Z562), "", DataH!$W562/DataH!$Z562))</f>
        <v/>
      </c>
      <c r="G570" s="418" t="str">
        <f>IF(DataH!$AB562&lt;0, NA(), IF(ISERROR(DataH!$AA562/DataH!$AB562), "", DataH!$AA562/DataH!$AB562))</f>
        <v/>
      </c>
      <c r="H570" s="416" t="str">
        <f>IF(DataH!$AC562&lt;0, NA(), IF(ISERROR(DataH!$AA562/DataH!$AC562), "", DataH!$AA562/DataH!$AC562))</f>
        <v/>
      </c>
      <c r="I570" s="417" t="str">
        <f>IF(DataH!$AD562&lt;0, NA(), IF(ISERROR(DataH!$AA562/DataH!$AD562), "", DataH!$AA562/DataH!$AD562))</f>
        <v/>
      </c>
    </row>
    <row r="571" spans="2:9" ht="15" customHeight="1">
      <c r="B571" s="318" t="str">
        <f>IF(DataH!$V563="", "", DataH!$V563)</f>
        <v/>
      </c>
      <c r="C571" s="419" t="str">
        <f>IF(DataH!$X563&lt;0, NA(), IF(ISERROR(DataH!$W563/DataH!$X563), "", DataH!$W563/DataH!$X563))</f>
        <v/>
      </c>
      <c r="D571" s="419" t="str">
        <f>IF(DataH!$Y563&lt;0, NA(), IF(ISERROR(DataH!$W563/DataH!$Y563), "", DataH!$W563/DataH!$Y563))</f>
        <v/>
      </c>
      <c r="E571" s="420" t="str">
        <f>IF(DataH!$Z563&lt;0, NA(), IF(ISERROR(DataH!$W563/DataH!$Z563), "", DataH!$W563/DataH!$Z563))</f>
        <v/>
      </c>
      <c r="G571" s="421" t="str">
        <f>IF(DataH!$AB563&lt;0, NA(), IF(ISERROR(DataH!$AA563/DataH!$AB563), "", DataH!$AA563/DataH!$AB563))</f>
        <v/>
      </c>
      <c r="H571" s="419" t="str">
        <f>IF(DataH!$AC563&lt;0, NA(), IF(ISERROR(DataH!$AA563/DataH!$AC563), "", DataH!$AA563/DataH!$AC563))</f>
        <v/>
      </c>
      <c r="I571" s="420" t="str">
        <f>IF(DataH!$AD563&lt;0, NA(), IF(ISERROR(DataH!$AA563/DataH!$AD563), "", DataH!$AA563/DataH!$AD563))</f>
        <v/>
      </c>
    </row>
    <row r="572" spans="2:9" ht="15" customHeight="1">
      <c r="B572" s="322" t="str">
        <f>IF(DataH!$V564="", "", DataH!$V564)</f>
        <v/>
      </c>
      <c r="C572" s="416" t="str">
        <f>IF(DataH!$X564&lt;0, NA(), IF(ISERROR(DataH!$W564/DataH!$X564), "", DataH!$W564/DataH!$X564))</f>
        <v/>
      </c>
      <c r="D572" s="416" t="str">
        <f>IF(DataH!$Y564&lt;0, NA(), IF(ISERROR(DataH!$W564/DataH!$Y564), "", DataH!$W564/DataH!$Y564))</f>
        <v/>
      </c>
      <c r="E572" s="417" t="str">
        <f>IF(DataH!$Z564&lt;0, NA(), IF(ISERROR(DataH!$W564/DataH!$Z564), "", DataH!$W564/DataH!$Z564))</f>
        <v/>
      </c>
      <c r="G572" s="418" t="str">
        <f>IF(DataH!$AB564&lt;0, NA(), IF(ISERROR(DataH!$AA564/DataH!$AB564), "", DataH!$AA564/DataH!$AB564))</f>
        <v/>
      </c>
      <c r="H572" s="416" t="str">
        <f>IF(DataH!$AC564&lt;0, NA(), IF(ISERROR(DataH!$AA564/DataH!$AC564), "", DataH!$AA564/DataH!$AC564))</f>
        <v/>
      </c>
      <c r="I572" s="417" t="str">
        <f>IF(DataH!$AD564&lt;0, NA(), IF(ISERROR(DataH!$AA564/DataH!$AD564), "", DataH!$AA564/DataH!$AD564))</f>
        <v/>
      </c>
    </row>
    <row r="573" spans="2:9" ht="15" customHeight="1">
      <c r="B573" s="318" t="str">
        <f>IF(DataH!$V565="", "", DataH!$V565)</f>
        <v/>
      </c>
      <c r="C573" s="419" t="str">
        <f>IF(DataH!$X565&lt;0, NA(), IF(ISERROR(DataH!$W565/DataH!$X565), "", DataH!$W565/DataH!$X565))</f>
        <v/>
      </c>
      <c r="D573" s="419" t="str">
        <f>IF(DataH!$Y565&lt;0, NA(), IF(ISERROR(DataH!$W565/DataH!$Y565), "", DataH!$W565/DataH!$Y565))</f>
        <v/>
      </c>
      <c r="E573" s="420" t="str">
        <f>IF(DataH!$Z565&lt;0, NA(), IF(ISERROR(DataH!$W565/DataH!$Z565), "", DataH!$W565/DataH!$Z565))</f>
        <v/>
      </c>
      <c r="G573" s="421" t="str">
        <f>IF(DataH!$AB565&lt;0, NA(), IF(ISERROR(DataH!$AA565/DataH!$AB565), "", DataH!$AA565/DataH!$AB565))</f>
        <v/>
      </c>
      <c r="H573" s="419" t="str">
        <f>IF(DataH!$AC565&lt;0, NA(), IF(ISERROR(DataH!$AA565/DataH!$AC565), "", DataH!$AA565/DataH!$AC565))</f>
        <v/>
      </c>
      <c r="I573" s="420" t="str">
        <f>IF(DataH!$AD565&lt;0, NA(), IF(ISERROR(DataH!$AA565/DataH!$AD565), "", DataH!$AA565/DataH!$AD565))</f>
        <v/>
      </c>
    </row>
    <row r="574" spans="2:9" ht="15" customHeight="1">
      <c r="B574" s="322" t="str">
        <f>IF(DataH!$V566="", "", DataH!$V566)</f>
        <v/>
      </c>
      <c r="C574" s="416" t="str">
        <f>IF(DataH!$X566&lt;0, NA(), IF(ISERROR(DataH!$W566/DataH!$X566), "", DataH!$W566/DataH!$X566))</f>
        <v/>
      </c>
      <c r="D574" s="416" t="str">
        <f>IF(DataH!$Y566&lt;0, NA(), IF(ISERROR(DataH!$W566/DataH!$Y566), "", DataH!$W566/DataH!$Y566))</f>
        <v/>
      </c>
      <c r="E574" s="417" t="str">
        <f>IF(DataH!$Z566&lt;0, NA(), IF(ISERROR(DataH!$W566/DataH!$Z566), "", DataH!$W566/DataH!$Z566))</f>
        <v/>
      </c>
      <c r="G574" s="418" t="str">
        <f>IF(DataH!$AB566&lt;0, NA(), IF(ISERROR(DataH!$AA566/DataH!$AB566), "", DataH!$AA566/DataH!$AB566))</f>
        <v/>
      </c>
      <c r="H574" s="416" t="str">
        <f>IF(DataH!$AC566&lt;0, NA(), IF(ISERROR(DataH!$AA566/DataH!$AC566), "", DataH!$AA566/DataH!$AC566))</f>
        <v/>
      </c>
      <c r="I574" s="417" t="str">
        <f>IF(DataH!$AD566&lt;0, NA(), IF(ISERROR(DataH!$AA566/DataH!$AD566), "", DataH!$AA566/DataH!$AD566))</f>
        <v/>
      </c>
    </row>
    <row r="575" spans="2:9" ht="15" customHeight="1">
      <c r="B575" s="318" t="str">
        <f>IF(DataH!$V567="", "", DataH!$V567)</f>
        <v/>
      </c>
      <c r="C575" s="419" t="str">
        <f>IF(DataH!$X567&lt;0, NA(), IF(ISERROR(DataH!$W567/DataH!$X567), "", DataH!$W567/DataH!$X567))</f>
        <v/>
      </c>
      <c r="D575" s="419" t="str">
        <f>IF(DataH!$Y567&lt;0, NA(), IF(ISERROR(DataH!$W567/DataH!$Y567), "", DataH!$W567/DataH!$Y567))</f>
        <v/>
      </c>
      <c r="E575" s="420" t="str">
        <f>IF(DataH!$Z567&lt;0, NA(), IF(ISERROR(DataH!$W567/DataH!$Z567), "", DataH!$W567/DataH!$Z567))</f>
        <v/>
      </c>
      <c r="G575" s="421" t="str">
        <f>IF(DataH!$AB567&lt;0, NA(), IF(ISERROR(DataH!$AA567/DataH!$AB567), "", DataH!$AA567/DataH!$AB567))</f>
        <v/>
      </c>
      <c r="H575" s="419" t="str">
        <f>IF(DataH!$AC567&lt;0, NA(), IF(ISERROR(DataH!$AA567/DataH!$AC567), "", DataH!$AA567/DataH!$AC567))</f>
        <v/>
      </c>
      <c r="I575" s="420" t="str">
        <f>IF(DataH!$AD567&lt;0, NA(), IF(ISERROR(DataH!$AA567/DataH!$AD567), "", DataH!$AA567/DataH!$AD567))</f>
        <v/>
      </c>
    </row>
    <row r="576" spans="2:9" ht="15" customHeight="1">
      <c r="B576" s="322" t="str">
        <f>IF(DataH!$V568="", "", DataH!$V568)</f>
        <v/>
      </c>
      <c r="C576" s="416" t="str">
        <f>IF(DataH!$X568&lt;0, NA(), IF(ISERROR(DataH!$W568/DataH!$X568), "", DataH!$W568/DataH!$X568))</f>
        <v/>
      </c>
      <c r="D576" s="416" t="str">
        <f>IF(DataH!$Y568&lt;0, NA(), IF(ISERROR(DataH!$W568/DataH!$Y568), "", DataH!$W568/DataH!$Y568))</f>
        <v/>
      </c>
      <c r="E576" s="417" t="str">
        <f>IF(DataH!$Z568&lt;0, NA(), IF(ISERROR(DataH!$W568/DataH!$Z568), "", DataH!$W568/DataH!$Z568))</f>
        <v/>
      </c>
      <c r="G576" s="418" t="str">
        <f>IF(DataH!$AB568&lt;0, NA(), IF(ISERROR(DataH!$AA568/DataH!$AB568), "", DataH!$AA568/DataH!$AB568))</f>
        <v/>
      </c>
      <c r="H576" s="416" t="str">
        <f>IF(DataH!$AC568&lt;0, NA(), IF(ISERROR(DataH!$AA568/DataH!$AC568), "", DataH!$AA568/DataH!$AC568))</f>
        <v/>
      </c>
      <c r="I576" s="417" t="str">
        <f>IF(DataH!$AD568&lt;0, NA(), IF(ISERROR(DataH!$AA568/DataH!$AD568), "", DataH!$AA568/DataH!$AD568))</f>
        <v/>
      </c>
    </row>
    <row r="577" spans="2:9" ht="15" customHeight="1">
      <c r="B577" s="318" t="str">
        <f>IF(DataH!$V569="", "", DataH!$V569)</f>
        <v/>
      </c>
      <c r="C577" s="419" t="str">
        <f>IF(DataH!$X569&lt;0, NA(), IF(ISERROR(DataH!$W569/DataH!$X569), "", DataH!$W569/DataH!$X569))</f>
        <v/>
      </c>
      <c r="D577" s="419" t="str">
        <f>IF(DataH!$Y569&lt;0, NA(), IF(ISERROR(DataH!$W569/DataH!$Y569), "", DataH!$W569/DataH!$Y569))</f>
        <v/>
      </c>
      <c r="E577" s="420" t="str">
        <f>IF(DataH!$Z569&lt;0, NA(), IF(ISERROR(DataH!$W569/DataH!$Z569), "", DataH!$W569/DataH!$Z569))</f>
        <v/>
      </c>
      <c r="G577" s="421" t="str">
        <f>IF(DataH!$AB569&lt;0, NA(), IF(ISERROR(DataH!$AA569/DataH!$AB569), "", DataH!$AA569/DataH!$AB569))</f>
        <v/>
      </c>
      <c r="H577" s="419" t="str">
        <f>IF(DataH!$AC569&lt;0, NA(), IF(ISERROR(DataH!$AA569/DataH!$AC569), "", DataH!$AA569/DataH!$AC569))</f>
        <v/>
      </c>
      <c r="I577" s="420" t="str">
        <f>IF(DataH!$AD569&lt;0, NA(), IF(ISERROR(DataH!$AA569/DataH!$AD569), "", DataH!$AA569/DataH!$AD569))</f>
        <v/>
      </c>
    </row>
    <row r="578" spans="2:9" ht="15" customHeight="1">
      <c r="B578" s="322" t="str">
        <f>IF(DataH!$V570="", "", DataH!$V570)</f>
        <v/>
      </c>
      <c r="C578" s="416" t="str">
        <f>IF(DataH!$X570&lt;0, NA(), IF(ISERROR(DataH!$W570/DataH!$X570), "", DataH!$W570/DataH!$X570))</f>
        <v/>
      </c>
      <c r="D578" s="416" t="str">
        <f>IF(DataH!$Y570&lt;0, NA(), IF(ISERROR(DataH!$W570/DataH!$Y570), "", DataH!$W570/DataH!$Y570))</f>
        <v/>
      </c>
      <c r="E578" s="417" t="str">
        <f>IF(DataH!$Z570&lt;0, NA(), IF(ISERROR(DataH!$W570/DataH!$Z570), "", DataH!$W570/DataH!$Z570))</f>
        <v/>
      </c>
      <c r="G578" s="418" t="str">
        <f>IF(DataH!$AB570&lt;0, NA(), IF(ISERROR(DataH!$AA570/DataH!$AB570), "", DataH!$AA570/DataH!$AB570))</f>
        <v/>
      </c>
      <c r="H578" s="416" t="str">
        <f>IF(DataH!$AC570&lt;0, NA(), IF(ISERROR(DataH!$AA570/DataH!$AC570), "", DataH!$AA570/DataH!$AC570))</f>
        <v/>
      </c>
      <c r="I578" s="417" t="str">
        <f>IF(DataH!$AD570&lt;0, NA(), IF(ISERROR(DataH!$AA570/DataH!$AD570), "", DataH!$AA570/DataH!$AD570))</f>
        <v/>
      </c>
    </row>
    <row r="579" spans="2:9" ht="15" customHeight="1">
      <c r="B579" s="318" t="str">
        <f>IF(DataH!$V571="", "", DataH!$V571)</f>
        <v/>
      </c>
      <c r="C579" s="419" t="str">
        <f>IF(DataH!$X571&lt;0, NA(), IF(ISERROR(DataH!$W571/DataH!$X571), "", DataH!$W571/DataH!$X571))</f>
        <v/>
      </c>
      <c r="D579" s="419" t="str">
        <f>IF(DataH!$Y571&lt;0, NA(), IF(ISERROR(DataH!$W571/DataH!$Y571), "", DataH!$W571/DataH!$Y571))</f>
        <v/>
      </c>
      <c r="E579" s="420" t="str">
        <f>IF(DataH!$Z571&lt;0, NA(), IF(ISERROR(DataH!$W571/DataH!$Z571), "", DataH!$W571/DataH!$Z571))</f>
        <v/>
      </c>
      <c r="G579" s="421" t="str">
        <f>IF(DataH!$AB571&lt;0, NA(), IF(ISERROR(DataH!$AA571/DataH!$AB571), "", DataH!$AA571/DataH!$AB571))</f>
        <v/>
      </c>
      <c r="H579" s="419" t="str">
        <f>IF(DataH!$AC571&lt;0, NA(), IF(ISERROR(DataH!$AA571/DataH!$AC571), "", DataH!$AA571/DataH!$AC571))</f>
        <v/>
      </c>
      <c r="I579" s="420" t="str">
        <f>IF(DataH!$AD571&lt;0, NA(), IF(ISERROR(DataH!$AA571/DataH!$AD571), "", DataH!$AA571/DataH!$AD571))</f>
        <v/>
      </c>
    </row>
    <row r="580" spans="2:9" ht="15" customHeight="1">
      <c r="B580" s="322" t="str">
        <f>IF(DataH!$V572="", "", DataH!$V572)</f>
        <v/>
      </c>
      <c r="C580" s="416" t="str">
        <f>IF(DataH!$X572&lt;0, NA(), IF(ISERROR(DataH!$W572/DataH!$X572), "", DataH!$W572/DataH!$X572))</f>
        <v/>
      </c>
      <c r="D580" s="416" t="str">
        <f>IF(DataH!$Y572&lt;0, NA(), IF(ISERROR(DataH!$W572/DataH!$Y572), "", DataH!$W572/DataH!$Y572))</f>
        <v/>
      </c>
      <c r="E580" s="417" t="str">
        <f>IF(DataH!$Z572&lt;0, NA(), IF(ISERROR(DataH!$W572/DataH!$Z572), "", DataH!$W572/DataH!$Z572))</f>
        <v/>
      </c>
      <c r="G580" s="418" t="str">
        <f>IF(DataH!$AB572&lt;0, NA(), IF(ISERROR(DataH!$AA572/DataH!$AB572), "", DataH!$AA572/DataH!$AB572))</f>
        <v/>
      </c>
      <c r="H580" s="416" t="str">
        <f>IF(DataH!$AC572&lt;0, NA(), IF(ISERROR(DataH!$AA572/DataH!$AC572), "", DataH!$AA572/DataH!$AC572))</f>
        <v/>
      </c>
      <c r="I580" s="417" t="str">
        <f>IF(DataH!$AD572&lt;0, NA(), IF(ISERROR(DataH!$AA572/DataH!$AD572), "", DataH!$AA572/DataH!$AD572))</f>
        <v/>
      </c>
    </row>
    <row r="581" spans="2:9" ht="15" customHeight="1">
      <c r="B581" s="318" t="str">
        <f>IF(DataH!$V573="", "", DataH!$V573)</f>
        <v/>
      </c>
      <c r="C581" s="419" t="str">
        <f>IF(DataH!$X573&lt;0, NA(), IF(ISERROR(DataH!$W573/DataH!$X573), "", DataH!$W573/DataH!$X573))</f>
        <v/>
      </c>
      <c r="D581" s="419" t="str">
        <f>IF(DataH!$Y573&lt;0, NA(), IF(ISERROR(DataH!$W573/DataH!$Y573), "", DataH!$W573/DataH!$Y573))</f>
        <v/>
      </c>
      <c r="E581" s="420" t="str">
        <f>IF(DataH!$Z573&lt;0, NA(), IF(ISERROR(DataH!$W573/DataH!$Z573), "", DataH!$W573/DataH!$Z573))</f>
        <v/>
      </c>
      <c r="G581" s="421" t="str">
        <f>IF(DataH!$AB573&lt;0, NA(), IF(ISERROR(DataH!$AA573/DataH!$AB573), "", DataH!$AA573/DataH!$AB573))</f>
        <v/>
      </c>
      <c r="H581" s="419" t="str">
        <f>IF(DataH!$AC573&lt;0, NA(), IF(ISERROR(DataH!$AA573/DataH!$AC573), "", DataH!$AA573/DataH!$AC573))</f>
        <v/>
      </c>
      <c r="I581" s="420" t="str">
        <f>IF(DataH!$AD573&lt;0, NA(), IF(ISERROR(DataH!$AA573/DataH!$AD573), "", DataH!$AA573/DataH!$AD573))</f>
        <v/>
      </c>
    </row>
    <row r="582" spans="2:9" ht="15" customHeight="1">
      <c r="B582" s="322" t="str">
        <f>IF(DataH!$V574="", "", DataH!$V574)</f>
        <v/>
      </c>
      <c r="C582" s="416" t="str">
        <f>IF(DataH!$X574&lt;0, NA(), IF(ISERROR(DataH!$W574/DataH!$X574), "", DataH!$W574/DataH!$X574))</f>
        <v/>
      </c>
      <c r="D582" s="416" t="str">
        <f>IF(DataH!$Y574&lt;0, NA(), IF(ISERROR(DataH!$W574/DataH!$Y574), "", DataH!$W574/DataH!$Y574))</f>
        <v/>
      </c>
      <c r="E582" s="417" t="str">
        <f>IF(DataH!$Z574&lt;0, NA(), IF(ISERROR(DataH!$W574/DataH!$Z574), "", DataH!$W574/DataH!$Z574))</f>
        <v/>
      </c>
      <c r="G582" s="418" t="str">
        <f>IF(DataH!$AB574&lt;0, NA(), IF(ISERROR(DataH!$AA574/DataH!$AB574), "", DataH!$AA574/DataH!$AB574))</f>
        <v/>
      </c>
      <c r="H582" s="416" t="str">
        <f>IF(DataH!$AC574&lt;0, NA(), IF(ISERROR(DataH!$AA574/DataH!$AC574), "", DataH!$AA574/DataH!$AC574))</f>
        <v/>
      </c>
      <c r="I582" s="417" t="str">
        <f>IF(DataH!$AD574&lt;0, NA(), IF(ISERROR(DataH!$AA574/DataH!$AD574), "", DataH!$AA574/DataH!$AD574))</f>
        <v/>
      </c>
    </row>
    <row r="583" spans="2:9" ht="15" customHeight="1">
      <c r="B583" s="318" t="str">
        <f>IF(DataH!$V575="", "", DataH!$V575)</f>
        <v/>
      </c>
      <c r="C583" s="419" t="str">
        <f>IF(DataH!$X575&lt;0, NA(), IF(ISERROR(DataH!$W575/DataH!$X575), "", DataH!$W575/DataH!$X575))</f>
        <v/>
      </c>
      <c r="D583" s="419" t="str">
        <f>IF(DataH!$Y575&lt;0, NA(), IF(ISERROR(DataH!$W575/DataH!$Y575), "", DataH!$W575/DataH!$Y575))</f>
        <v/>
      </c>
      <c r="E583" s="420" t="str">
        <f>IF(DataH!$Z575&lt;0, NA(), IF(ISERROR(DataH!$W575/DataH!$Z575), "", DataH!$W575/DataH!$Z575))</f>
        <v/>
      </c>
      <c r="G583" s="421" t="str">
        <f>IF(DataH!$AB575&lt;0, NA(), IF(ISERROR(DataH!$AA575/DataH!$AB575), "", DataH!$AA575/DataH!$AB575))</f>
        <v/>
      </c>
      <c r="H583" s="419" t="str">
        <f>IF(DataH!$AC575&lt;0, NA(), IF(ISERROR(DataH!$AA575/DataH!$AC575), "", DataH!$AA575/DataH!$AC575))</f>
        <v/>
      </c>
      <c r="I583" s="420" t="str">
        <f>IF(DataH!$AD575&lt;0, NA(), IF(ISERROR(DataH!$AA575/DataH!$AD575), "", DataH!$AA575/DataH!$AD575))</f>
        <v/>
      </c>
    </row>
    <row r="584" spans="2:9" ht="15" customHeight="1">
      <c r="B584" s="322" t="str">
        <f>IF(DataH!$V576="", "", DataH!$V576)</f>
        <v/>
      </c>
      <c r="C584" s="416" t="str">
        <f>IF(DataH!$X576&lt;0, NA(), IF(ISERROR(DataH!$W576/DataH!$X576), "", DataH!$W576/DataH!$X576))</f>
        <v/>
      </c>
      <c r="D584" s="416" t="str">
        <f>IF(DataH!$Y576&lt;0, NA(), IF(ISERROR(DataH!$W576/DataH!$Y576), "", DataH!$W576/DataH!$Y576))</f>
        <v/>
      </c>
      <c r="E584" s="417" t="str">
        <f>IF(DataH!$Z576&lt;0, NA(), IF(ISERROR(DataH!$W576/DataH!$Z576), "", DataH!$W576/DataH!$Z576))</f>
        <v/>
      </c>
      <c r="G584" s="418" t="str">
        <f>IF(DataH!$AB576&lt;0, NA(), IF(ISERROR(DataH!$AA576/DataH!$AB576), "", DataH!$AA576/DataH!$AB576))</f>
        <v/>
      </c>
      <c r="H584" s="416" t="str">
        <f>IF(DataH!$AC576&lt;0, NA(), IF(ISERROR(DataH!$AA576/DataH!$AC576), "", DataH!$AA576/DataH!$AC576))</f>
        <v/>
      </c>
      <c r="I584" s="417" t="str">
        <f>IF(DataH!$AD576&lt;0, NA(), IF(ISERROR(DataH!$AA576/DataH!$AD576), "", DataH!$AA576/DataH!$AD576))</f>
        <v/>
      </c>
    </row>
    <row r="585" spans="2:9" ht="15" customHeight="1">
      <c r="B585" s="318" t="str">
        <f>IF(DataH!$V577="", "", DataH!$V577)</f>
        <v/>
      </c>
      <c r="C585" s="419" t="str">
        <f>IF(DataH!$X577&lt;0, NA(), IF(ISERROR(DataH!$W577/DataH!$X577), "", DataH!$W577/DataH!$X577))</f>
        <v/>
      </c>
      <c r="D585" s="419" t="str">
        <f>IF(DataH!$Y577&lt;0, NA(), IF(ISERROR(DataH!$W577/DataH!$Y577), "", DataH!$W577/DataH!$Y577))</f>
        <v/>
      </c>
      <c r="E585" s="420" t="str">
        <f>IF(DataH!$Z577&lt;0, NA(), IF(ISERROR(DataH!$W577/DataH!$Z577), "", DataH!$W577/DataH!$Z577))</f>
        <v/>
      </c>
      <c r="G585" s="421" t="str">
        <f>IF(DataH!$AB577&lt;0, NA(), IF(ISERROR(DataH!$AA577/DataH!$AB577), "", DataH!$AA577/DataH!$AB577))</f>
        <v/>
      </c>
      <c r="H585" s="419" t="str">
        <f>IF(DataH!$AC577&lt;0, NA(), IF(ISERROR(DataH!$AA577/DataH!$AC577), "", DataH!$AA577/DataH!$AC577))</f>
        <v/>
      </c>
      <c r="I585" s="420" t="str">
        <f>IF(DataH!$AD577&lt;0, NA(), IF(ISERROR(DataH!$AA577/DataH!$AD577), "", DataH!$AA577/DataH!$AD577))</f>
        <v/>
      </c>
    </row>
    <row r="586" spans="2:9" ht="15" customHeight="1">
      <c r="B586" s="322" t="str">
        <f>IF(DataH!$V578="", "", DataH!$V578)</f>
        <v/>
      </c>
      <c r="C586" s="416" t="str">
        <f>IF(DataH!$X578&lt;0, NA(), IF(ISERROR(DataH!$W578/DataH!$X578), "", DataH!$W578/DataH!$X578))</f>
        <v/>
      </c>
      <c r="D586" s="416" t="str">
        <f>IF(DataH!$Y578&lt;0, NA(), IF(ISERROR(DataH!$W578/DataH!$Y578), "", DataH!$W578/DataH!$Y578))</f>
        <v/>
      </c>
      <c r="E586" s="417" t="str">
        <f>IF(DataH!$Z578&lt;0, NA(), IF(ISERROR(DataH!$W578/DataH!$Z578), "", DataH!$W578/DataH!$Z578))</f>
        <v/>
      </c>
      <c r="G586" s="418" t="str">
        <f>IF(DataH!$AB578&lt;0, NA(), IF(ISERROR(DataH!$AA578/DataH!$AB578), "", DataH!$AA578/DataH!$AB578))</f>
        <v/>
      </c>
      <c r="H586" s="416" t="str">
        <f>IF(DataH!$AC578&lt;0, NA(), IF(ISERROR(DataH!$AA578/DataH!$AC578), "", DataH!$AA578/DataH!$AC578))</f>
        <v/>
      </c>
      <c r="I586" s="417" t="str">
        <f>IF(DataH!$AD578&lt;0, NA(), IF(ISERROR(DataH!$AA578/DataH!$AD578), "", DataH!$AA578/DataH!$AD578))</f>
        <v/>
      </c>
    </row>
    <row r="587" spans="2:9" ht="15" customHeight="1">
      <c r="B587" s="318" t="str">
        <f>IF(DataH!$V579="", "", DataH!$V579)</f>
        <v/>
      </c>
      <c r="C587" s="419" t="str">
        <f>IF(DataH!$X579&lt;0, NA(), IF(ISERROR(DataH!$W579/DataH!$X579), "", DataH!$W579/DataH!$X579))</f>
        <v/>
      </c>
      <c r="D587" s="419" t="str">
        <f>IF(DataH!$Y579&lt;0, NA(), IF(ISERROR(DataH!$W579/DataH!$Y579), "", DataH!$W579/DataH!$Y579))</f>
        <v/>
      </c>
      <c r="E587" s="420" t="str">
        <f>IF(DataH!$Z579&lt;0, NA(), IF(ISERROR(DataH!$W579/DataH!$Z579), "", DataH!$W579/DataH!$Z579))</f>
        <v/>
      </c>
      <c r="G587" s="421" t="str">
        <f>IF(DataH!$AB579&lt;0, NA(), IF(ISERROR(DataH!$AA579/DataH!$AB579), "", DataH!$AA579/DataH!$AB579))</f>
        <v/>
      </c>
      <c r="H587" s="419" t="str">
        <f>IF(DataH!$AC579&lt;0, NA(), IF(ISERROR(DataH!$AA579/DataH!$AC579), "", DataH!$AA579/DataH!$AC579))</f>
        <v/>
      </c>
      <c r="I587" s="420" t="str">
        <f>IF(DataH!$AD579&lt;0, NA(), IF(ISERROR(DataH!$AA579/DataH!$AD579), "", DataH!$AA579/DataH!$AD579))</f>
        <v/>
      </c>
    </row>
    <row r="588" spans="2:9" ht="15" customHeight="1">
      <c r="B588" s="322" t="str">
        <f>IF(DataH!$V580="", "", DataH!$V580)</f>
        <v/>
      </c>
      <c r="C588" s="416" t="str">
        <f>IF(DataH!$X580&lt;0, NA(), IF(ISERROR(DataH!$W580/DataH!$X580), "", DataH!$W580/DataH!$X580))</f>
        <v/>
      </c>
      <c r="D588" s="416" t="str">
        <f>IF(DataH!$Y580&lt;0, NA(), IF(ISERROR(DataH!$W580/DataH!$Y580), "", DataH!$W580/DataH!$Y580))</f>
        <v/>
      </c>
      <c r="E588" s="417" t="str">
        <f>IF(DataH!$Z580&lt;0, NA(), IF(ISERROR(DataH!$W580/DataH!$Z580), "", DataH!$W580/DataH!$Z580))</f>
        <v/>
      </c>
      <c r="G588" s="418" t="str">
        <f>IF(DataH!$AB580&lt;0, NA(), IF(ISERROR(DataH!$AA580/DataH!$AB580), "", DataH!$AA580/DataH!$AB580))</f>
        <v/>
      </c>
      <c r="H588" s="416" t="str">
        <f>IF(DataH!$AC580&lt;0, NA(), IF(ISERROR(DataH!$AA580/DataH!$AC580), "", DataH!$AA580/DataH!$AC580))</f>
        <v/>
      </c>
      <c r="I588" s="417" t="str">
        <f>IF(DataH!$AD580&lt;0, NA(), IF(ISERROR(DataH!$AA580/DataH!$AD580), "", DataH!$AA580/DataH!$AD580))</f>
        <v/>
      </c>
    </row>
    <row r="589" spans="2:9" ht="15" customHeight="1">
      <c r="B589" s="318" t="str">
        <f>IF(DataH!$V581="", "", DataH!$V581)</f>
        <v/>
      </c>
      <c r="C589" s="419" t="str">
        <f>IF(DataH!$X581&lt;0, NA(), IF(ISERROR(DataH!$W581/DataH!$X581), "", DataH!$W581/DataH!$X581))</f>
        <v/>
      </c>
      <c r="D589" s="419" t="str">
        <f>IF(DataH!$Y581&lt;0, NA(), IF(ISERROR(DataH!$W581/DataH!$Y581), "", DataH!$W581/DataH!$Y581))</f>
        <v/>
      </c>
      <c r="E589" s="420" t="str">
        <f>IF(DataH!$Z581&lt;0, NA(), IF(ISERROR(DataH!$W581/DataH!$Z581), "", DataH!$W581/DataH!$Z581))</f>
        <v/>
      </c>
      <c r="G589" s="421" t="str">
        <f>IF(DataH!$AB581&lt;0, NA(), IF(ISERROR(DataH!$AA581/DataH!$AB581), "", DataH!$AA581/DataH!$AB581))</f>
        <v/>
      </c>
      <c r="H589" s="419" t="str">
        <f>IF(DataH!$AC581&lt;0, NA(), IF(ISERROR(DataH!$AA581/DataH!$AC581), "", DataH!$AA581/DataH!$AC581))</f>
        <v/>
      </c>
      <c r="I589" s="420" t="str">
        <f>IF(DataH!$AD581&lt;0, NA(), IF(ISERROR(DataH!$AA581/DataH!$AD581), "", DataH!$AA581/DataH!$AD581))</f>
        <v/>
      </c>
    </row>
    <row r="590" spans="2:9" ht="15" customHeight="1">
      <c r="B590" s="322" t="str">
        <f>IF(DataH!$V582="", "", DataH!$V582)</f>
        <v/>
      </c>
      <c r="C590" s="416" t="str">
        <f>IF(DataH!$X582&lt;0, NA(), IF(ISERROR(DataH!$W582/DataH!$X582), "", DataH!$W582/DataH!$X582))</f>
        <v/>
      </c>
      <c r="D590" s="416" t="str">
        <f>IF(DataH!$Y582&lt;0, NA(), IF(ISERROR(DataH!$W582/DataH!$Y582), "", DataH!$W582/DataH!$Y582))</f>
        <v/>
      </c>
      <c r="E590" s="417" t="str">
        <f>IF(DataH!$Z582&lt;0, NA(), IF(ISERROR(DataH!$W582/DataH!$Z582), "", DataH!$W582/DataH!$Z582))</f>
        <v/>
      </c>
      <c r="G590" s="418" t="str">
        <f>IF(DataH!$AB582&lt;0, NA(), IF(ISERROR(DataH!$AA582/DataH!$AB582), "", DataH!$AA582/DataH!$AB582))</f>
        <v/>
      </c>
      <c r="H590" s="416" t="str">
        <f>IF(DataH!$AC582&lt;0, NA(), IF(ISERROR(DataH!$AA582/DataH!$AC582), "", DataH!$AA582/DataH!$AC582))</f>
        <v/>
      </c>
      <c r="I590" s="417" t="str">
        <f>IF(DataH!$AD582&lt;0, NA(), IF(ISERROR(DataH!$AA582/DataH!$AD582), "", DataH!$AA582/DataH!$AD582))</f>
        <v/>
      </c>
    </row>
    <row r="591" spans="2:9" ht="15" customHeight="1">
      <c r="B591" s="318" t="str">
        <f>IF(DataH!$V583="", "", DataH!$V583)</f>
        <v/>
      </c>
      <c r="C591" s="419" t="str">
        <f>IF(DataH!$X583&lt;0, NA(), IF(ISERROR(DataH!$W583/DataH!$X583), "", DataH!$W583/DataH!$X583))</f>
        <v/>
      </c>
      <c r="D591" s="419" t="str">
        <f>IF(DataH!$Y583&lt;0, NA(), IF(ISERROR(DataH!$W583/DataH!$Y583), "", DataH!$W583/DataH!$Y583))</f>
        <v/>
      </c>
      <c r="E591" s="420" t="str">
        <f>IF(DataH!$Z583&lt;0, NA(), IF(ISERROR(DataH!$W583/DataH!$Z583), "", DataH!$W583/DataH!$Z583))</f>
        <v/>
      </c>
      <c r="G591" s="421" t="str">
        <f>IF(DataH!$AB583&lt;0, NA(), IF(ISERROR(DataH!$AA583/DataH!$AB583), "", DataH!$AA583/DataH!$AB583))</f>
        <v/>
      </c>
      <c r="H591" s="419" t="str">
        <f>IF(DataH!$AC583&lt;0, NA(), IF(ISERROR(DataH!$AA583/DataH!$AC583), "", DataH!$AA583/DataH!$AC583))</f>
        <v/>
      </c>
      <c r="I591" s="420" t="str">
        <f>IF(DataH!$AD583&lt;0, NA(), IF(ISERROR(DataH!$AA583/DataH!$AD583), "", DataH!$AA583/DataH!$AD583))</f>
        <v/>
      </c>
    </row>
    <row r="592" spans="2:9" ht="15" customHeight="1">
      <c r="B592" s="322" t="str">
        <f>IF(DataH!$V584="", "", DataH!$V584)</f>
        <v/>
      </c>
      <c r="C592" s="416" t="str">
        <f>IF(DataH!$X584&lt;0, NA(), IF(ISERROR(DataH!$W584/DataH!$X584), "", DataH!$W584/DataH!$X584))</f>
        <v/>
      </c>
      <c r="D592" s="416" t="str">
        <f>IF(DataH!$Y584&lt;0, NA(), IF(ISERROR(DataH!$W584/DataH!$Y584), "", DataH!$W584/DataH!$Y584))</f>
        <v/>
      </c>
      <c r="E592" s="417" t="str">
        <f>IF(DataH!$Z584&lt;0, NA(), IF(ISERROR(DataH!$W584/DataH!$Z584), "", DataH!$W584/DataH!$Z584))</f>
        <v/>
      </c>
      <c r="G592" s="418" t="str">
        <f>IF(DataH!$AB584&lt;0, NA(), IF(ISERROR(DataH!$AA584/DataH!$AB584), "", DataH!$AA584/DataH!$AB584))</f>
        <v/>
      </c>
      <c r="H592" s="416" t="str">
        <f>IF(DataH!$AC584&lt;0, NA(), IF(ISERROR(DataH!$AA584/DataH!$AC584), "", DataH!$AA584/DataH!$AC584))</f>
        <v/>
      </c>
      <c r="I592" s="417" t="str">
        <f>IF(DataH!$AD584&lt;0, NA(), IF(ISERROR(DataH!$AA584/DataH!$AD584), "", DataH!$AA584/DataH!$AD584))</f>
        <v/>
      </c>
    </row>
    <row r="593" spans="2:9" ht="15" customHeight="1">
      <c r="B593" s="318" t="str">
        <f>IF(DataH!$V585="", "", DataH!$V585)</f>
        <v/>
      </c>
      <c r="C593" s="419" t="str">
        <f>IF(DataH!$X585&lt;0, NA(), IF(ISERROR(DataH!$W585/DataH!$X585), "", DataH!$W585/DataH!$X585))</f>
        <v/>
      </c>
      <c r="D593" s="419" t="str">
        <f>IF(DataH!$Y585&lt;0, NA(), IF(ISERROR(DataH!$W585/DataH!$Y585), "", DataH!$W585/DataH!$Y585))</f>
        <v/>
      </c>
      <c r="E593" s="420" t="str">
        <f>IF(DataH!$Z585&lt;0, NA(), IF(ISERROR(DataH!$W585/DataH!$Z585), "", DataH!$W585/DataH!$Z585))</f>
        <v/>
      </c>
      <c r="G593" s="421" t="str">
        <f>IF(DataH!$AB585&lt;0, NA(), IF(ISERROR(DataH!$AA585/DataH!$AB585), "", DataH!$AA585/DataH!$AB585))</f>
        <v/>
      </c>
      <c r="H593" s="419" t="str">
        <f>IF(DataH!$AC585&lt;0, NA(), IF(ISERROR(DataH!$AA585/DataH!$AC585), "", DataH!$AA585/DataH!$AC585))</f>
        <v/>
      </c>
      <c r="I593" s="420" t="str">
        <f>IF(DataH!$AD585&lt;0, NA(), IF(ISERROR(DataH!$AA585/DataH!$AD585), "", DataH!$AA585/DataH!$AD585))</f>
        <v/>
      </c>
    </row>
    <row r="594" spans="2:9" ht="15" customHeight="1">
      <c r="B594" s="322" t="str">
        <f>IF(DataH!$V586="", "", DataH!$V586)</f>
        <v/>
      </c>
      <c r="C594" s="416" t="str">
        <f>IF(DataH!$X586&lt;0, NA(), IF(ISERROR(DataH!$W586/DataH!$X586), "", DataH!$W586/DataH!$X586))</f>
        <v/>
      </c>
      <c r="D594" s="416" t="str">
        <f>IF(DataH!$Y586&lt;0, NA(), IF(ISERROR(DataH!$W586/DataH!$Y586), "", DataH!$W586/DataH!$Y586))</f>
        <v/>
      </c>
      <c r="E594" s="417" t="str">
        <f>IF(DataH!$Z586&lt;0, NA(), IF(ISERROR(DataH!$W586/DataH!$Z586), "", DataH!$W586/DataH!$Z586))</f>
        <v/>
      </c>
      <c r="G594" s="418" t="str">
        <f>IF(DataH!$AB586&lt;0, NA(), IF(ISERROR(DataH!$AA586/DataH!$AB586), "", DataH!$AA586/DataH!$AB586))</f>
        <v/>
      </c>
      <c r="H594" s="416" t="str">
        <f>IF(DataH!$AC586&lt;0, NA(), IF(ISERROR(DataH!$AA586/DataH!$AC586), "", DataH!$AA586/DataH!$AC586))</f>
        <v/>
      </c>
      <c r="I594" s="417" t="str">
        <f>IF(DataH!$AD586&lt;0, NA(), IF(ISERROR(DataH!$AA586/DataH!$AD586), "", DataH!$AA586/DataH!$AD586))</f>
        <v/>
      </c>
    </row>
    <row r="595" spans="2:9" ht="15" customHeight="1">
      <c r="B595" s="318" t="str">
        <f>IF(DataH!$V587="", "", DataH!$V587)</f>
        <v/>
      </c>
      <c r="C595" s="419" t="str">
        <f>IF(DataH!$X587&lt;0, NA(), IF(ISERROR(DataH!$W587/DataH!$X587), "", DataH!$W587/DataH!$X587))</f>
        <v/>
      </c>
      <c r="D595" s="419" t="str">
        <f>IF(DataH!$Y587&lt;0, NA(), IF(ISERROR(DataH!$W587/DataH!$Y587), "", DataH!$W587/DataH!$Y587))</f>
        <v/>
      </c>
      <c r="E595" s="420" t="str">
        <f>IF(DataH!$Z587&lt;0, NA(), IF(ISERROR(DataH!$W587/DataH!$Z587), "", DataH!$W587/DataH!$Z587))</f>
        <v/>
      </c>
      <c r="G595" s="421" t="str">
        <f>IF(DataH!$AB587&lt;0, NA(), IF(ISERROR(DataH!$AA587/DataH!$AB587), "", DataH!$AA587/DataH!$AB587))</f>
        <v/>
      </c>
      <c r="H595" s="419" t="str">
        <f>IF(DataH!$AC587&lt;0, NA(), IF(ISERROR(DataH!$AA587/DataH!$AC587), "", DataH!$AA587/DataH!$AC587))</f>
        <v/>
      </c>
      <c r="I595" s="420" t="str">
        <f>IF(DataH!$AD587&lt;0, NA(), IF(ISERROR(DataH!$AA587/DataH!$AD587), "", DataH!$AA587/DataH!$AD587))</f>
        <v/>
      </c>
    </row>
    <row r="596" spans="2:9" ht="15" customHeight="1">
      <c r="B596" s="322" t="str">
        <f>IF(DataH!$V588="", "", DataH!$V588)</f>
        <v/>
      </c>
      <c r="C596" s="416" t="str">
        <f>IF(DataH!$X588&lt;0, NA(), IF(ISERROR(DataH!$W588/DataH!$X588), "", DataH!$W588/DataH!$X588))</f>
        <v/>
      </c>
      <c r="D596" s="416" t="str">
        <f>IF(DataH!$Y588&lt;0, NA(), IF(ISERROR(DataH!$W588/DataH!$Y588), "", DataH!$W588/DataH!$Y588))</f>
        <v/>
      </c>
      <c r="E596" s="417" t="str">
        <f>IF(DataH!$Z588&lt;0, NA(), IF(ISERROR(DataH!$W588/DataH!$Z588), "", DataH!$W588/DataH!$Z588))</f>
        <v/>
      </c>
      <c r="G596" s="418" t="str">
        <f>IF(DataH!$AB588&lt;0, NA(), IF(ISERROR(DataH!$AA588/DataH!$AB588), "", DataH!$AA588/DataH!$AB588))</f>
        <v/>
      </c>
      <c r="H596" s="416" t="str">
        <f>IF(DataH!$AC588&lt;0, NA(), IF(ISERROR(DataH!$AA588/DataH!$AC588), "", DataH!$AA588/DataH!$AC588))</f>
        <v/>
      </c>
      <c r="I596" s="417" t="str">
        <f>IF(DataH!$AD588&lt;0, NA(), IF(ISERROR(DataH!$AA588/DataH!$AD588), "", DataH!$AA588/DataH!$AD588))</f>
        <v/>
      </c>
    </row>
    <row r="597" spans="2:9" ht="15" customHeight="1">
      <c r="B597" s="318" t="str">
        <f>IF(DataH!$V589="", "", DataH!$V589)</f>
        <v/>
      </c>
      <c r="C597" s="419" t="str">
        <f>IF(DataH!$X589&lt;0, NA(), IF(ISERROR(DataH!$W589/DataH!$X589), "", DataH!$W589/DataH!$X589))</f>
        <v/>
      </c>
      <c r="D597" s="419" t="str">
        <f>IF(DataH!$Y589&lt;0, NA(), IF(ISERROR(DataH!$W589/DataH!$Y589), "", DataH!$W589/DataH!$Y589))</f>
        <v/>
      </c>
      <c r="E597" s="420" t="str">
        <f>IF(DataH!$Z589&lt;0, NA(), IF(ISERROR(DataH!$W589/DataH!$Z589), "", DataH!$W589/DataH!$Z589))</f>
        <v/>
      </c>
      <c r="G597" s="421" t="str">
        <f>IF(DataH!$AB589&lt;0, NA(), IF(ISERROR(DataH!$AA589/DataH!$AB589), "", DataH!$AA589/DataH!$AB589))</f>
        <v/>
      </c>
      <c r="H597" s="419" t="str">
        <f>IF(DataH!$AC589&lt;0, NA(), IF(ISERROR(DataH!$AA589/DataH!$AC589), "", DataH!$AA589/DataH!$AC589))</f>
        <v/>
      </c>
      <c r="I597" s="420" t="str">
        <f>IF(DataH!$AD589&lt;0, NA(), IF(ISERROR(DataH!$AA589/DataH!$AD589), "", DataH!$AA589/DataH!$AD589))</f>
        <v/>
      </c>
    </row>
    <row r="598" spans="2:9" ht="15" customHeight="1">
      <c r="B598" s="322" t="str">
        <f>IF(DataH!$V590="", "", DataH!$V590)</f>
        <v/>
      </c>
      <c r="C598" s="416" t="str">
        <f>IF(DataH!$X590&lt;0, NA(), IF(ISERROR(DataH!$W590/DataH!$X590), "", DataH!$W590/DataH!$X590))</f>
        <v/>
      </c>
      <c r="D598" s="416" t="str">
        <f>IF(DataH!$Y590&lt;0, NA(), IF(ISERROR(DataH!$W590/DataH!$Y590), "", DataH!$W590/DataH!$Y590))</f>
        <v/>
      </c>
      <c r="E598" s="417" t="str">
        <f>IF(DataH!$Z590&lt;0, NA(), IF(ISERROR(DataH!$W590/DataH!$Z590), "", DataH!$W590/DataH!$Z590))</f>
        <v/>
      </c>
      <c r="G598" s="418" t="str">
        <f>IF(DataH!$AB590&lt;0, NA(), IF(ISERROR(DataH!$AA590/DataH!$AB590), "", DataH!$AA590/DataH!$AB590))</f>
        <v/>
      </c>
      <c r="H598" s="416" t="str">
        <f>IF(DataH!$AC590&lt;0, NA(), IF(ISERROR(DataH!$AA590/DataH!$AC590), "", DataH!$AA590/DataH!$AC590))</f>
        <v/>
      </c>
      <c r="I598" s="417" t="str">
        <f>IF(DataH!$AD590&lt;0, NA(), IF(ISERROR(DataH!$AA590/DataH!$AD590), "", DataH!$AA590/DataH!$AD590))</f>
        <v/>
      </c>
    </row>
    <row r="599" spans="2:9" ht="15" customHeight="1">
      <c r="B599" s="318" t="str">
        <f>IF(DataH!$V591="", "", DataH!$V591)</f>
        <v/>
      </c>
      <c r="C599" s="419" t="str">
        <f>IF(DataH!$X591&lt;0, NA(), IF(ISERROR(DataH!$W591/DataH!$X591), "", DataH!$W591/DataH!$X591))</f>
        <v/>
      </c>
      <c r="D599" s="419" t="str">
        <f>IF(DataH!$Y591&lt;0, NA(), IF(ISERROR(DataH!$W591/DataH!$Y591), "", DataH!$W591/DataH!$Y591))</f>
        <v/>
      </c>
      <c r="E599" s="420" t="str">
        <f>IF(DataH!$Z591&lt;0, NA(), IF(ISERROR(DataH!$W591/DataH!$Z591), "", DataH!$W591/DataH!$Z591))</f>
        <v/>
      </c>
      <c r="G599" s="421" t="str">
        <f>IF(DataH!$AB591&lt;0, NA(), IF(ISERROR(DataH!$AA591/DataH!$AB591), "", DataH!$AA591/DataH!$AB591))</f>
        <v/>
      </c>
      <c r="H599" s="419" t="str">
        <f>IF(DataH!$AC591&lt;0, NA(), IF(ISERROR(DataH!$AA591/DataH!$AC591), "", DataH!$AA591/DataH!$AC591))</f>
        <v/>
      </c>
      <c r="I599" s="420" t="str">
        <f>IF(DataH!$AD591&lt;0, NA(), IF(ISERROR(DataH!$AA591/DataH!$AD591), "", DataH!$AA591/DataH!$AD591))</f>
        <v/>
      </c>
    </row>
    <row r="600" spans="2:9" ht="15" customHeight="1">
      <c r="B600" s="322" t="str">
        <f>IF(DataH!$V592="", "", DataH!$V592)</f>
        <v/>
      </c>
      <c r="C600" s="416" t="str">
        <f>IF(DataH!$X592&lt;0, NA(), IF(ISERROR(DataH!$W592/DataH!$X592), "", DataH!$W592/DataH!$X592))</f>
        <v/>
      </c>
      <c r="D600" s="416" t="str">
        <f>IF(DataH!$Y592&lt;0, NA(), IF(ISERROR(DataH!$W592/DataH!$Y592), "", DataH!$W592/DataH!$Y592))</f>
        <v/>
      </c>
      <c r="E600" s="417" t="str">
        <f>IF(DataH!$Z592&lt;0, NA(), IF(ISERROR(DataH!$W592/DataH!$Z592), "", DataH!$W592/DataH!$Z592))</f>
        <v/>
      </c>
      <c r="G600" s="418" t="str">
        <f>IF(DataH!$AB592&lt;0, NA(), IF(ISERROR(DataH!$AA592/DataH!$AB592), "", DataH!$AA592/DataH!$AB592))</f>
        <v/>
      </c>
      <c r="H600" s="416" t="str">
        <f>IF(DataH!$AC592&lt;0, NA(), IF(ISERROR(DataH!$AA592/DataH!$AC592), "", DataH!$AA592/DataH!$AC592))</f>
        <v/>
      </c>
      <c r="I600" s="417" t="str">
        <f>IF(DataH!$AD592&lt;0, NA(), IF(ISERROR(DataH!$AA592/DataH!$AD592), "", DataH!$AA592/DataH!$AD592))</f>
        <v/>
      </c>
    </row>
    <row r="601" spans="2:9" ht="15" customHeight="1">
      <c r="B601" s="318" t="str">
        <f>IF(DataH!$V593="", "", DataH!$V593)</f>
        <v/>
      </c>
      <c r="C601" s="419" t="str">
        <f>IF(DataH!$X593&lt;0, NA(), IF(ISERROR(DataH!$W593/DataH!$X593), "", DataH!$W593/DataH!$X593))</f>
        <v/>
      </c>
      <c r="D601" s="419" t="str">
        <f>IF(DataH!$Y593&lt;0, NA(), IF(ISERROR(DataH!$W593/DataH!$Y593), "", DataH!$W593/DataH!$Y593))</f>
        <v/>
      </c>
      <c r="E601" s="420" t="str">
        <f>IF(DataH!$Z593&lt;0, NA(), IF(ISERROR(DataH!$W593/DataH!$Z593), "", DataH!$W593/DataH!$Z593))</f>
        <v/>
      </c>
      <c r="G601" s="421" t="str">
        <f>IF(DataH!$AB593&lt;0, NA(), IF(ISERROR(DataH!$AA593/DataH!$AB593), "", DataH!$AA593/DataH!$AB593))</f>
        <v/>
      </c>
      <c r="H601" s="419" t="str">
        <f>IF(DataH!$AC593&lt;0, NA(), IF(ISERROR(DataH!$AA593/DataH!$AC593), "", DataH!$AA593/DataH!$AC593))</f>
        <v/>
      </c>
      <c r="I601" s="420" t="str">
        <f>IF(DataH!$AD593&lt;0, NA(), IF(ISERROR(DataH!$AA593/DataH!$AD593), "", DataH!$AA593/DataH!$AD593))</f>
        <v/>
      </c>
    </row>
    <row r="602" spans="2:9" ht="15" customHeight="1">
      <c r="B602" s="331" t="str">
        <f>IF(DataH!$V594="", "", DataH!$V594)</f>
        <v/>
      </c>
      <c r="C602" s="424" t="str">
        <f>IF(DataH!$X594&lt;0, NA(), IF(ISERROR(DataH!$W594/DataH!$X594), "", DataH!$W594/DataH!$X594))</f>
        <v/>
      </c>
      <c r="D602" s="424" t="str">
        <f>IF(DataH!$Y594&lt;0, NA(), IF(ISERROR(DataH!$W594/DataH!$Y594), "", DataH!$W594/DataH!$Y594))</f>
        <v/>
      </c>
      <c r="E602" s="423" t="str">
        <f>IF(DataH!$Z594&lt;0, NA(), IF(ISERROR(DataH!$W594/DataH!$Z594), "", DataH!$W594/DataH!$Z594))</f>
        <v/>
      </c>
      <c r="G602" s="425" t="str">
        <f>IF(DataH!$AB594&lt;0, NA(), IF(ISERROR(DataH!$AA594/DataH!$AB594), "", DataH!$AA594/DataH!$AB594))</f>
        <v/>
      </c>
      <c r="H602" s="424" t="str">
        <f>IF(DataH!$AC594&lt;0, NA(), IF(ISERROR(DataH!$AA594/DataH!$AC594), "", DataH!$AA594/DataH!$AC594))</f>
        <v/>
      </c>
      <c r="I602" s="423" t="str">
        <f>IF(DataH!$AD594&lt;0, NA(), IF(ISERROR(DataH!$AA594/DataH!$AD594), "", DataH!$AA594/DataH!$AD594))</f>
        <v/>
      </c>
    </row>
  </sheetData>
  <mergeCells count="37">
    <mergeCell ref="S12:T12"/>
    <mergeCell ref="S13:T13"/>
    <mergeCell ref="S14:T14"/>
    <mergeCell ref="P25:Q25"/>
    <mergeCell ref="S15:T15"/>
    <mergeCell ref="S16:T16"/>
    <mergeCell ref="S17:T17"/>
    <mergeCell ref="S21:T21"/>
    <mergeCell ref="S28:T28"/>
    <mergeCell ref="S29:T29"/>
    <mergeCell ref="S19:T19"/>
    <mergeCell ref="S18:T18"/>
    <mergeCell ref="S20:T20"/>
    <mergeCell ref="S27:U27"/>
    <mergeCell ref="S38:T38"/>
    <mergeCell ref="S30:T30"/>
    <mergeCell ref="S31:T31"/>
    <mergeCell ref="S32:T32"/>
    <mergeCell ref="S33:T33"/>
    <mergeCell ref="S34:T34"/>
    <mergeCell ref="S35:T35"/>
    <mergeCell ref="S36:T36"/>
    <mergeCell ref="S37:T37"/>
    <mergeCell ref="B8:E8"/>
    <mergeCell ref="G8:I8"/>
    <mergeCell ref="N8:O8"/>
    <mergeCell ref="P8:Q8"/>
    <mergeCell ref="S11:T11"/>
    <mergeCell ref="S10:U10"/>
    <mergeCell ref="N25:O25"/>
    <mergeCell ref="B9:B10"/>
    <mergeCell ref="C9:C10"/>
    <mergeCell ref="D9:D10"/>
    <mergeCell ref="E9:E10"/>
    <mergeCell ref="G9:G10"/>
    <mergeCell ref="H9:H10"/>
    <mergeCell ref="I9:I10"/>
  </mergeCells>
  <phoneticPr fontId="16" type="noConversion"/>
  <dataValidations count="2">
    <dataValidation type="list" allowBlank="1" showInputMessage="1" showErrorMessage="1" sqref="P8:Q8">
      <formula1>newValRatio1</formula1>
    </dataValidation>
    <dataValidation type="list" allowBlank="1" showInputMessage="1" showErrorMessage="1" sqref="P25:Q25">
      <formula1>newValRatio2</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3318" r:id="rId4" name="cmdButtonScaleCharts">
          <controlPr defaultSize="0" autoFill="0" autoLine="0" r:id="rId5">
            <anchor>
              <from>
                <xdr:col>10</xdr:col>
                <xdr:colOff>0</xdr:colOff>
                <xdr:row>7</xdr:row>
                <xdr:rowOff>0</xdr:rowOff>
              </from>
              <to>
                <xdr:col>11</xdr:col>
                <xdr:colOff>238125</xdr:colOff>
                <xdr:row>8</xdr:row>
                <xdr:rowOff>114300</xdr:rowOff>
              </to>
            </anchor>
          </controlPr>
        </control>
      </mc:Choice>
      <mc:Fallback>
        <control shapeId="13318" r:id="rId4" name="cmdButtonScaleCharts"/>
      </mc:Fallback>
    </mc:AlternateContent>
    <mc:AlternateContent xmlns:mc="http://schemas.openxmlformats.org/markup-compatibility/2006">
      <mc:Choice Requires="x14">
        <control shapeId="13319" r:id="rId6" name="cmdButtonAutoScale">
          <controlPr defaultSize="0" autoFill="0" autoLine="0" r:id="rId7">
            <anchor>
              <from>
                <xdr:col>11</xdr:col>
                <xdr:colOff>304800</xdr:colOff>
                <xdr:row>7</xdr:row>
                <xdr:rowOff>0</xdr:rowOff>
              </from>
              <to>
                <xdr:col>12</xdr:col>
                <xdr:colOff>542925</xdr:colOff>
                <xdr:row>8</xdr:row>
                <xdr:rowOff>114300</xdr:rowOff>
              </to>
            </anchor>
          </controlPr>
        </control>
      </mc:Choice>
      <mc:Fallback>
        <control shapeId="13319" r:id="rId6" name="cmdButtonAutoScale"/>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Ownership"/>
  <dimension ref="B1:V54"/>
  <sheetViews>
    <sheetView showGridLines="0" showRowColHeaders="0" zoomScaleNormal="100" workbookViewId="0">
      <pane ySplit="5" topLeftCell="A6" activePane="bottomLeft" state="frozen"/>
      <selection pane="bottomLeft" activeCell="B26" sqref="B26:D26"/>
    </sheetView>
  </sheetViews>
  <sheetFormatPr defaultRowHeight="15" customHeight="1"/>
  <cols>
    <col min="1" max="1" width="1.7109375" style="5" customWidth="1"/>
    <col min="2" max="10" width="9.140625" style="5" customWidth="1"/>
    <col min="11" max="11" width="9.7109375" style="5" customWidth="1"/>
    <col min="12" max="12" width="11.42578125" style="356" customWidth="1"/>
    <col min="13" max="14" width="9.140625" style="5" customWidth="1"/>
    <col min="15" max="15" width="9.140625" style="356" customWidth="1"/>
    <col min="16" max="16" width="1.7109375" style="356" customWidth="1"/>
    <col min="17" max="16384" width="9.140625" style="5"/>
  </cols>
  <sheetData>
    <row r="1" spans="2:17" ht="5.0999999999999996" customHeight="1"/>
    <row r="5" spans="2:17" ht="5.0999999999999996" customHeight="1"/>
    <row r="6" spans="2:17" ht="5.0999999999999996" customHeight="1">
      <c r="K6" s="356"/>
      <c r="L6" s="5"/>
      <c r="M6" s="356"/>
      <c r="N6" s="356"/>
      <c r="P6" s="5"/>
    </row>
    <row r="7" spans="2:17" ht="15" customHeight="1">
      <c r="B7" s="212" t="str">
        <f>compNAME</f>
        <v>APPLE INC</v>
      </c>
      <c r="C7" s="151"/>
      <c r="D7" s="151"/>
      <c r="E7" s="268"/>
      <c r="F7" s="268"/>
      <c r="G7" s="268"/>
      <c r="H7" s="268"/>
      <c r="K7" s="356"/>
      <c r="L7" s="5"/>
      <c r="M7" s="356"/>
      <c r="N7" s="356"/>
      <c r="P7" s="5"/>
    </row>
    <row r="8" spans="2:17" ht="15" customHeight="1">
      <c r="B8" s="772" t="str">
        <f>IF(Lang="English","Ownership Statistics",IF(Lang="中文","持有人統計","保有者統計"))</f>
        <v>Ownership Statistics</v>
      </c>
      <c r="C8" s="772"/>
      <c r="D8" s="772"/>
      <c r="E8" s="772"/>
      <c r="F8" s="426"/>
      <c r="G8" s="216"/>
      <c r="H8" s="216"/>
      <c r="I8" s="216"/>
      <c r="J8" s="216"/>
      <c r="K8" s="356"/>
      <c r="L8" s="427" t="str">
        <f>IF(Lang="English","Geographic Ownership Distribution",IF(Lang="中文","持有人地理分佈","保有者地域別配分"))</f>
        <v>Geographic Ownership Distribution</v>
      </c>
      <c r="M8" s="201"/>
      <c r="N8" s="201"/>
      <c r="O8" s="428"/>
      <c r="P8" s="5"/>
    </row>
    <row r="9" spans="2:17" ht="15" customHeight="1">
      <c r="B9" s="610" t="str">
        <f>IF(Lang="English","Shares Outstanding (M)",IF(Lang="中文","流通股數 (百萬)","発行済み株式数（百万）"))</f>
        <v>Shares Outstanding (M)</v>
      </c>
      <c r="C9" s="611"/>
      <c r="D9" s="612"/>
      <c r="E9" s="429">
        <f>_xll.BDP(TICKER&amp;" EQUITY","BS_SH_OUT")</f>
        <v>5866.1610000000001</v>
      </c>
      <c r="F9" s="430"/>
      <c r="G9" s="216"/>
      <c r="H9" s="216"/>
      <c r="I9" s="216"/>
      <c r="J9" s="216"/>
      <c r="K9" s="356"/>
      <c r="L9" s="610" t="str">
        <f>IF(getMyBBRow(DataH!$J$74)="", "Others", PROPER(DataH!$J74))</f>
        <v>United States</v>
      </c>
      <c r="M9" s="611"/>
      <c r="N9" s="612"/>
      <c r="O9" s="392">
        <f>IF($L9="Others", 1, DataH!$K74/100)</f>
        <v>0.83176000000000005</v>
      </c>
      <c r="P9" s="5"/>
    </row>
    <row r="10" spans="2:17" ht="15" customHeight="1">
      <c r="B10" s="613" t="str">
        <f>IF(Lang="English","Float",IF(Lang="中文","浮動","浮動"))</f>
        <v>Float</v>
      </c>
      <c r="C10" s="614"/>
      <c r="D10" s="615"/>
      <c r="E10" s="103">
        <f>IF(ISERROR(_xll.BDP(TICKER &amp;" EQUITY","EQY_FREE_FLOAT_PCT")/100), "", _xll.BDP(TICKER &amp;" EQUITY","EQY_FREE_FLOAT_PCT")/100)</f>
        <v>0.99945549999999994</v>
      </c>
      <c r="F10" s="431"/>
      <c r="G10" s="216"/>
      <c r="H10" s="216"/>
      <c r="I10" s="216"/>
      <c r="J10" s="216"/>
      <c r="K10" s="356"/>
      <c r="L10" s="613" t="str">
        <f>IF(getMyBBRow(DataH!$J$74)=1, "Others", PROPER(DataH!$J75))</f>
        <v>Britain</v>
      </c>
      <c r="M10" s="614"/>
      <c r="N10" s="615"/>
      <c r="O10" s="398">
        <f>IF($L10="Others", 1-O9, DataH!$K75/100)</f>
        <v>4.9450000000000001E-2</v>
      </c>
      <c r="P10" s="5"/>
    </row>
    <row r="11" spans="2:17" ht="15" customHeight="1">
      <c r="B11" s="616" t="str">
        <f>IF(Lang="English","Short Interest (M)",IF(Lang="中文","融券餘額 (百萬)","売り株残"))</f>
        <v>Short Interest (M)</v>
      </c>
      <c r="C11" s="617"/>
      <c r="D11" s="618"/>
      <c r="E11" s="140">
        <f>IF(ISERROR(_xll.BDP(TICKER&amp;" EQUITY","SHORT_INT")/1000000), "", _xll.BDP(TICKER&amp;" EQUITY","SHORT_INT")/1000000)</f>
        <v>60.250951999999998</v>
      </c>
      <c r="F11" s="430"/>
      <c r="G11" s="216"/>
      <c r="H11" s="216"/>
      <c r="I11" s="216"/>
      <c r="J11" s="216"/>
      <c r="K11" s="356"/>
      <c r="L11" s="616" t="str">
        <f>IF(getMyBBRow(DataH!$J$74)=2, "Others", PROPER(DataH!$J76))</f>
        <v>Canada</v>
      </c>
      <c r="M11" s="617"/>
      <c r="N11" s="618"/>
      <c r="O11" s="401">
        <f>IF($L11="Others", 1-O9-O10, DataH!$K76/100)</f>
        <v>2.3559999999999998E-2</v>
      </c>
      <c r="P11" s="5"/>
      <c r="Q11" s="432"/>
    </row>
    <row r="12" spans="2:17" ht="15" customHeight="1">
      <c r="B12" s="613" t="str">
        <f>IF(Lang="English","Short Interest as % of Float",IF(Lang="中文","融券餘額/流通在外股數 ","売り株残/浮動株式数"))</f>
        <v>Short Interest as % of Float</v>
      </c>
      <c r="C12" s="614"/>
      <c r="D12" s="615"/>
      <c r="E12" s="398">
        <f>IF(ISERROR(E11/(E9*E10)), "", E11/(E9*E10))</f>
        <v>1.0276529491146446E-2</v>
      </c>
      <c r="F12" s="433"/>
      <c r="G12" s="216"/>
      <c r="H12" s="216"/>
      <c r="I12" s="216"/>
      <c r="J12" s="216"/>
      <c r="K12" s="356"/>
      <c r="L12" s="613" t="str">
        <f>IF(getMyBBRow(DataH!$J$74)=3, "Others", PROPER(DataH!$J77))</f>
        <v>Japan</v>
      </c>
      <c r="M12" s="614"/>
      <c r="N12" s="615"/>
      <c r="O12" s="398">
        <f>IF($L12="Others", 1-O9-O10-O11, DataH!$K77/100)</f>
        <v>1.528E-2</v>
      </c>
      <c r="P12" s="5"/>
    </row>
    <row r="13" spans="2:17" ht="15" customHeight="1">
      <c r="B13" s="616" t="str">
        <f>IF(Lang="English","Days to Cover Shorts",IF(Lang="中文","回補天數","売り株残高比率"))</f>
        <v>Days to Cover Shorts</v>
      </c>
      <c r="C13" s="617"/>
      <c r="D13" s="618"/>
      <c r="E13" s="323">
        <f>IF(ISERROR(_xll.BDP(TICKER&amp;" EQUITY","SHORT_INT_RATIO")*1), "", _xll.BDP(TICKER&amp;" EQUITY","SHORT_INT_RATIO")*1)</f>
        <v>1.1674329999999999</v>
      </c>
      <c r="F13" s="434"/>
      <c r="G13" s="216"/>
      <c r="H13" s="216"/>
      <c r="I13" s="216"/>
      <c r="J13" s="216"/>
      <c r="K13" s="356"/>
      <c r="L13" s="616" t="str">
        <f>IF(getMyBBRow(DataH!$J$74)=4, "Others", PROPER(DataH!$J78))</f>
        <v>Switzerland</v>
      </c>
      <c r="M13" s="617"/>
      <c r="N13" s="618"/>
      <c r="O13" s="401">
        <f>IF($L13="Others", 1-O9-O10-O11-O12, DataH!$K78/100)</f>
        <v>1.417E-2</v>
      </c>
      <c r="P13" s="5"/>
    </row>
    <row r="14" spans="2:17" ht="15" customHeight="1">
      <c r="B14" s="613" t="str">
        <f>IF(Lang="English","Ownership (Institutional)",IF(Lang="中文","機構持股","機関投資家発行株数% "))</f>
        <v>Ownership (Institutional)</v>
      </c>
      <c r="C14" s="614"/>
      <c r="D14" s="615"/>
      <c r="E14" s="398">
        <f>IF(ISERROR(_xll.BDP(TICKER&amp;" EQUITY","EQY_INST_PCT_SH_OUT")/100), "", _xll.BDP(TICKER&amp;" EQUITY","EQY_INST_PCT_SH_OUT")/100)</f>
        <v>0.62904505887044682</v>
      </c>
      <c r="F14" s="433"/>
      <c r="G14" s="216"/>
      <c r="H14" s="216"/>
      <c r="I14" s="216"/>
      <c r="J14" s="216"/>
      <c r="K14" s="356"/>
      <c r="L14" s="613" t="str">
        <f>IF(getMyBBRow(DataH!$J$74)=5, "Others", PROPER(DataH!$J79))</f>
        <v>Germany</v>
      </c>
      <c r="M14" s="614"/>
      <c r="N14" s="615"/>
      <c r="O14" s="398">
        <f>IF($L14="Others", 1-O9-O10-O11-O12-O13, DataH!$K79/100)</f>
        <v>1.405E-2</v>
      </c>
      <c r="P14" s="5"/>
      <c r="Q14" s="432"/>
    </row>
    <row r="15" spans="2:17" ht="15" customHeight="1">
      <c r="B15" s="616" t="str">
        <f>IF(Lang="English","Ownership (Retail &amp; Other)",IF(Lang="中文","零售持股","保有者（小売り＆その他）"))</f>
        <v>Ownership (Retail &amp; Other)</v>
      </c>
      <c r="C15" s="617"/>
      <c r="D15" s="618"/>
      <c r="E15" s="401">
        <f>IF(ISERROR(1-E14-E16), "", 1-E14-E16)</f>
        <v>0.37041363822192414</v>
      </c>
      <c r="F15" s="433"/>
      <c r="G15" s="216"/>
      <c r="H15" s="216"/>
      <c r="I15" s="216"/>
      <c r="J15" s="216"/>
      <c r="K15" s="356"/>
      <c r="L15" s="616" t="str">
        <f>IF(getMyBBRow(DataH!$J$74)=6, "Others", PROPER(DataH!$J80))</f>
        <v>Norway</v>
      </c>
      <c r="M15" s="617"/>
      <c r="N15" s="618"/>
      <c r="O15" s="401">
        <f>IF($L15="Others", 1-O9-O10-O11-O12-O13-O14, DataH!$K80/100)</f>
        <v>1.3500000000000002E-2</v>
      </c>
      <c r="P15" s="5"/>
    </row>
    <row r="16" spans="2:17" ht="15" customHeight="1">
      <c r="B16" s="1002" t="str">
        <f>IF(Lang="English","Ownership (Insider)",IF(Lang="中文","內部人持股","発行済株式ｲﾝｻｲﾀﾞｰ保有率"))</f>
        <v>Ownership (Insider)</v>
      </c>
      <c r="C16" s="1003"/>
      <c r="D16" s="1004"/>
      <c r="E16" s="435">
        <f>IF(ISERROR(_xll.BDP(TICKER&amp;" equity","PCT_INSIDER_SHARES_OUT")/100), "", _xll.BDP(TICKER&amp;" equity","PCT_INSIDER_SHARES_OUT")/100)</f>
        <v>5.413029076290235E-4</v>
      </c>
      <c r="F16" s="433"/>
      <c r="G16" s="216"/>
      <c r="H16" s="216"/>
      <c r="I16" s="216"/>
      <c r="J16" s="216"/>
      <c r="K16" s="356"/>
      <c r="L16" s="1002" t="str">
        <f>IF(getMyBBRow(DataH!$J$74)&gt;6, "Others", "")</f>
        <v>Others</v>
      </c>
      <c r="M16" s="1003"/>
      <c r="N16" s="1004"/>
      <c r="O16" s="435">
        <f>IF($L16="Others", 1-O9-O10-O11-O12-O13-O14-O15, "")</f>
        <v>3.8229999999999945E-2</v>
      </c>
      <c r="P16" s="5"/>
    </row>
    <row r="17" spans="2:22" ht="15" customHeight="1">
      <c r="C17" s="216"/>
      <c r="D17" s="216"/>
      <c r="E17" s="216"/>
      <c r="F17" s="216"/>
      <c r="G17" s="216"/>
      <c r="H17" s="216"/>
      <c r="I17" s="216"/>
      <c r="J17" s="216"/>
      <c r="K17" s="356"/>
      <c r="L17" s="216"/>
      <c r="M17" s="436"/>
      <c r="N17" s="436"/>
      <c r="O17" s="436"/>
      <c r="P17" s="5"/>
    </row>
    <row r="18" spans="2:22" ht="15" customHeight="1">
      <c r="C18" s="216"/>
      <c r="D18" s="216"/>
      <c r="E18" s="216"/>
      <c r="F18" s="216"/>
      <c r="G18" s="216"/>
      <c r="H18" s="216"/>
      <c r="I18" s="216"/>
      <c r="J18" s="216"/>
      <c r="K18" s="356"/>
      <c r="L18" s="427" t="str">
        <f>IF(Lang="English","Institutional Ownership Distribution",IF(Lang="中文","機構持股分佈","保有業種別配分"))</f>
        <v>Institutional Ownership Distribution</v>
      </c>
      <c r="M18" s="201"/>
      <c r="N18" s="201"/>
      <c r="O18" s="201"/>
      <c r="P18" s="437"/>
    </row>
    <row r="19" spans="2:22" ht="15" customHeight="1">
      <c r="C19" s="216"/>
      <c r="D19" s="216"/>
      <c r="E19" s="216"/>
      <c r="F19" s="216"/>
      <c r="G19" s="216"/>
      <c r="H19" s="216"/>
      <c r="I19" s="216"/>
      <c r="J19" s="216"/>
      <c r="K19" s="356"/>
      <c r="L19" s="610" t="str">
        <f>IF(getMyBBRow(DataH!$M$74)="", "Others", PROPER(DataH!$M74))</f>
        <v>Investment Advisor</v>
      </c>
      <c r="M19" s="611"/>
      <c r="N19" s="612"/>
      <c r="O19" s="392">
        <f>IF($L19="Others", 1, DataH!$N74/100)</f>
        <v>0.85472999999999999</v>
      </c>
      <c r="P19" s="5"/>
    </row>
    <row r="20" spans="2:22" ht="15" customHeight="1">
      <c r="C20" s="216"/>
      <c r="D20" s="216"/>
      <c r="E20" s="216"/>
      <c r="F20" s="216"/>
      <c r="G20" s="216"/>
      <c r="H20" s="216"/>
      <c r="I20" s="216"/>
      <c r="J20" s="216"/>
      <c r="K20" s="356"/>
      <c r="L20" s="613" t="str">
        <f>IF(getMyBBRow(DataH!$M$74)=1, "Others", PROPER(DataH!$M75))</f>
        <v>Pension Fund (Erisa)</v>
      </c>
      <c r="M20" s="614"/>
      <c r="N20" s="615"/>
      <c r="O20" s="398">
        <f>IF($L20="Others", 1-O19, DataH!$N75/100)</f>
        <v>3.5859999999999996E-2</v>
      </c>
      <c r="P20" s="5"/>
    </row>
    <row r="21" spans="2:22" ht="15" customHeight="1">
      <c r="C21" s="53"/>
      <c r="D21" s="53"/>
      <c r="E21" s="216"/>
      <c r="F21" s="216"/>
      <c r="G21" s="216"/>
      <c r="H21" s="216"/>
      <c r="I21" s="216"/>
      <c r="J21" s="216"/>
      <c r="K21" s="356"/>
      <c r="L21" s="616" t="str">
        <f>IF(getMyBBRow(DataH!$M$74)=2, "Others", PROPER(DataH!$M76))</f>
        <v>Hedge Fund Manager</v>
      </c>
      <c r="M21" s="617"/>
      <c r="N21" s="618"/>
      <c r="O21" s="401">
        <f>IF($L21="Others", 1-O19-O20, DataH!$N76/100)</f>
        <v>3.5639999999999998E-2</v>
      </c>
      <c r="P21" s="5"/>
    </row>
    <row r="22" spans="2:22" ht="15" customHeight="1">
      <c r="C22" s="14"/>
      <c r="D22" s="14"/>
      <c r="E22" s="216"/>
      <c r="F22" s="216"/>
      <c r="G22" s="216"/>
      <c r="H22" s="216"/>
      <c r="I22" s="216"/>
      <c r="J22" s="216"/>
      <c r="K22" s="356"/>
      <c r="L22" s="613" t="str">
        <f>IF(getMyBBRow(DataH!$M$74)=3, "Others", PROPER(DataH!$M77))</f>
        <v>Bank</v>
      </c>
      <c r="M22" s="614"/>
      <c r="N22" s="615"/>
      <c r="O22" s="398">
        <f>IF($L22="Others", 1-O19-O20-O21, DataH!$N77/100)</f>
        <v>2.1129999999999999E-2</v>
      </c>
      <c r="P22" s="5"/>
    </row>
    <row r="23" spans="2:22" ht="15" customHeight="1">
      <c r="B23" s="513" t="str">
        <f>" * "&amp;IF(Lang="English","Pricing data is in USD",IF(Lang="中文","價格數據 USD","表示通貨: USD"))</f>
        <v xml:space="preserve"> * Pricing data is in USD</v>
      </c>
      <c r="D23" s="14"/>
      <c r="E23" s="216"/>
      <c r="F23" s="216"/>
      <c r="G23" s="216"/>
      <c r="H23" s="216"/>
      <c r="I23" s="216"/>
      <c r="J23" s="216"/>
      <c r="K23" s="356"/>
      <c r="L23" s="739" t="str">
        <f>IF(getMyBBRow(DataH!$M$74)&gt;3, "Others", "")</f>
        <v>Others</v>
      </c>
      <c r="M23" s="740"/>
      <c r="N23" s="741"/>
      <c r="O23" s="438">
        <f>IF($L23="Others", 1-O19-O20-O21-O22, "")</f>
        <v>5.2640000000000006E-2</v>
      </c>
      <c r="P23" s="5"/>
    </row>
    <row r="24" spans="2:22" ht="15" customHeight="1">
      <c r="B24" s="817" t="str">
        <f>IF(Lang="English","Top 20 Owners:",IF(Lang="中文","前20持有人:","上位20ホルダー"))</f>
        <v>Top 20 Owners:</v>
      </c>
      <c r="C24" s="818"/>
      <c r="D24" s="1005"/>
      <c r="E24" s="991" t="s">
        <v>590</v>
      </c>
      <c r="F24" s="1013"/>
      <c r="G24" s="992"/>
      <c r="H24" s="439"/>
      <c r="I24" s="216"/>
      <c r="J24" s="216"/>
      <c r="K24" s="356"/>
      <c r="L24" s="216"/>
      <c r="M24" s="436"/>
      <c r="N24" s="436"/>
      <c r="O24" s="440"/>
      <c r="P24" s="5"/>
    </row>
    <row r="25" spans="2:22" ht="15" customHeight="1">
      <c r="B25" s="1006" t="str">
        <f>IF(Lang="English","Holder Name",IF(Lang="中文","持有人名稱","ホルダー名"))</f>
        <v>Holder Name</v>
      </c>
      <c r="C25" s="1007"/>
      <c r="D25" s="1008"/>
      <c r="E25" s="993" t="str">
        <f>IF(Lang="English","Position",IF(Lang="中文","部位","保有数"))</f>
        <v>Position</v>
      </c>
      <c r="F25" s="994"/>
      <c r="G25" s="993" t="str">
        <f>IF(Lang="English","Position Change",IF(Lang="中文","部位變動","保有増減"))</f>
        <v>Position Change</v>
      </c>
      <c r="H25" s="1012"/>
      <c r="I25" s="1017" t="str">
        <f>IF(Lang="English","Market Value",IF(Lang="中文","市值","時価総額"))</f>
        <v>Market Value</v>
      </c>
      <c r="J25" s="1012"/>
      <c r="K25" s="441" t="str">
        <f>IF(Lang="English","Ownership",IF(Lang="中文","持股%","保有率"))</f>
        <v>Ownership</v>
      </c>
      <c r="L25" s="442" t="str">
        <f>IF(Lang="English","Report Date",IF(Lang="中文","報告日期","報告日"))</f>
        <v>Report Date</v>
      </c>
      <c r="M25" s="441" t="str">
        <f>IF(Lang="English","Source",IF(Lang="中文","來源","情報元"))</f>
        <v>Source</v>
      </c>
      <c r="N25" s="1014" t="str">
        <f>IF(Lang="English","Country",IF(Lang="中文","國家","国"))</f>
        <v>Country</v>
      </c>
      <c r="O25" s="1015"/>
      <c r="P25" s="216"/>
      <c r="Q25" s="216"/>
      <c r="R25" s="216"/>
      <c r="S25" s="216"/>
      <c r="T25" s="216"/>
      <c r="U25" s="216"/>
      <c r="V25" s="216"/>
    </row>
    <row r="26" spans="2:22" ht="15" customHeight="1">
      <c r="B26" s="1009" t="str">
        <f>IF(OR(LEFT(DataH!A56, 1)="#", DataH!A56=""), "", DataH!A56)</f>
        <v>VANGUARD GROUP INC</v>
      </c>
      <c r="C26" s="1010"/>
      <c r="D26" s="1011"/>
      <c r="E26" s="995">
        <f>IF(OR(LEFT(DataH!B56, 1)="#", DataH!B56=""), "", DataH!B56)</f>
        <v>326966007</v>
      </c>
      <c r="F26" s="996"/>
      <c r="G26" s="995">
        <f>IF(OR(LEFT(DataH!C56, 1)="#", DataH!C56=""), "", DataH!C56)</f>
        <v>-5273556</v>
      </c>
      <c r="H26" s="996"/>
      <c r="I26" s="995">
        <f>IF(OR(LEFT(DataH!D56, 1)="#", DataH!D56=""), "", DataH!D56)</f>
        <v>33716734641.84</v>
      </c>
      <c r="J26" s="996"/>
      <c r="K26" s="443">
        <f>IF(OR(LEFT(DataH!E56, 1)="#", DataH!E56=""), "", DataH!E56/100)</f>
        <v>5.7300000000000004E-2</v>
      </c>
      <c r="L26" s="444">
        <f>IF(OR(LEFT(DataH!F56, 1)="#", DataH!F56=""), "", DataH!F56)</f>
        <v>42094</v>
      </c>
      <c r="M26" s="445" t="str">
        <f>IF(OR(LEFT(DataH!G56, 1)="#", DataH!G56=""), "", DataH!G56)</f>
        <v>13F</v>
      </c>
      <c r="N26" s="1020" t="str">
        <f>IF(OR(LEFT(DataH!H56, 1)="#", DataH!H56=""), "", DataH!H56)</f>
        <v>UNITED STATES</v>
      </c>
      <c r="O26" s="1021"/>
      <c r="P26" s="216"/>
      <c r="Q26" s="216"/>
      <c r="R26" s="216"/>
      <c r="S26" s="216"/>
      <c r="T26" s="216"/>
      <c r="U26" s="216"/>
      <c r="V26" s="216"/>
    </row>
    <row r="27" spans="2:22" ht="15" customHeight="1">
      <c r="B27" s="616" t="str">
        <f>IF(OR(LEFT(DataH!A57, 1)="#", DataH!A57=""), "", DataH!A57)</f>
        <v>BLACKROCK</v>
      </c>
      <c r="C27" s="617"/>
      <c r="D27" s="618"/>
      <c r="E27" s="791">
        <f>IF(OR(LEFT(DataH!B57, 1)="#", DataH!B57=""), "", DataH!B57)</f>
        <v>318859739</v>
      </c>
      <c r="F27" s="792"/>
      <c r="G27" s="791">
        <f>IF(OR(LEFT(DataH!C57, 1)="#", DataH!C57=""), "", DataH!C57)</f>
        <v>-7580302</v>
      </c>
      <c r="H27" s="792"/>
      <c r="I27" s="791">
        <f>IF(OR(LEFT(DataH!D57, 1)="#", DataH!D57=""), "", DataH!D57)</f>
        <v>32880816285.68</v>
      </c>
      <c r="J27" s="792"/>
      <c r="K27" s="400">
        <f>IF(OR(LEFT(DataH!E57, 1)="#", DataH!E57=""), "", DataH!E57/100)</f>
        <v>5.5899999999999998E-2</v>
      </c>
      <c r="L27" s="446">
        <f>IF(OR(LEFT(DataH!F57, 1)="#", DataH!F57=""), "", DataH!F57)</f>
        <v>42185</v>
      </c>
      <c r="M27" s="126" t="str">
        <f>IF(OR(LEFT(DataH!G57, 1)="#", DataH!G57=""), "", DataH!G57)</f>
        <v>ULT-AGG</v>
      </c>
      <c r="N27" s="763" t="str">
        <f>IF(OR(LEFT(DataH!H57, 1)="#", DataH!H57=""), "", DataH!H57)</f>
        <v>UNITED STATES</v>
      </c>
      <c r="O27" s="1016"/>
      <c r="P27" s="216"/>
      <c r="Q27" s="216"/>
      <c r="R27" s="216"/>
      <c r="S27" s="216"/>
      <c r="T27" s="216"/>
      <c r="U27" s="216"/>
      <c r="V27" s="216"/>
    </row>
    <row r="28" spans="2:22" ht="15" customHeight="1">
      <c r="B28" s="613" t="str">
        <f>IF(OR(LEFT(DataH!A58, 1)="#", DataH!A58=""), "", DataH!A58)</f>
        <v>STATE STREET CORP</v>
      </c>
      <c r="C28" s="614"/>
      <c r="D28" s="615"/>
      <c r="E28" s="794">
        <f>IF(OR(LEFT(DataH!B58, 1)="#", DataH!B58=""), "", DataH!B58)</f>
        <v>237028656</v>
      </c>
      <c r="F28" s="795"/>
      <c r="G28" s="794">
        <f>IF(OR(LEFT(DataH!C58, 1)="#", DataH!C58=""), "", DataH!C58)</f>
        <v>-8651973</v>
      </c>
      <c r="H28" s="795"/>
      <c r="I28" s="794">
        <f>IF(OR(LEFT(DataH!D58, 1)="#", DataH!D58=""), "", DataH!D58)</f>
        <v>24442395006.720001</v>
      </c>
      <c r="J28" s="795"/>
      <c r="K28" s="397">
        <f>IF(OR(LEFT(DataH!E58, 1)="#", DataH!E58=""), "", DataH!E58/100)</f>
        <v>4.1599999999999998E-2</v>
      </c>
      <c r="L28" s="447">
        <f>IF(OR(LEFT(DataH!F58, 1)="#", DataH!F58=""), "", DataH!F58)</f>
        <v>42226</v>
      </c>
      <c r="M28" s="129" t="str">
        <f>IF(OR(LEFT(DataH!G58, 1)="#", DataH!G58=""), "", DataH!G58)</f>
        <v>ULT-AGG</v>
      </c>
      <c r="N28" s="766" t="str">
        <f>IF(OR(LEFT(DataH!H58, 1)="#", DataH!H58=""), "", DataH!H58)</f>
        <v>UNITED STATES</v>
      </c>
      <c r="O28" s="1019"/>
      <c r="P28" s="216"/>
      <c r="Q28" s="216"/>
      <c r="R28" s="216"/>
      <c r="S28" s="216"/>
      <c r="T28" s="216"/>
      <c r="U28" s="216"/>
      <c r="V28" s="216"/>
    </row>
    <row r="29" spans="2:22" ht="15" customHeight="1">
      <c r="B29" s="616" t="str">
        <f>IF(OR(LEFT(DataH!A59, 1)="#", DataH!A59=""), "", DataH!A59)</f>
        <v>FMR LLC</v>
      </c>
      <c r="C29" s="617"/>
      <c r="D29" s="618"/>
      <c r="E29" s="791">
        <f>IF(OR(LEFT(DataH!B59, 1)="#", DataH!B59=""), "", DataH!B59)</f>
        <v>176998331</v>
      </c>
      <c r="F29" s="792"/>
      <c r="G29" s="791">
        <f>IF(OR(LEFT(DataH!C59, 1)="#", DataH!C59=""), "", DataH!C59)</f>
        <v>-1963426</v>
      </c>
      <c r="H29" s="792"/>
      <c r="I29" s="791">
        <f>IF(OR(LEFT(DataH!D59, 1)="#", DataH!D59=""), "", DataH!D59)</f>
        <v>18252067892.720001</v>
      </c>
      <c r="J29" s="792"/>
      <c r="K29" s="400">
        <f>IF(OR(LEFT(DataH!E59, 1)="#", DataH!E59=""), "", DataH!E59/100)</f>
        <v>3.1E-2</v>
      </c>
      <c r="L29" s="446">
        <f>IF(OR(LEFT(DataH!F59, 1)="#", DataH!F59=""), "", DataH!F59)</f>
        <v>42094</v>
      </c>
      <c r="M29" s="126" t="str">
        <f>IF(OR(LEFT(DataH!G59, 1)="#", DataH!G59=""), "", DataH!G59)</f>
        <v>ULT-AGG</v>
      </c>
      <c r="N29" s="763" t="str">
        <f>IF(OR(LEFT(DataH!H59, 1)="#", DataH!H59=""), "", DataH!H59)</f>
        <v>UNITED STATES</v>
      </c>
      <c r="O29" s="1016"/>
      <c r="P29" s="216"/>
      <c r="Q29" s="216"/>
      <c r="R29" s="216"/>
      <c r="S29" s="216"/>
      <c r="T29" s="216"/>
      <c r="U29" s="216"/>
      <c r="V29" s="216"/>
    </row>
    <row r="30" spans="2:22" ht="15" customHeight="1">
      <c r="B30" s="613" t="str">
        <f>IF(OR(LEFT(DataH!A60, 1)="#", DataH!A60=""), "", DataH!A60)</f>
        <v>NORTHERN TRUST CORPO</v>
      </c>
      <c r="C30" s="614"/>
      <c r="D30" s="615"/>
      <c r="E30" s="794">
        <f>IF(OR(LEFT(DataH!B60, 1)="#", DataH!B60=""), "", DataH!B60)</f>
        <v>79920174</v>
      </c>
      <c r="F30" s="795"/>
      <c r="G30" s="794">
        <f>IF(OR(LEFT(DataH!C60, 1)="#", DataH!C60=""), "", DataH!C60)</f>
        <v>-2321235</v>
      </c>
      <c r="H30" s="795"/>
      <c r="I30" s="794">
        <f>IF(OR(LEFT(DataH!D60, 1)="#", DataH!D60=""), "", DataH!D60)</f>
        <v>8241368342.8800001</v>
      </c>
      <c r="J30" s="795"/>
      <c r="K30" s="397">
        <f>IF(OR(LEFT(DataH!E60, 1)="#", DataH!E60=""), "", DataH!E60/100)</f>
        <v>1.3999999999999999E-2</v>
      </c>
      <c r="L30" s="447">
        <f>IF(OR(LEFT(DataH!F60, 1)="#", DataH!F60=""), "", DataH!F60)</f>
        <v>42094</v>
      </c>
      <c r="M30" s="129" t="str">
        <f>IF(OR(LEFT(DataH!G60, 1)="#", DataH!G60=""), "", DataH!G60)</f>
        <v>13F</v>
      </c>
      <c r="N30" s="766" t="str">
        <f>IF(OR(LEFT(DataH!H60, 1)="#", DataH!H60=""), "", DataH!H60)</f>
        <v>UNITED STATES</v>
      </c>
      <c r="O30" s="1019"/>
      <c r="P30" s="216"/>
      <c r="Q30" s="216"/>
      <c r="R30" s="216"/>
      <c r="S30" s="216"/>
      <c r="T30" s="216"/>
      <c r="U30" s="216"/>
      <c r="V30" s="216"/>
    </row>
    <row r="31" spans="2:22" ht="15" customHeight="1">
      <c r="B31" s="616" t="str">
        <f>IF(OR(LEFT(DataH!A61, 1)="#", DataH!A61=""), "", DataH!A61)</f>
        <v>BANK OF NEW YORK MEL</v>
      </c>
      <c r="C31" s="617"/>
      <c r="D31" s="618"/>
      <c r="E31" s="791">
        <f>IF(OR(LEFT(DataH!B61, 1)="#", DataH!B61=""), "", DataH!B61)</f>
        <v>76752387</v>
      </c>
      <c r="F31" s="792"/>
      <c r="G31" s="791">
        <f>IF(OR(LEFT(DataH!C61, 1)="#", DataH!C61=""), "", DataH!C61)</f>
        <v>-5281340</v>
      </c>
      <c r="H31" s="792"/>
      <c r="I31" s="791">
        <f>IF(OR(LEFT(DataH!D61, 1)="#", DataH!D61=""), "", DataH!D61)</f>
        <v>7914706147.4400005</v>
      </c>
      <c r="J31" s="792"/>
      <c r="K31" s="400">
        <f>IF(OR(LEFT(DataH!E61, 1)="#", DataH!E61=""), "", DataH!E61/100)</f>
        <v>1.3500000000000002E-2</v>
      </c>
      <c r="L31" s="446">
        <f>IF(OR(LEFT(DataH!F61, 1)="#", DataH!F61=""), "", DataH!F61)</f>
        <v>42185</v>
      </c>
      <c r="M31" s="126" t="str">
        <f>IF(OR(LEFT(DataH!G61, 1)="#", DataH!G61=""), "", DataH!G61)</f>
        <v>13F</v>
      </c>
      <c r="N31" s="763" t="str">
        <f>IF(OR(LEFT(DataH!H61, 1)="#", DataH!H61=""), "", DataH!H61)</f>
        <v>UNITED STATES</v>
      </c>
      <c r="O31" s="1016"/>
      <c r="P31" s="216"/>
      <c r="Q31" s="216"/>
      <c r="R31" s="216"/>
      <c r="S31" s="216"/>
      <c r="T31" s="216"/>
      <c r="U31" s="216"/>
      <c r="V31" s="216"/>
    </row>
    <row r="32" spans="2:22" ht="15" customHeight="1">
      <c r="B32" s="613" t="str">
        <f>IF(OR(LEFT(DataH!A62, 1)="#", DataH!A62=""), "", DataH!A62)</f>
        <v>JPMORGAN CHASE &amp; CO</v>
      </c>
      <c r="C32" s="614"/>
      <c r="D32" s="615"/>
      <c r="E32" s="794">
        <f>IF(OR(LEFT(DataH!B62, 1)="#", DataH!B62=""), "", DataH!B62)</f>
        <v>69957365</v>
      </c>
      <c r="F32" s="795"/>
      <c r="G32" s="794">
        <f>IF(OR(LEFT(DataH!C62, 1)="#", DataH!C62=""), "", DataH!C62)</f>
        <v>3587989</v>
      </c>
      <c r="H32" s="795"/>
      <c r="I32" s="794">
        <f>IF(OR(LEFT(DataH!D62, 1)="#", DataH!D62=""), "", DataH!D62)</f>
        <v>7214003478.8000002</v>
      </c>
      <c r="J32" s="795"/>
      <c r="K32" s="397">
        <f>IF(OR(LEFT(DataH!E62, 1)="#", DataH!E62=""), "", DataH!E62/100)</f>
        <v>1.23E-2</v>
      </c>
      <c r="L32" s="447">
        <f>IF(OR(LEFT(DataH!F62, 1)="#", DataH!F62=""), "", DataH!F62)</f>
        <v>42185</v>
      </c>
      <c r="M32" s="129" t="str">
        <f>IF(OR(LEFT(DataH!G62, 1)="#", DataH!G62=""), "", DataH!G62)</f>
        <v>ULT-AGG</v>
      </c>
      <c r="N32" s="766" t="str">
        <f>IF(OR(LEFT(DataH!H62, 1)="#", DataH!H62=""), "", DataH!H62)</f>
        <v>UNITED STATES</v>
      </c>
      <c r="O32" s="1019"/>
      <c r="P32" s="216"/>
      <c r="Q32" s="216"/>
      <c r="R32" s="216"/>
      <c r="S32" s="216"/>
      <c r="T32" s="216"/>
      <c r="U32" s="216"/>
      <c r="V32" s="216"/>
    </row>
    <row r="33" spans="2:22" ht="15" customHeight="1">
      <c r="B33" s="616" t="str">
        <f>IF(OR(LEFT(DataH!A63, 1)="#", DataH!A63=""), "", DataH!A63)</f>
        <v>INVESCO LTD</v>
      </c>
      <c r="C33" s="617"/>
      <c r="D33" s="618"/>
      <c r="E33" s="791">
        <f>IF(OR(LEFT(DataH!B63, 1)="#", DataH!B63=""), "", DataH!B63)</f>
        <v>61614041</v>
      </c>
      <c r="F33" s="792"/>
      <c r="G33" s="791">
        <f>IF(OR(LEFT(DataH!C63, 1)="#", DataH!C63=""), "", DataH!C63)</f>
        <v>-1342516</v>
      </c>
      <c r="H33" s="792"/>
      <c r="I33" s="791">
        <f>IF(OR(LEFT(DataH!D63, 1)="#", DataH!D63=""), "", DataH!D63)</f>
        <v>6353639907.9200001</v>
      </c>
      <c r="J33" s="792"/>
      <c r="K33" s="400">
        <f>IF(OR(LEFT(DataH!E63, 1)="#", DataH!E63=""), "", DataH!E63/100)</f>
        <v>1.0800000000000001E-2</v>
      </c>
      <c r="L33" s="446">
        <f>IF(OR(LEFT(DataH!F63, 1)="#", DataH!F63=""), "", DataH!F63)</f>
        <v>42094</v>
      </c>
      <c r="M33" s="126" t="str">
        <f>IF(OR(LEFT(DataH!G63, 1)="#", DataH!G63=""), "", DataH!G63)</f>
        <v>ULT-AGG</v>
      </c>
      <c r="N33" s="763" t="str">
        <f>IF(OR(LEFT(DataH!H63, 1)="#", DataH!H63=""), "", DataH!H63)</f>
        <v>UNITED STATES</v>
      </c>
      <c r="O33" s="1016"/>
      <c r="P33" s="216"/>
      <c r="Q33" s="216"/>
      <c r="R33" s="216"/>
      <c r="S33" s="216"/>
      <c r="T33" s="216"/>
      <c r="U33" s="216"/>
      <c r="V33" s="216"/>
    </row>
    <row r="34" spans="2:22" ht="15" customHeight="1">
      <c r="B34" s="613" t="str">
        <f>IF(OR(LEFT(DataH!A64, 1)="#", DataH!A64=""), "", DataH!A64)</f>
        <v>WELLINGTON MANAGEMEN</v>
      </c>
      <c r="C34" s="614"/>
      <c r="D34" s="615"/>
      <c r="E34" s="794">
        <f>IF(OR(LEFT(DataH!B64, 1)="#", DataH!B64=""), "", DataH!B64)</f>
        <v>58987710</v>
      </c>
      <c r="F34" s="795"/>
      <c r="G34" s="794">
        <f>IF(OR(LEFT(DataH!C64, 1)="#", DataH!C64=""), "", DataH!C64)</f>
        <v>-2764913</v>
      </c>
      <c r="H34" s="795"/>
      <c r="I34" s="794">
        <f>IF(OR(LEFT(DataH!D64, 1)="#", DataH!D64=""), "", DataH!D64)</f>
        <v>6082812655.1999998</v>
      </c>
      <c r="J34" s="795"/>
      <c r="K34" s="397">
        <f>IF(OR(LEFT(DataH!E64, 1)="#", DataH!E64=""), "", DataH!E64/100)</f>
        <v>1.03E-2</v>
      </c>
      <c r="L34" s="447">
        <f>IF(OR(LEFT(DataH!F64, 1)="#", DataH!F64=""), "", DataH!F64)</f>
        <v>42094</v>
      </c>
      <c r="M34" s="129" t="str">
        <f>IF(OR(LEFT(DataH!G64, 1)="#", DataH!G64=""), "", DataH!G64)</f>
        <v>13F</v>
      </c>
      <c r="N34" s="766" t="str">
        <f>IF(OR(LEFT(DataH!H64, 1)="#", DataH!H64=""), "", DataH!H64)</f>
        <v>UNITED STATES</v>
      </c>
      <c r="O34" s="1019"/>
      <c r="P34" s="216"/>
      <c r="Q34" s="216"/>
      <c r="R34" s="216"/>
      <c r="S34" s="216"/>
      <c r="T34" s="216"/>
      <c r="U34" s="216"/>
      <c r="V34" s="216"/>
    </row>
    <row r="35" spans="2:22" ht="15" customHeight="1">
      <c r="B35" s="616" t="str">
        <f>IF(OR(LEFT(DataH!A65, 1)="#", DataH!A65=""), "", DataH!A65)</f>
        <v>UBS</v>
      </c>
      <c r="C35" s="617"/>
      <c r="D35" s="618"/>
      <c r="E35" s="791">
        <f>IF(OR(LEFT(DataH!B65, 1)="#", DataH!B65=""), "", DataH!B65)</f>
        <v>56467693</v>
      </c>
      <c r="F35" s="792"/>
      <c r="G35" s="791">
        <f>IF(OR(LEFT(DataH!C65, 1)="#", DataH!C65=""), "", DataH!C65)</f>
        <v>-1919755</v>
      </c>
      <c r="H35" s="792"/>
      <c r="I35" s="791">
        <f>IF(OR(LEFT(DataH!D65, 1)="#", DataH!D65=""), "", DataH!D65)</f>
        <v>5822948502.1599998</v>
      </c>
      <c r="J35" s="792"/>
      <c r="K35" s="400">
        <f>IF(OR(LEFT(DataH!E65, 1)="#", DataH!E65=""), "", DataH!E65/100)</f>
        <v>9.8999999999999991E-3</v>
      </c>
      <c r="L35" s="446">
        <f>IF(OR(LEFT(DataH!F65, 1)="#", DataH!F65=""), "", DataH!F65)</f>
        <v>42223</v>
      </c>
      <c r="M35" s="126" t="str">
        <f>IF(OR(LEFT(DataH!G65, 1)="#", DataH!G65=""), "", DataH!G65)</f>
        <v>ULT-AGG</v>
      </c>
      <c r="N35" s="763" t="str">
        <f>IF(OR(LEFT(DataH!H65, 1)="#", DataH!H65=""), "", DataH!H65)</f>
        <v>SWITZERLAND</v>
      </c>
      <c r="O35" s="1016"/>
      <c r="P35" s="216"/>
      <c r="Q35" s="216"/>
      <c r="R35" s="216"/>
      <c r="S35" s="216"/>
      <c r="T35" s="216"/>
      <c r="U35" s="216"/>
      <c r="V35" s="216"/>
    </row>
    <row r="36" spans="2:22" ht="15" customHeight="1">
      <c r="B36" s="613" t="str">
        <f>IF(OR(LEFT(DataH!A66, 1)="#", DataH!A66=""), "", DataH!A66)</f>
        <v>ICAHN ASSOCIATES HOL</v>
      </c>
      <c r="C36" s="614"/>
      <c r="D36" s="615"/>
      <c r="E36" s="794">
        <f>IF(OR(LEFT(DataH!B66, 1)="#", DataH!B66=""), "", DataH!B66)</f>
        <v>52760848</v>
      </c>
      <c r="F36" s="795"/>
      <c r="G36" s="794">
        <f>IF(OR(LEFT(DataH!C66, 1)="#", DataH!C66=""), "", DataH!C66)</f>
        <v>0</v>
      </c>
      <c r="H36" s="795"/>
      <c r="I36" s="794">
        <f>IF(OR(LEFT(DataH!D66, 1)="#", DataH!D66=""), "", DataH!D66)</f>
        <v>5440698645.7600002</v>
      </c>
      <c r="J36" s="795"/>
      <c r="K36" s="397">
        <f>IF(OR(LEFT(DataH!E66, 1)="#", DataH!E66=""), "", DataH!E66/100)</f>
        <v>9.300000000000001E-3</v>
      </c>
      <c r="L36" s="447">
        <f>IF(OR(LEFT(DataH!F66, 1)="#", DataH!F66=""), "", DataH!F66)</f>
        <v>42094</v>
      </c>
      <c r="M36" s="129" t="str">
        <f>IF(OR(LEFT(DataH!G66, 1)="#", DataH!G66=""), "", DataH!G66)</f>
        <v>13F</v>
      </c>
      <c r="N36" s="766" t="str">
        <f>IF(OR(LEFT(DataH!H66, 1)="#", DataH!H66=""), "", DataH!H66)</f>
        <v>UNITED STATES</v>
      </c>
      <c r="O36" s="1019"/>
      <c r="P36" s="216"/>
      <c r="Q36" s="216"/>
      <c r="R36" s="216"/>
      <c r="S36" s="216"/>
      <c r="T36" s="216"/>
      <c r="U36" s="216"/>
      <c r="V36" s="216"/>
    </row>
    <row r="37" spans="2:22" ht="15" customHeight="1">
      <c r="B37" s="616" t="str">
        <f>IF(OR(LEFT(DataH!A67, 1)="#", DataH!A67=""), "", DataH!A67)</f>
        <v>WELLS FARGO &amp; COMPAN</v>
      </c>
      <c r="C37" s="617"/>
      <c r="D37" s="618"/>
      <c r="E37" s="791">
        <f>IF(OR(LEFT(DataH!B67, 1)="#", DataH!B67=""), "", DataH!B67)</f>
        <v>51742517</v>
      </c>
      <c r="F37" s="792"/>
      <c r="G37" s="791">
        <f>IF(OR(LEFT(DataH!C67, 1)="#", DataH!C67=""), "", DataH!C67)</f>
        <v>11692308</v>
      </c>
      <c r="H37" s="792"/>
      <c r="I37" s="791">
        <f>IF(OR(LEFT(DataH!D67, 1)="#", DataH!D67=""), "", DataH!D67)</f>
        <v>5335688353.04</v>
      </c>
      <c r="J37" s="792"/>
      <c r="K37" s="400">
        <f>IF(OR(LEFT(DataH!E67, 1)="#", DataH!E67=""), "", DataH!E67/100)</f>
        <v>9.1000000000000004E-3</v>
      </c>
      <c r="L37" s="446">
        <f>IF(OR(LEFT(DataH!F67, 1)="#", DataH!F67=""), "", DataH!F67)</f>
        <v>42094</v>
      </c>
      <c r="M37" s="126" t="str">
        <f>IF(OR(LEFT(DataH!G67, 1)="#", DataH!G67=""), "", DataH!G67)</f>
        <v>ULT-AGG</v>
      </c>
      <c r="N37" s="763" t="str">
        <f>IF(OR(LEFT(DataH!H67, 1)="#", DataH!H67=""), "", DataH!H67)</f>
        <v>UNITED STATES</v>
      </c>
      <c r="O37" s="1016"/>
      <c r="P37" s="216"/>
      <c r="Q37" s="216"/>
      <c r="R37" s="216"/>
      <c r="S37" s="216"/>
      <c r="T37" s="216"/>
      <c r="U37" s="216"/>
      <c r="V37" s="216"/>
    </row>
    <row r="38" spans="2:22" ht="15" customHeight="1">
      <c r="B38" s="613" t="str">
        <f>IF(OR(LEFT(DataH!A68, 1)="#", DataH!A68=""), "", DataH!A68)</f>
        <v>T ROWE PRICE GROUP I</v>
      </c>
      <c r="C38" s="614"/>
      <c r="D38" s="615"/>
      <c r="E38" s="794">
        <f>IF(OR(LEFT(DataH!B68, 1)="#", DataH!B68=""), "", DataH!B68)</f>
        <v>50120647</v>
      </c>
      <c r="F38" s="795"/>
      <c r="G38" s="794">
        <f>IF(OR(LEFT(DataH!C68, 1)="#", DataH!C68=""), "", DataH!C68)</f>
        <v>3053008</v>
      </c>
      <c r="H38" s="795"/>
      <c r="I38" s="794">
        <f>IF(OR(LEFT(DataH!D68, 1)="#", DataH!D68=""), "", DataH!D68)</f>
        <v>5168441118.6400003</v>
      </c>
      <c r="J38" s="795"/>
      <c r="K38" s="397">
        <f>IF(OR(LEFT(DataH!E68, 1)="#", DataH!E68=""), "", DataH!E68/100)</f>
        <v>8.8000000000000005E-3</v>
      </c>
      <c r="L38" s="447">
        <f>IF(OR(LEFT(DataH!F68, 1)="#", DataH!F68=""), "", DataH!F68)</f>
        <v>42094</v>
      </c>
      <c r="M38" s="129" t="str">
        <f>IF(OR(LEFT(DataH!G68, 1)="#", DataH!G68=""), "", DataH!G68)</f>
        <v>ULT-AGG</v>
      </c>
      <c r="N38" s="766" t="str">
        <f>IF(OR(LEFT(DataH!H68, 1)="#", DataH!H68=""), "", DataH!H68)</f>
        <v>UNITED STATES</v>
      </c>
      <c r="O38" s="1019"/>
      <c r="P38" s="216"/>
      <c r="Q38" s="216"/>
      <c r="R38" s="216"/>
      <c r="S38" s="216"/>
      <c r="T38" s="216"/>
      <c r="U38" s="216"/>
      <c r="V38" s="216"/>
    </row>
    <row r="39" spans="2:22" ht="15" customHeight="1">
      <c r="B39" s="616" t="str">
        <f>IF(OR(LEFT(DataH!A69, 1)="#", DataH!A69=""), "", DataH!A69)</f>
        <v>TIAA-CREF</v>
      </c>
      <c r="C39" s="617"/>
      <c r="D39" s="618"/>
      <c r="E39" s="791">
        <f>IF(OR(LEFT(DataH!B69, 1)="#", DataH!B69=""), "", DataH!B69)</f>
        <v>48490566</v>
      </c>
      <c r="F39" s="792"/>
      <c r="G39" s="791">
        <f>IF(OR(LEFT(DataH!C69, 1)="#", DataH!C69=""), "", DataH!C69)</f>
        <v>-2851354</v>
      </c>
      <c r="H39" s="792"/>
      <c r="I39" s="791">
        <f>IF(OR(LEFT(DataH!D69, 1)="#", DataH!D69=""), "", DataH!D69)</f>
        <v>5000347165.9200001</v>
      </c>
      <c r="J39" s="792"/>
      <c r="K39" s="400">
        <f>IF(OR(LEFT(DataH!E69, 1)="#", DataH!E69=""), "", DataH!E69/100)</f>
        <v>8.5000000000000006E-3</v>
      </c>
      <c r="L39" s="446">
        <f>IF(OR(LEFT(DataH!F69, 1)="#", DataH!F69=""), "", DataH!F69)</f>
        <v>42185</v>
      </c>
      <c r="M39" s="126" t="str">
        <f>IF(OR(LEFT(DataH!G69, 1)="#", DataH!G69=""), "", DataH!G69)</f>
        <v>ULT-AGG</v>
      </c>
      <c r="N39" s="763" t="str">
        <f>IF(OR(LEFT(DataH!H69, 1)="#", DataH!H69=""), "", DataH!H69)</f>
        <v>UNITED STATES</v>
      </c>
      <c r="O39" s="1016"/>
      <c r="P39" s="216"/>
      <c r="Q39" s="216"/>
      <c r="R39" s="216"/>
      <c r="S39" s="216"/>
      <c r="T39" s="216"/>
      <c r="U39" s="216"/>
      <c r="V39" s="216"/>
    </row>
    <row r="40" spans="2:22" ht="15" customHeight="1">
      <c r="B40" s="613" t="str">
        <f>IF(OR(LEFT(DataH!A70, 1)="#", DataH!A70=""), "", DataH!A70)</f>
        <v>GOLDMAN SACHS GROUP</v>
      </c>
      <c r="C40" s="614"/>
      <c r="D40" s="615"/>
      <c r="E40" s="794">
        <f>IF(OR(LEFT(DataH!B70, 1)="#", DataH!B70=""), "", DataH!B70)</f>
        <v>47931932</v>
      </c>
      <c r="F40" s="795"/>
      <c r="G40" s="794">
        <f>IF(OR(LEFT(DataH!C70, 1)="#", DataH!C70=""), "", DataH!C70)</f>
        <v>2662794</v>
      </c>
      <c r="H40" s="795"/>
      <c r="I40" s="794">
        <f>IF(OR(LEFT(DataH!D70, 1)="#", DataH!D70=""), "", DataH!D70)</f>
        <v>4942740827.8400002</v>
      </c>
      <c r="J40" s="795"/>
      <c r="K40" s="397">
        <f>IF(OR(LEFT(DataH!E70, 1)="#", DataH!E70=""), "", DataH!E70/100)</f>
        <v>8.3999999999999995E-3</v>
      </c>
      <c r="L40" s="447">
        <f>IF(OR(LEFT(DataH!F70, 1)="#", DataH!F70=""), "", DataH!F70)</f>
        <v>42094</v>
      </c>
      <c r="M40" s="129" t="str">
        <f>IF(OR(LEFT(DataH!G70, 1)="#", DataH!G70=""), "", DataH!G70)</f>
        <v>ULT-AGG</v>
      </c>
      <c r="N40" s="766" t="str">
        <f>IF(OR(LEFT(DataH!H70, 1)="#", DataH!H70=""), "", DataH!H70)</f>
        <v>UNITED STATES</v>
      </c>
      <c r="O40" s="1019"/>
      <c r="P40" s="216"/>
      <c r="Q40" s="216"/>
      <c r="R40" s="216"/>
      <c r="S40" s="216"/>
      <c r="T40" s="216"/>
      <c r="U40" s="216"/>
      <c r="V40" s="216"/>
    </row>
    <row r="41" spans="2:22" ht="15" customHeight="1">
      <c r="B41" s="616" t="str">
        <f>IF(OR(LEFT(DataH!A71, 1)="#", DataH!A71=""), "", DataH!A71)</f>
        <v>GEODE CAPITAL MANAGE</v>
      </c>
      <c r="C41" s="617"/>
      <c r="D41" s="618"/>
      <c r="E41" s="791">
        <f>IF(OR(LEFT(DataH!B71, 1)="#", DataH!B71=""), "", DataH!B71)</f>
        <v>47453880</v>
      </c>
      <c r="F41" s="792"/>
      <c r="G41" s="791">
        <f>IF(OR(LEFT(DataH!C71, 1)="#", DataH!C71=""), "", DataH!C71)</f>
        <v>1418014</v>
      </c>
      <c r="H41" s="792"/>
      <c r="I41" s="791">
        <f>IF(OR(LEFT(DataH!D71, 1)="#", DataH!D71=""), "", DataH!D71)</f>
        <v>4893444105.6000004</v>
      </c>
      <c r="J41" s="792"/>
      <c r="K41" s="400">
        <f>IF(OR(LEFT(DataH!E71, 1)="#", DataH!E71=""), "", DataH!E71/100)</f>
        <v>8.3000000000000001E-3</v>
      </c>
      <c r="L41" s="446">
        <f>IF(OR(LEFT(DataH!F71, 1)="#", DataH!F71=""), "", DataH!F71)</f>
        <v>42094</v>
      </c>
      <c r="M41" s="126" t="str">
        <f>IF(OR(LEFT(DataH!G71, 1)="#", DataH!G71=""), "", DataH!G71)</f>
        <v>13F</v>
      </c>
      <c r="N41" s="763" t="str">
        <f>IF(OR(LEFT(DataH!H71, 1)="#", DataH!H71=""), "", DataH!H71)</f>
        <v>UNITED STATES</v>
      </c>
      <c r="O41" s="1016"/>
      <c r="P41" s="216"/>
      <c r="Q41" s="216"/>
      <c r="R41" s="216"/>
      <c r="S41" s="216"/>
      <c r="T41" s="216"/>
      <c r="U41" s="216"/>
      <c r="V41" s="216"/>
    </row>
    <row r="42" spans="2:22" ht="15" customHeight="1">
      <c r="B42" s="613" t="str">
        <f>IF(OR(LEFT(DataH!A72, 1)="#", DataH!A72=""), "", DataH!A72)</f>
        <v>NORGES BANK</v>
      </c>
      <c r="C42" s="614"/>
      <c r="D42" s="615"/>
      <c r="E42" s="794">
        <f>IF(OR(LEFT(DataH!B72, 1)="#", DataH!B72=""), "", DataH!B72)</f>
        <v>45855072</v>
      </c>
      <c r="F42" s="795"/>
      <c r="G42" s="794">
        <f>IF(OR(LEFT(DataH!C72, 1)="#", DataH!C72=""), "", DataH!C72)</f>
        <v>-994318</v>
      </c>
      <c r="H42" s="795"/>
      <c r="I42" s="794">
        <f>IF(OR(LEFT(DataH!D72, 1)="#", DataH!D72=""), "", DataH!D72)</f>
        <v>4728575024.6400003</v>
      </c>
      <c r="J42" s="795"/>
      <c r="K42" s="397">
        <f>IF(OR(LEFT(DataH!E72, 1)="#", DataH!E72=""), "", DataH!E72/100)</f>
        <v>8.0000000000000002E-3</v>
      </c>
      <c r="L42" s="447">
        <f>IF(OR(LEFT(DataH!F72, 1)="#", DataH!F72=""), "", DataH!F72)</f>
        <v>42004</v>
      </c>
      <c r="M42" s="129" t="str">
        <f>IF(OR(LEFT(DataH!G72, 1)="#", DataH!G72=""), "", DataH!G72)</f>
        <v>13F</v>
      </c>
      <c r="N42" s="766" t="str">
        <f>IF(OR(LEFT(DataH!H72, 1)="#", DataH!H72=""), "", DataH!H72)</f>
        <v>NORWAY</v>
      </c>
      <c r="O42" s="1019"/>
      <c r="P42" s="216"/>
      <c r="Q42" s="216"/>
      <c r="R42" s="216"/>
      <c r="S42" s="216"/>
      <c r="T42" s="216"/>
      <c r="U42" s="216"/>
      <c r="V42" s="216"/>
    </row>
    <row r="43" spans="2:22" ht="15" customHeight="1">
      <c r="B43" s="616" t="str">
        <f>IF(OR(LEFT(DataH!A73, 1)="#", DataH!A73=""), "", DataH!A73)</f>
        <v>MORGAN STANLEY</v>
      </c>
      <c r="C43" s="617"/>
      <c r="D43" s="618"/>
      <c r="E43" s="791">
        <f>IF(OR(LEFT(DataH!B73, 1)="#", DataH!B73=""), "", DataH!B73)</f>
        <v>37483765</v>
      </c>
      <c r="F43" s="792"/>
      <c r="G43" s="791">
        <f>IF(OR(LEFT(DataH!C73, 1)="#", DataH!C73=""), "", DataH!C73)</f>
        <v>-4390344</v>
      </c>
      <c r="H43" s="792"/>
      <c r="I43" s="791">
        <f>IF(OR(LEFT(DataH!D73, 1)="#", DataH!D73=""), "", DataH!D73)</f>
        <v>3865325846.8000002</v>
      </c>
      <c r="J43" s="792"/>
      <c r="K43" s="400">
        <f>IF(OR(LEFT(DataH!E73, 1)="#", DataH!E73=""), "", DataH!E73/100)</f>
        <v>6.6E-3</v>
      </c>
      <c r="L43" s="446">
        <f>IF(OR(LEFT(DataH!F73, 1)="#", DataH!F73=""), "", DataH!F73)</f>
        <v>42094</v>
      </c>
      <c r="M43" s="126" t="str">
        <f>IF(OR(LEFT(DataH!G73, 1)="#", DataH!G73=""), "", DataH!G73)</f>
        <v>ULT-AGG</v>
      </c>
      <c r="N43" s="763" t="str">
        <f>IF(OR(LEFT(DataH!H73, 1)="#", DataH!H73=""), "", DataH!H73)</f>
        <v>UNITED STATES</v>
      </c>
      <c r="O43" s="1016"/>
      <c r="P43" s="216"/>
      <c r="Q43" s="216"/>
      <c r="R43" s="216"/>
      <c r="S43" s="216"/>
      <c r="T43" s="216"/>
      <c r="U43" s="216"/>
      <c r="V43" s="216"/>
    </row>
    <row r="44" spans="2:22" ht="15" customHeight="1">
      <c r="B44" s="613" t="str">
        <f>IF(OR(LEFT(DataH!A74, 1)="#", DataH!A74=""), "", DataH!A74)</f>
        <v>AMERIPRISE FIN GRP</v>
      </c>
      <c r="C44" s="614"/>
      <c r="D44" s="615"/>
      <c r="E44" s="794">
        <f>IF(OR(LEFT(DataH!B74, 1)="#", DataH!B74=""), "", DataH!B74)</f>
        <v>35731406</v>
      </c>
      <c r="F44" s="795"/>
      <c r="G44" s="794">
        <f>IF(OR(LEFT(DataH!C74, 1)="#", DataH!C74=""), "", DataH!C74)</f>
        <v>189836</v>
      </c>
      <c r="H44" s="795"/>
      <c r="I44" s="794">
        <f>IF(OR(LEFT(DataH!D74, 1)="#", DataH!D74=""), "", DataH!D74)</f>
        <v>3684622586.7200003</v>
      </c>
      <c r="J44" s="795"/>
      <c r="K44" s="397">
        <f>IF(OR(LEFT(DataH!E74, 1)="#", DataH!E74=""), "", DataH!E74/100)</f>
        <v>6.3E-3</v>
      </c>
      <c r="L44" s="447">
        <f>IF(OR(LEFT(DataH!F74, 1)="#", DataH!F74=""), "", DataH!F74)</f>
        <v>42185</v>
      </c>
      <c r="M44" s="129" t="str">
        <f>IF(OR(LEFT(DataH!G74, 1)="#", DataH!G74=""), "", DataH!G74)</f>
        <v>ULT-AGG</v>
      </c>
      <c r="N44" s="766" t="str">
        <f>IF(OR(LEFT(DataH!H74, 1)="#", DataH!H74=""), "", DataH!H74)</f>
        <v>UNITED STATES</v>
      </c>
      <c r="O44" s="1019"/>
      <c r="P44" s="216"/>
      <c r="Q44" s="216"/>
      <c r="R44" s="216"/>
      <c r="S44" s="216"/>
      <c r="T44" s="216"/>
      <c r="U44" s="216"/>
      <c r="V44" s="216"/>
    </row>
    <row r="45" spans="2:22" ht="15" customHeight="1">
      <c r="B45" s="739" t="str">
        <f>IF(OR(LEFT(DataH!A75, 1)="#", DataH!A75=""), "", DataH!A75)</f>
        <v>DEUTSCHE BANK AG</v>
      </c>
      <c r="C45" s="740"/>
      <c r="D45" s="741"/>
      <c r="E45" s="839">
        <f>IF(OR(LEFT(DataH!B75, 1)="#", DataH!B75=""), "", DataH!B75)</f>
        <v>35403740</v>
      </c>
      <c r="F45" s="840"/>
      <c r="G45" s="839">
        <f>IF(OR(LEFT(DataH!C75, 1)="#", DataH!C75=""), "", DataH!C75)</f>
        <v>7684409</v>
      </c>
      <c r="H45" s="840"/>
      <c r="I45" s="839">
        <f>IF(OR(LEFT(DataH!D75, 1)="#", DataH!D75=""), "", DataH!D75)</f>
        <v>3650833668.8000002</v>
      </c>
      <c r="J45" s="840"/>
      <c r="K45" s="448">
        <f>IF(OR(LEFT(DataH!E75, 1)="#", DataH!E75=""), "", DataH!E75/100)</f>
        <v>6.1999999999999998E-3</v>
      </c>
      <c r="L45" s="449">
        <f>IF(OR(LEFT(DataH!F75, 1)="#", DataH!F75=""), "", DataH!F75)</f>
        <v>42185</v>
      </c>
      <c r="M45" s="333" t="str">
        <f>IF(OR(LEFT(DataH!G75, 1)="#", DataH!G75=""), "", DataH!G75)</f>
        <v>ULT-AGG</v>
      </c>
      <c r="N45" s="1022" t="str">
        <f>IF(OR(LEFT(DataH!H75, 1)="#", DataH!H75=""), "", DataH!H75)</f>
        <v>GERMANY</v>
      </c>
      <c r="O45" s="1023"/>
      <c r="P45" s="216"/>
      <c r="Q45" s="216"/>
      <c r="R45" s="216"/>
    </row>
    <row r="46" spans="2:22" ht="15" customHeight="1">
      <c r="C46" s="268"/>
      <c r="D46" s="268"/>
      <c r="E46" s="450"/>
      <c r="F46" s="450"/>
      <c r="G46" s="450"/>
      <c r="H46" s="450"/>
      <c r="I46" s="450"/>
      <c r="J46" s="450"/>
      <c r="K46" s="451"/>
      <c r="L46" s="452"/>
      <c r="M46" s="453"/>
      <c r="N46" s="453"/>
      <c r="O46" s="453"/>
      <c r="P46" s="216"/>
      <c r="Q46" s="216"/>
      <c r="R46" s="216"/>
    </row>
    <row r="47" spans="2:22" ht="15" customHeight="1">
      <c r="B47" s="1018" t="str">
        <f>IF(Lang="English","Top 5 Insiders:",IF(Lang="中文","前5名內部持股人:","上位5インサイダー"))</f>
        <v>Top 5 Insiders:</v>
      </c>
      <c r="C47" s="773"/>
      <c r="D47" s="774"/>
      <c r="E47" s="450"/>
      <c r="F47" s="450"/>
      <c r="G47" s="450"/>
      <c r="H47" s="450"/>
      <c r="I47" s="450"/>
      <c r="J47" s="450"/>
      <c r="K47" s="451"/>
      <c r="L47" s="452"/>
      <c r="M47" s="453"/>
      <c r="N47" s="453"/>
      <c r="O47" s="453"/>
      <c r="P47" s="216"/>
      <c r="Q47" s="216"/>
      <c r="R47" s="216"/>
    </row>
    <row r="48" spans="2:22" ht="15" customHeight="1">
      <c r="B48" s="997" t="str">
        <f>IF(Lang="English","Holder Name",IF(Lang="中文","持有人名稱","ホルダー名"))</f>
        <v>Holder Name</v>
      </c>
      <c r="C48" s="998"/>
      <c r="D48" s="999"/>
      <c r="E48" s="1000" t="str">
        <f>IF(Lang="English","Position",IF(Lang="中文","部位","保有数"))</f>
        <v>Position</v>
      </c>
      <c r="F48" s="1001"/>
      <c r="G48" s="1000" t="str">
        <f>IF(Lang="English","Position Change",IF(Lang="中文","部位變動","保有増減"))</f>
        <v>Position Change</v>
      </c>
      <c r="H48" s="1001"/>
      <c r="I48" s="1000" t="str">
        <f>IF(Lang="English","Market Value",IF(Lang="中文","市值","時価総額"))</f>
        <v>Market Value</v>
      </c>
      <c r="J48" s="1001"/>
      <c r="K48" s="454" t="str">
        <f>IF(Lang="English","Ownership",IF(Lang="中文","持股%","保有率"))</f>
        <v>Ownership</v>
      </c>
      <c r="L48" s="454" t="str">
        <f>IF(Lang="English","Report Date",IF(Lang="中文","報告日期","報告日"))</f>
        <v>Report Date</v>
      </c>
      <c r="M48" s="455" t="str">
        <f>IF(Lang="English","Source",IF(Lang="中文","來源","情報元"))</f>
        <v>Source</v>
      </c>
      <c r="N48" s="456"/>
      <c r="O48" s="457"/>
    </row>
    <row r="49" spans="2:16" ht="15" customHeight="1">
      <c r="B49" s="610" t="str">
        <f>IF(OR(LEFT(DataH!A77, 1)="#", DataH!A77=""), "", DataH!A77)</f>
        <v>LEVINSON ARTHUR D</v>
      </c>
      <c r="C49" s="611"/>
      <c r="D49" s="612"/>
      <c r="E49" s="798">
        <f>IF(OR(LEFT(DataH!B77, 1)="#", DataH!B77=""), "", DataH!B77)</f>
        <v>1147283</v>
      </c>
      <c r="F49" s="799"/>
      <c r="G49" s="798" t="str">
        <f>IF(OR(LEFT(DataH!C77, 1)="#", DataH!C77=""), "", DataH!C77)</f>
        <v/>
      </c>
      <c r="H49" s="799"/>
      <c r="I49" s="798">
        <f>IF(OR(LEFT(DataH!D77, 1)="#", DataH!D77=""), "", DataH!D77)</f>
        <v>118307822.96000001</v>
      </c>
      <c r="J49" s="799"/>
      <c r="K49" s="391">
        <f>IF(OR(LEFT(DataH!E77, 1)="#", DataH!E77=""), "", DataH!E77/100)</f>
        <v>2.0000000000000001E-4</v>
      </c>
      <c r="L49" s="374">
        <f>IF(OR(LEFT(DataH!F77, 1)="#", DataH!F77=""), "", DataH!F77)</f>
        <v>42152</v>
      </c>
      <c r="M49" s="458" t="str">
        <f>IF(OR(LEFT(DataH!G77, 1)="#", DataH!G77=""), "", DataH!G77)</f>
        <v>Form 4</v>
      </c>
      <c r="N49" s="459"/>
      <c r="O49" s="453"/>
    </row>
    <row r="50" spans="2:16" ht="15" customHeight="1">
      <c r="B50" s="613" t="str">
        <f>IF(OR(LEFT(DataH!A78, 1)="#", DataH!A78=""), "", DataH!A78)</f>
        <v>COOK TIMOTHY DONALD</v>
      </c>
      <c r="C50" s="614"/>
      <c r="D50" s="615"/>
      <c r="E50" s="794">
        <f>IF(OR(LEFT(DataH!B78, 1)="#", DataH!B78=""), "", DataH!B78)</f>
        <v>901027</v>
      </c>
      <c r="F50" s="795"/>
      <c r="G50" s="794">
        <f>IF(OR(LEFT(DataH!C78, 1)="#", DataH!C78=""), "", DataH!C78)</f>
        <v>-49740</v>
      </c>
      <c r="H50" s="795"/>
      <c r="I50" s="794">
        <f>IF(OR(LEFT(DataH!D78, 1)="#", DataH!D78=""), "", DataH!D78)</f>
        <v>92913904.24000001</v>
      </c>
      <c r="J50" s="795"/>
      <c r="K50" s="397">
        <f>IF(OR(LEFT(DataH!E78, 1)="#", DataH!E78=""), "", DataH!E78/100)</f>
        <v>1.6000000000000001E-4</v>
      </c>
      <c r="L50" s="378">
        <f>IF(OR(LEFT(DataH!F78, 1)="#", DataH!F78=""), "", DataH!F78)</f>
        <v>42152</v>
      </c>
      <c r="M50" s="460" t="str">
        <f>IF(OR(LEFT(DataH!G78, 1)="#", DataH!G78=""), "", DataH!G78)</f>
        <v>Form 4</v>
      </c>
      <c r="N50" s="459"/>
      <c r="O50" s="453"/>
    </row>
    <row r="51" spans="2:16" ht="15" customHeight="1">
      <c r="B51" s="616" t="str">
        <f>IF(OR(LEFT(DataH!A79, 1)="#", DataH!A79=""), "", DataH!A79)</f>
        <v>GORE JR ALBERT ARNOLD</v>
      </c>
      <c r="C51" s="617"/>
      <c r="D51" s="618"/>
      <c r="E51" s="791">
        <f>IF(OR(LEFT(DataH!B79, 1)="#", DataH!B79=""), "", DataH!B79)</f>
        <v>440986</v>
      </c>
      <c r="F51" s="792"/>
      <c r="G51" s="791">
        <f>IF(OR(LEFT(DataH!C79, 1)="#", DataH!C79=""), "", DataH!C79)</f>
        <v>3325</v>
      </c>
      <c r="H51" s="792"/>
      <c r="I51" s="791">
        <f>IF(OR(LEFT(DataH!D79, 1)="#", DataH!D79=""), "", DataH!D79)</f>
        <v>45474476.32</v>
      </c>
      <c r="J51" s="792"/>
      <c r="K51" s="400">
        <f>IF(OR(LEFT(DataH!E79, 1)="#", DataH!E79=""), "", DataH!E79/100)</f>
        <v>8.0000000000000007E-5</v>
      </c>
      <c r="L51" s="379">
        <f>IF(OR(LEFT(DataH!F79, 1)="#", DataH!F79=""), "", DataH!F79)</f>
        <v>42036</v>
      </c>
      <c r="M51" s="461" t="str">
        <f>IF(OR(LEFT(DataH!G79, 1)="#", DataH!G79=""), "", DataH!G79)</f>
        <v>Form 4</v>
      </c>
      <c r="N51" s="459"/>
      <c r="O51" s="453"/>
    </row>
    <row r="52" spans="2:16" ht="15" customHeight="1">
      <c r="B52" s="613" t="str">
        <f>IF(OR(LEFT(DataH!A80, 1)="#", DataH!A80=""), "", DataH!A80)</f>
        <v>FEDERIGHI CRAIG</v>
      </c>
      <c r="C52" s="614"/>
      <c r="D52" s="615"/>
      <c r="E52" s="794">
        <f>IF(OR(LEFT(DataH!B80, 1)="#", DataH!B80=""), "", DataH!B80)</f>
        <v>372223</v>
      </c>
      <c r="F52" s="795"/>
      <c r="G52" s="794">
        <f>IF(OR(LEFT(DataH!C80, 1)="#", DataH!C80=""), "", DataH!C80)</f>
        <v>86511</v>
      </c>
      <c r="H52" s="795"/>
      <c r="I52" s="794">
        <f>IF(OR(LEFT(DataH!D80, 1)="#", DataH!D80=""), "", DataH!D80)</f>
        <v>38383635.760000005</v>
      </c>
      <c r="J52" s="795"/>
      <c r="K52" s="397">
        <f>IF(OR(LEFT(DataH!E80, 1)="#", DataH!E80=""), "", DataH!E80/100)</f>
        <v>7.0000000000000007E-5</v>
      </c>
      <c r="L52" s="378">
        <f>IF(OR(LEFT(DataH!F80, 1)="#", DataH!F80=""), "", DataH!F80)</f>
        <v>42117</v>
      </c>
      <c r="M52" s="460" t="str">
        <f>IF(OR(LEFT(DataH!G80, 1)="#", DataH!G80=""), "", DataH!G80)</f>
        <v>Form 4</v>
      </c>
      <c r="N52" s="459"/>
      <c r="O52" s="453"/>
    </row>
    <row r="53" spans="2:16" ht="15" customHeight="1">
      <c r="B53" s="739" t="str">
        <f>IF(OR(LEFT(DataH!A81, 1)="#", DataH!A81=""), "", DataH!A81)</f>
        <v>AHRENDTS ANGELA J</v>
      </c>
      <c r="C53" s="740"/>
      <c r="D53" s="741"/>
      <c r="E53" s="839">
        <f>IF(OR(LEFT(DataH!B81, 1)="#", DataH!B81=""), "", DataH!B81)</f>
        <v>95042</v>
      </c>
      <c r="F53" s="840"/>
      <c r="G53" s="839" t="str">
        <f>IF(OR(LEFT(DataH!C81, 1)="#", DataH!C81=""), "", DataH!C81)</f>
        <v/>
      </c>
      <c r="H53" s="840"/>
      <c r="I53" s="839">
        <f>IF(OR(LEFT(DataH!D81, 1)="#", DataH!D81=""), "", DataH!D81)</f>
        <v>9800731.040000001</v>
      </c>
      <c r="J53" s="840"/>
      <c r="K53" s="448">
        <f>IF(OR(LEFT(DataH!E81, 1)="#", DataH!E81=""), "", DataH!E81/100)</f>
        <v>2.0000000000000002E-5</v>
      </c>
      <c r="L53" s="462">
        <f>IF(OR(LEFT(DataH!F81, 1)="#", DataH!F81=""), "", DataH!F81)</f>
        <v>42206</v>
      </c>
      <c r="M53" s="463" t="str">
        <f>IF(OR(LEFT(DataH!G81, 1)="#", DataH!G81=""), "", DataH!G81)</f>
        <v>Form 4</v>
      </c>
      <c r="N53" s="459"/>
      <c r="O53" s="453"/>
    </row>
    <row r="54" spans="2:16" ht="15" customHeight="1">
      <c r="C54" s="216"/>
      <c r="D54" s="216"/>
      <c r="E54" s="216"/>
      <c r="F54" s="216"/>
      <c r="G54" s="216"/>
      <c r="H54" s="216"/>
      <c r="I54" s="216"/>
      <c r="J54" s="216"/>
      <c r="K54" s="216"/>
      <c r="L54" s="436"/>
      <c r="M54" s="216"/>
      <c r="N54" s="216"/>
      <c r="O54" s="436"/>
      <c r="P54" s="436"/>
    </row>
  </sheetData>
  <mergeCells count="154">
    <mergeCell ref="N42:O42"/>
    <mergeCell ref="N43:O43"/>
    <mergeCell ref="N44:O44"/>
    <mergeCell ref="I42:J42"/>
    <mergeCell ref="I48:J48"/>
    <mergeCell ref="I49:J49"/>
    <mergeCell ref="I41:J41"/>
    <mergeCell ref="G52:H52"/>
    <mergeCell ref="G53:H53"/>
    <mergeCell ref="I52:J52"/>
    <mergeCell ref="G48:H48"/>
    <mergeCell ref="I45:J45"/>
    <mergeCell ref="I51:J51"/>
    <mergeCell ref="G49:H49"/>
    <mergeCell ref="G50:H50"/>
    <mergeCell ref="G51:H51"/>
    <mergeCell ref="G45:H45"/>
    <mergeCell ref="I53:J53"/>
    <mergeCell ref="I36:J36"/>
    <mergeCell ref="I32:J32"/>
    <mergeCell ref="G29:H29"/>
    <mergeCell ref="N26:O26"/>
    <mergeCell ref="N38:O38"/>
    <mergeCell ref="I50:J50"/>
    <mergeCell ref="N45:O45"/>
    <mergeCell ref="I39:J39"/>
    <mergeCell ref="I43:J43"/>
    <mergeCell ref="I44:J44"/>
    <mergeCell ref="N37:O37"/>
    <mergeCell ref="I34:J34"/>
    <mergeCell ref="I35:J35"/>
    <mergeCell ref="I27:J27"/>
    <mergeCell ref="N34:O34"/>
    <mergeCell ref="N35:O35"/>
    <mergeCell ref="N36:O36"/>
    <mergeCell ref="I38:J38"/>
    <mergeCell ref="N39:O39"/>
    <mergeCell ref="I28:J28"/>
    <mergeCell ref="I37:J37"/>
    <mergeCell ref="I40:J40"/>
    <mergeCell ref="N40:O40"/>
    <mergeCell ref="N41:O41"/>
    <mergeCell ref="N31:O31"/>
    <mergeCell ref="N28:O28"/>
    <mergeCell ref="N32:O32"/>
    <mergeCell ref="N33:O33"/>
    <mergeCell ref="I33:J33"/>
    <mergeCell ref="G33:H33"/>
    <mergeCell ref="N29:O29"/>
    <mergeCell ref="N30:O30"/>
    <mergeCell ref="I30:J30"/>
    <mergeCell ref="I31:J31"/>
    <mergeCell ref="I29:J29"/>
    <mergeCell ref="G39:H39"/>
    <mergeCell ref="G30:H30"/>
    <mergeCell ref="G31:H31"/>
    <mergeCell ref="G37:H37"/>
    <mergeCell ref="G44:H44"/>
    <mergeCell ref="G43:H43"/>
    <mergeCell ref="G32:H32"/>
    <mergeCell ref="E30:F30"/>
    <mergeCell ref="E43:F43"/>
    <mergeCell ref="E31:F31"/>
    <mergeCell ref="E42:F42"/>
    <mergeCell ref="E41:F41"/>
    <mergeCell ref="E39:F39"/>
    <mergeCell ref="E32:F32"/>
    <mergeCell ref="G40:H40"/>
    <mergeCell ref="G35:H35"/>
    <mergeCell ref="G36:H36"/>
    <mergeCell ref="B47:D47"/>
    <mergeCell ref="B38:D38"/>
    <mergeCell ref="E44:F44"/>
    <mergeCell ref="B43:D43"/>
    <mergeCell ref="B44:D44"/>
    <mergeCell ref="B45:D45"/>
    <mergeCell ref="E40:F40"/>
    <mergeCell ref="E38:F38"/>
    <mergeCell ref="B40:D40"/>
    <mergeCell ref="E45:F45"/>
    <mergeCell ref="B41:D41"/>
    <mergeCell ref="B42:D42"/>
    <mergeCell ref="B36:D36"/>
    <mergeCell ref="B37:D37"/>
    <mergeCell ref="G27:H27"/>
    <mergeCell ref="E27:F27"/>
    <mergeCell ref="G42:H42"/>
    <mergeCell ref="G38:H38"/>
    <mergeCell ref="B34:D34"/>
    <mergeCell ref="B35:D35"/>
    <mergeCell ref="G34:H34"/>
    <mergeCell ref="B32:D32"/>
    <mergeCell ref="B33:D33"/>
    <mergeCell ref="E33:F33"/>
    <mergeCell ref="E34:F34"/>
    <mergeCell ref="G41:H41"/>
    <mergeCell ref="B39:D39"/>
    <mergeCell ref="B29:D29"/>
    <mergeCell ref="B30:D30"/>
    <mergeCell ref="B28:D28"/>
    <mergeCell ref="B31:D31"/>
    <mergeCell ref="E35:F35"/>
    <mergeCell ref="E36:F36"/>
    <mergeCell ref="E37:F37"/>
    <mergeCell ref="E29:F29"/>
    <mergeCell ref="G28:H28"/>
    <mergeCell ref="B27:D27"/>
    <mergeCell ref="E24:G24"/>
    <mergeCell ref="L9:N9"/>
    <mergeCell ref="L10:N10"/>
    <mergeCell ref="L11:N11"/>
    <mergeCell ref="L12:N12"/>
    <mergeCell ref="N25:O25"/>
    <mergeCell ref="L13:N13"/>
    <mergeCell ref="L14:N14"/>
    <mergeCell ref="B9:D9"/>
    <mergeCell ref="B10:D10"/>
    <mergeCell ref="B11:D11"/>
    <mergeCell ref="B12:D12"/>
    <mergeCell ref="B13:D13"/>
    <mergeCell ref="B14:D14"/>
    <mergeCell ref="L15:N15"/>
    <mergeCell ref="L16:N16"/>
    <mergeCell ref="L19:N19"/>
    <mergeCell ref="L21:N21"/>
    <mergeCell ref="L22:N22"/>
    <mergeCell ref="L20:N20"/>
    <mergeCell ref="I26:J26"/>
    <mergeCell ref="N27:O27"/>
    <mergeCell ref="I25:J25"/>
    <mergeCell ref="B8:E8"/>
    <mergeCell ref="L23:N23"/>
    <mergeCell ref="E25:F25"/>
    <mergeCell ref="E26:F26"/>
    <mergeCell ref="B51:D51"/>
    <mergeCell ref="B52:D52"/>
    <mergeCell ref="B53:D53"/>
    <mergeCell ref="E51:F51"/>
    <mergeCell ref="E52:F52"/>
    <mergeCell ref="E53:F53"/>
    <mergeCell ref="B48:D48"/>
    <mergeCell ref="B49:D49"/>
    <mergeCell ref="B50:D50"/>
    <mergeCell ref="E48:F48"/>
    <mergeCell ref="E49:F49"/>
    <mergeCell ref="E50:F50"/>
    <mergeCell ref="E28:F28"/>
    <mergeCell ref="B15:D15"/>
    <mergeCell ref="B16:D16"/>
    <mergeCell ref="B24:D24"/>
    <mergeCell ref="B25:D25"/>
    <mergeCell ref="B26:D26"/>
    <mergeCell ref="G25:H25"/>
    <mergeCell ref="G26:H26"/>
  </mergeCells>
  <phoneticPr fontId="16" type="noConversion"/>
  <dataValidations count="1">
    <dataValidation type="list" allowBlank="1" showInputMessage="1" showErrorMessage="1" sqref="E24:G24">
      <formula1>newOwners</formula1>
    </dataValidation>
  </dataValidations>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Help">
    <tabColor rgb="FF00B050"/>
  </sheetPr>
  <dimension ref="B1:X209"/>
  <sheetViews>
    <sheetView showGridLines="0" showRowColHeaders="0" zoomScaleNormal="100" workbookViewId="0">
      <pane ySplit="5" topLeftCell="A6" activePane="bottomLeft" state="frozenSplit"/>
      <selection pane="bottomLeft" activeCell="F183" sqref="F183"/>
    </sheetView>
  </sheetViews>
  <sheetFormatPr defaultRowHeight="15"/>
  <cols>
    <col min="1" max="1" width="1.7109375" customWidth="1"/>
    <col min="2" max="3" width="9.140625" customWidth="1"/>
    <col min="13" max="13" width="9.28515625" customWidth="1"/>
  </cols>
  <sheetData>
    <row r="1" spans="2:24" s="78" customFormat="1" ht="5.0999999999999996" customHeight="1"/>
    <row r="2" spans="2:24" s="78" customFormat="1" ht="15" customHeight="1"/>
    <row r="3" spans="2:24" s="78" customFormat="1" ht="15" customHeight="1"/>
    <row r="4" spans="2:24" s="78" customFormat="1" ht="15" customHeight="1"/>
    <row r="5" spans="2:24" s="78" customFormat="1" ht="5.0999999999999996" customHeight="1"/>
    <row r="6" spans="2:24">
      <c r="B6" s="1039"/>
      <c r="C6" s="1025"/>
      <c r="D6" s="1027"/>
      <c r="E6" s="1025"/>
      <c r="F6" s="1025"/>
      <c r="G6" s="1025"/>
      <c r="H6" s="1025"/>
      <c r="I6" s="1025"/>
      <c r="J6" s="1025"/>
      <c r="K6" s="1025"/>
      <c r="L6" s="1025"/>
      <c r="M6" s="1025"/>
      <c r="N6" s="1025"/>
      <c r="O6" s="1025"/>
      <c r="P6" s="1025"/>
      <c r="Q6" s="1025"/>
      <c r="R6" s="1025"/>
      <c r="S6" s="1040"/>
      <c r="T6" s="1025"/>
      <c r="U6" s="1026"/>
      <c r="V6" s="1025"/>
      <c r="W6" s="1025"/>
      <c r="X6" s="1025"/>
    </row>
    <row r="7" spans="2:24">
      <c r="B7" s="1025"/>
      <c r="C7" s="1025"/>
      <c r="D7" s="1025"/>
      <c r="E7" s="1025"/>
      <c r="F7" s="1025"/>
      <c r="G7" s="1025"/>
      <c r="H7" s="1025"/>
      <c r="I7" s="1025"/>
      <c r="J7" s="1025"/>
      <c r="K7" s="1025"/>
      <c r="L7" s="1025"/>
      <c r="M7" s="1025"/>
      <c r="N7" s="1025"/>
      <c r="O7" s="1025"/>
      <c r="P7" s="1025"/>
      <c r="Q7" s="1025"/>
      <c r="R7" s="1025"/>
      <c r="S7" s="1025"/>
      <c r="T7" s="1025"/>
      <c r="U7" s="1025"/>
      <c r="V7" s="1025"/>
      <c r="W7" s="1025"/>
      <c r="X7" s="1025"/>
    </row>
    <row r="8" spans="2:24" ht="18.75" customHeight="1">
      <c r="B8" s="1025"/>
      <c r="C8" s="1025"/>
      <c r="D8" s="1025"/>
      <c r="E8" s="1025"/>
      <c r="F8" s="1025"/>
      <c r="G8" s="1025"/>
      <c r="H8" s="1025"/>
      <c r="I8" s="1025"/>
      <c r="J8" s="1025"/>
      <c r="K8" s="1025"/>
      <c r="L8" s="1025"/>
      <c r="M8" s="1025"/>
      <c r="N8" s="1025"/>
      <c r="O8" s="1025"/>
      <c r="P8" s="1025"/>
      <c r="Q8" s="1025"/>
      <c r="R8" s="1025"/>
      <c r="S8" s="1025"/>
      <c r="T8" s="1025"/>
      <c r="U8" s="1025"/>
      <c r="V8" s="1025"/>
      <c r="W8" s="1025"/>
      <c r="X8" s="1025"/>
    </row>
    <row r="9" spans="2:24">
      <c r="B9" s="1025"/>
      <c r="C9" s="1025"/>
      <c r="D9" s="1025"/>
      <c r="E9" s="1025"/>
      <c r="F9" s="1025"/>
      <c r="G9" s="1025"/>
      <c r="H9" s="1025"/>
      <c r="I9" s="1025"/>
      <c r="J9" s="1025"/>
      <c r="K9" s="1025"/>
      <c r="L9" s="1025"/>
      <c r="M9" s="1025"/>
      <c r="N9" s="1025"/>
      <c r="O9" s="1025"/>
      <c r="P9" s="1025"/>
      <c r="Q9" s="1025"/>
      <c r="R9" s="1025"/>
      <c r="S9" s="1025"/>
      <c r="T9" s="1025"/>
      <c r="U9" s="1025"/>
      <c r="V9" s="1025"/>
      <c r="W9" s="1025"/>
      <c r="X9" s="1025"/>
    </row>
    <row r="10" spans="2:24">
      <c r="B10" s="1028"/>
      <c r="C10" s="1025"/>
      <c r="D10" s="1042" t="str">
        <f>IF(Lang="English","This application allows users to engage in detailed research on a company and perform analysis in one shot. Extensive descriptive, fundamental, estimate, ",IF(Lang="中文","此應用程式允許用戶进行公司的詳細研究和分析, 包括公司描述，基本财务数据，预测，價格以及同行信息。","このアプリケーションは企業の概要、財務、予想、パフォーマンスや株価情報など多岐に渡る包括的な分析を可能にしたものです。 "))</f>
        <v xml:space="preserve">This application allows users to engage in detailed research on a company and perform analysis in one shot. Extensive descriptive, fundamental, estimate, </v>
      </c>
      <c r="E10" s="1042"/>
      <c r="F10" s="1042"/>
      <c r="G10" s="1042"/>
      <c r="H10" s="1042"/>
      <c r="I10" s="1042"/>
      <c r="J10" s="1042"/>
      <c r="K10" s="1042"/>
      <c r="L10" s="1042"/>
      <c r="M10" s="1042"/>
      <c r="N10" s="1042"/>
      <c r="O10" s="1042"/>
      <c r="P10" s="1042"/>
      <c r="Q10" s="1042"/>
      <c r="R10" s="1042"/>
      <c r="S10" s="1029"/>
      <c r="T10" s="1025"/>
      <c r="U10" s="1025"/>
      <c r="V10" s="1025"/>
      <c r="W10" s="1025"/>
      <c r="X10" s="1025"/>
    </row>
    <row r="11" spans="2:24" s="78" customFormat="1">
      <c r="B11" s="1028"/>
      <c r="C11" s="1025"/>
      <c r="D11" s="1041" t="str">
        <f>IF(Lang="English","performance, and pricing information is included historically as well as in relation to peer group. Each tab provides information as follows:",IF(Lang="中文","每個標籤提供的信息如下
","財務や株価などは過去の履歴の確認や同業他社との比較も可能です。また、タブ毎に下記のようにデータ調整が可能です。"))</f>
        <v>performance, and pricing information is included historically as well as in relation to peer group. Each tab provides information as follows:</v>
      </c>
      <c r="E11" s="1041"/>
      <c r="F11" s="1041"/>
      <c r="G11" s="1041"/>
      <c r="H11" s="1041"/>
      <c r="I11" s="1041"/>
      <c r="J11" s="1041"/>
      <c r="K11" s="1041"/>
      <c r="L11" s="1041"/>
      <c r="M11" s="1041"/>
      <c r="N11" s="1041"/>
      <c r="O11" s="1041"/>
      <c r="P11" s="1041"/>
      <c r="Q11" s="1041"/>
      <c r="R11" s="1041"/>
      <c r="S11" s="1029"/>
      <c r="T11" s="1025"/>
      <c r="U11" s="1025"/>
      <c r="V11" s="1025"/>
      <c r="W11" s="1025"/>
      <c r="X11" s="1025"/>
    </row>
    <row r="12" spans="2:24">
      <c r="B12" s="1025"/>
      <c r="C12" s="1025"/>
      <c r="S12" s="1025"/>
      <c r="T12" s="1025"/>
      <c r="U12" s="1025"/>
      <c r="V12" s="1025"/>
      <c r="W12" s="1025"/>
      <c r="X12" s="1025"/>
    </row>
    <row r="13" spans="2:24">
      <c r="B13" s="1025"/>
      <c r="C13" s="1025"/>
      <c r="S13" s="1025"/>
      <c r="T13" s="1025"/>
      <c r="U13" s="1025"/>
      <c r="V13" s="1025"/>
      <c r="W13" s="1025"/>
      <c r="X13" s="1025"/>
    </row>
    <row r="14" spans="2:24" ht="20.25" customHeight="1">
      <c r="B14" s="1025"/>
      <c r="C14" s="1025"/>
      <c r="D14" s="1034" t="str">
        <f>IF(Lang="English","Overview Tab",IF(Lang="中文","Overview 標籤","Overview タブ"))</f>
        <v>Overview Tab</v>
      </c>
      <c r="E14" s="1035"/>
      <c r="F14" s="1035"/>
      <c r="G14" s="1035"/>
      <c r="H14" s="1035"/>
      <c r="I14" s="1035"/>
      <c r="J14" s="1035"/>
      <c r="K14" s="1035"/>
      <c r="L14" s="1035"/>
      <c r="M14" s="1035"/>
      <c r="N14" s="1035"/>
      <c r="O14" s="1035"/>
      <c r="P14" s="1035"/>
      <c r="Q14" s="1035"/>
      <c r="R14" s="1036"/>
      <c r="S14" s="1025"/>
      <c r="T14" s="1025"/>
      <c r="U14" s="1025"/>
      <c r="V14" s="1025"/>
      <c r="W14" s="1025"/>
      <c r="X14" s="1025"/>
    </row>
    <row r="15" spans="2:24">
      <c r="B15" s="1025"/>
      <c r="C15" s="1025"/>
      <c r="S15" s="1025"/>
      <c r="T15" s="1025"/>
      <c r="U15" s="1025"/>
      <c r="V15" s="1025"/>
      <c r="W15" s="1025"/>
      <c r="X15" s="1025"/>
    </row>
    <row r="16" spans="2:24">
      <c r="B16" s="1025"/>
      <c r="C16" s="1025"/>
      <c r="D16" s="81" t="str">
        <f>IF(Lang="English","Specify security in cell E9",IF(Lang="中文","在E9單元格指定股票","E9 セルにてティッカーを指定"))</f>
        <v>Specify security in cell E9</v>
      </c>
      <c r="M16" s="82" t="str">
        <f>IF(Lang="English"," Related Terminal Functions:",IF(Lang="中文"," 相關終端功能:","端末上関連機能:"))</f>
        <v xml:space="preserve"> Related Terminal Functions:</v>
      </c>
      <c r="S16" s="1025"/>
      <c r="T16" s="1025"/>
      <c r="U16" s="1025"/>
      <c r="V16" s="1025"/>
      <c r="W16" s="1025"/>
      <c r="X16" s="1025"/>
    </row>
    <row r="17" spans="2:24">
      <c r="B17" s="1025"/>
      <c r="C17" s="1025"/>
      <c r="S17" s="1025"/>
      <c r="T17" s="1025"/>
      <c r="U17" s="1025"/>
      <c r="V17" s="1025"/>
      <c r="W17" s="1025"/>
      <c r="X17" s="1025"/>
    </row>
    <row r="18" spans="2:24">
      <c r="B18" s="1025"/>
      <c r="C18" s="1025"/>
      <c r="S18" s="1025"/>
      <c r="T18" s="1025"/>
      <c r="U18" s="1025"/>
      <c r="V18" s="1025"/>
      <c r="W18" s="1025"/>
      <c r="X18" s="1025"/>
    </row>
    <row r="19" spans="2:24">
      <c r="B19" s="1025"/>
      <c r="C19" s="1025"/>
      <c r="D19" s="81" t="str">
        <f>IF(Lang="English","Specify currency in drop down",IF(Lang="中文","在下拉指定貨幣","ドロップダウンより通貨を選択"))</f>
        <v>Specify currency in drop down</v>
      </c>
      <c r="S19" s="1025"/>
      <c r="T19" s="1025"/>
      <c r="U19" s="1025"/>
      <c r="V19" s="1025"/>
      <c r="W19" s="1025"/>
      <c r="X19" s="1025"/>
    </row>
    <row r="20" spans="2:24">
      <c r="B20" s="1025"/>
      <c r="C20" s="1025"/>
      <c r="S20" s="1025"/>
      <c r="T20" s="1025"/>
      <c r="U20" s="1025"/>
      <c r="V20" s="1025"/>
      <c r="W20" s="1025"/>
      <c r="X20" s="1025"/>
    </row>
    <row r="21" spans="2:24">
      <c r="B21" s="1025"/>
      <c r="C21" s="1025"/>
      <c r="S21" s="1025"/>
      <c r="T21" s="1025"/>
      <c r="U21" s="1025"/>
      <c r="V21" s="1025"/>
      <c r="W21" s="1025"/>
      <c r="X21" s="1025"/>
    </row>
    <row r="22" spans="2:24">
      <c r="B22" s="1025"/>
      <c r="C22" s="1025"/>
      <c r="S22" s="1025"/>
      <c r="T22" s="1025"/>
      <c r="U22" s="1025"/>
      <c r="V22" s="1025"/>
      <c r="W22" s="1025"/>
      <c r="X22" s="1025"/>
    </row>
    <row r="23" spans="2:24">
      <c r="B23" s="1025"/>
      <c r="C23" s="1025"/>
      <c r="S23" s="1025"/>
      <c r="T23" s="1025"/>
      <c r="U23" s="1025"/>
      <c r="V23" s="1025"/>
      <c r="W23" s="1025"/>
      <c r="X23" s="1025"/>
    </row>
    <row r="24" spans="2:24">
      <c r="B24" s="1025"/>
      <c r="C24" s="1025"/>
      <c r="S24" s="1025"/>
      <c r="T24" s="1025"/>
      <c r="U24" s="1025"/>
      <c r="V24" s="1025"/>
      <c r="W24" s="1025"/>
      <c r="X24" s="1025"/>
    </row>
    <row r="25" spans="2:24">
      <c r="B25" s="1025"/>
      <c r="C25" s="1025"/>
      <c r="S25" s="1025"/>
      <c r="T25" s="1025"/>
      <c r="U25" s="1025"/>
      <c r="V25" s="1025"/>
      <c r="W25" s="1025"/>
      <c r="X25" s="1025"/>
    </row>
    <row r="26" spans="2:24">
      <c r="B26" s="1025"/>
      <c r="C26" s="1025"/>
      <c r="D26" s="81" t="str">
        <f>IF(Lang="English","Choose desired year to view segmented",IF(Lang="中文","選擇所需的年份，以查看分段數據","年を指定して地域、商品別のチャート表示"))</f>
        <v>Choose desired year to view segmented</v>
      </c>
      <c r="S26" s="1025"/>
      <c r="T26" s="1025"/>
      <c r="U26" s="1025"/>
      <c r="V26" s="1025"/>
      <c r="W26" s="1025"/>
      <c r="X26" s="1025"/>
    </row>
    <row r="27" spans="2:24">
      <c r="B27" s="1025"/>
      <c r="C27" s="1025"/>
      <c r="D27" s="82" t="str">
        <f>IF(Lang="English","    and geographical sales charts",IF(Lang="中文","   和地理銷售圖表",""))</f>
        <v xml:space="preserve">    and geographical sales charts</v>
      </c>
      <c r="S27" s="1025"/>
      <c r="T27" s="1025"/>
      <c r="U27" s="1025"/>
      <c r="V27" s="1025"/>
      <c r="W27" s="1025"/>
      <c r="X27" s="1025"/>
    </row>
    <row r="28" spans="2:24">
      <c r="B28" s="1025"/>
      <c r="C28" s="1025"/>
      <c r="S28" s="1025"/>
      <c r="T28" s="1025"/>
      <c r="U28" s="1025"/>
      <c r="V28" s="1025"/>
      <c r="W28" s="1025"/>
      <c r="X28" s="1025"/>
    </row>
    <row r="29" spans="2:24">
      <c r="B29" s="1025"/>
      <c r="C29" s="1025"/>
      <c r="S29" s="1025"/>
      <c r="T29" s="1025"/>
      <c r="U29" s="1025"/>
      <c r="V29" s="1025"/>
      <c r="W29" s="1025"/>
      <c r="X29" s="1025"/>
    </row>
    <row r="30" spans="2:24">
      <c r="B30" s="1025"/>
      <c r="C30" s="1025"/>
      <c r="S30" s="1025"/>
      <c r="T30" s="1025"/>
      <c r="U30" s="1025"/>
      <c r="V30" s="1025"/>
      <c r="W30" s="1025"/>
      <c r="X30" s="1025"/>
    </row>
    <row r="31" spans="2:24">
      <c r="B31" s="1025"/>
      <c r="C31" s="1025"/>
      <c r="S31" s="1025"/>
      <c r="T31" s="1025"/>
      <c r="U31" s="1025"/>
      <c r="V31" s="1025"/>
      <c r="W31" s="1025"/>
      <c r="X31" s="1025"/>
    </row>
    <row r="32" spans="2:24">
      <c r="B32" s="1025"/>
      <c r="C32" s="1025"/>
      <c r="D32" s="83" t="s">
        <v>675</v>
      </c>
      <c r="S32" s="1025"/>
      <c r="T32" s="1025"/>
      <c r="U32" s="1025"/>
      <c r="V32" s="1025"/>
      <c r="W32" s="1025"/>
      <c r="X32" s="1025"/>
    </row>
    <row r="33" spans="2:24">
      <c r="B33" s="1025"/>
      <c r="C33" s="1025"/>
      <c r="S33" s="1025"/>
      <c r="T33" s="1025"/>
      <c r="U33" s="1025"/>
      <c r="V33" s="1025"/>
      <c r="W33" s="1025"/>
      <c r="X33" s="1025"/>
    </row>
    <row r="34" spans="2:24" ht="20.25" customHeight="1">
      <c r="B34" s="1025"/>
      <c r="C34" s="1025"/>
      <c r="D34" s="1034" t="str">
        <f>IF(Lang="English","Peers Tab",IF(Lang="中文","Peers 標籤","Peers タブ"))</f>
        <v>Peers Tab</v>
      </c>
      <c r="E34" s="1035"/>
      <c r="F34" s="1035"/>
      <c r="G34" s="1035"/>
      <c r="H34" s="1035"/>
      <c r="I34" s="1035"/>
      <c r="J34" s="1035"/>
      <c r="K34" s="1035"/>
      <c r="L34" s="1035"/>
      <c r="M34" s="1035"/>
      <c r="N34" s="1035"/>
      <c r="O34" s="1035"/>
      <c r="P34" s="1035"/>
      <c r="Q34" s="1035"/>
      <c r="R34" s="1036"/>
      <c r="S34" s="1025"/>
      <c r="T34" s="1025"/>
      <c r="U34" s="1025"/>
      <c r="V34" s="1025"/>
      <c r="W34" s="1025"/>
      <c r="X34" s="1025"/>
    </row>
    <row r="35" spans="2:24">
      <c r="B35" s="1025"/>
      <c r="C35" s="1025"/>
      <c r="S35" s="1025"/>
      <c r="T35" s="1025"/>
      <c r="U35" s="1025"/>
      <c r="V35" s="1025"/>
      <c r="W35" s="1025"/>
      <c r="X35" s="1025"/>
    </row>
    <row r="36" spans="2:24">
      <c r="B36" s="1025"/>
      <c r="C36" s="1025"/>
      <c r="D36" s="81" t="str">
        <f>IF(Lang="English","Press buttons to toggle between Bloomberg and Custom Peers",IF(Lang="中文","按按鈕切換彭博(Bloomberg Peers)和自設(My Peers)同行。","Bloomberg PeersとMy Peersの切り替えができ、My Peers選択の場合 "))</f>
        <v>Press buttons to toggle between Bloomberg and Custom Peers</v>
      </c>
      <c r="M36" s="82" t="str">
        <f>IF(Lang="English"," Related Terminal Functions:",IF(Lang="中文"," 相關終端功能:","端末上関連機能:"))</f>
        <v xml:space="preserve"> Related Terminal Functions:</v>
      </c>
      <c r="S36" s="1025"/>
      <c r="T36" s="1025"/>
      <c r="U36" s="1025"/>
      <c r="V36" s="1025"/>
      <c r="W36" s="1025"/>
      <c r="X36" s="1025"/>
    </row>
    <row r="37" spans="2:24">
      <c r="B37" s="1025"/>
      <c r="C37" s="1025"/>
      <c r="D37" s="82" t="str">
        <f>IF(Lang="English","    Enter custom peer tickers for comparison and index calculations",IF(Lang="中文","    輸入自定義的同行代號進行分析和指數計算","　比較・指数計算用にカスタム同業ティッカーを入力"))</f>
        <v xml:space="preserve">    Enter custom peer tickers for comparison and index calculations</v>
      </c>
      <c r="S37" s="1025"/>
      <c r="T37" s="1025"/>
      <c r="U37" s="1025"/>
      <c r="V37" s="1025"/>
      <c r="W37" s="1025"/>
      <c r="X37" s="1025"/>
    </row>
    <row r="38" spans="2:24">
      <c r="B38" s="1025"/>
      <c r="C38" s="1025"/>
      <c r="S38" s="1025"/>
      <c r="T38" s="1025"/>
      <c r="U38" s="1025"/>
      <c r="V38" s="1025"/>
      <c r="W38" s="1025"/>
      <c r="X38" s="1025"/>
    </row>
    <row r="39" spans="2:24">
      <c r="B39" s="1025"/>
      <c r="C39" s="1025"/>
      <c r="S39" s="1025"/>
      <c r="T39" s="1025"/>
      <c r="U39" s="1025"/>
      <c r="V39" s="1025"/>
      <c r="W39" s="1025"/>
      <c r="X39" s="1025"/>
    </row>
    <row r="40" spans="2:24">
      <c r="B40" s="1025"/>
      <c r="C40" s="1025"/>
      <c r="S40" s="1025"/>
      <c r="T40" s="1025"/>
      <c r="U40" s="1025"/>
      <c r="V40" s="1025"/>
      <c r="W40" s="1025"/>
      <c r="X40" s="1025"/>
    </row>
    <row r="41" spans="2:24">
      <c r="B41" s="1025"/>
      <c r="C41" s="1025"/>
      <c r="D41" s="81" t="str">
        <f>IF(Lang="English","Choose ratio from drop-down to compare",IF(Lang="中文","從下拉選擇比例比較同行","Peers間での評価比率比較の為"))</f>
        <v>Choose ratio from drop-down to compare</v>
      </c>
      <c r="S41" s="1025"/>
      <c r="T41" s="1025"/>
      <c r="U41" s="1025"/>
      <c r="V41" s="1025"/>
      <c r="W41" s="1025"/>
      <c r="X41" s="1025"/>
    </row>
    <row r="42" spans="2:24">
      <c r="B42" s="1025"/>
      <c r="C42" s="1025"/>
      <c r="D42" s="82" t="str">
        <f>IF(Lang="English","    valuation ratios across peers",IF(Lang="中文","    之間的估值比率","　ドロップダウンより比較項目を選択"))</f>
        <v xml:space="preserve">    valuation ratios across peers</v>
      </c>
      <c r="S42" s="1025"/>
      <c r="T42" s="1025"/>
      <c r="U42" s="1025"/>
      <c r="V42" s="1025"/>
      <c r="W42" s="1025"/>
      <c r="X42" s="1025"/>
    </row>
    <row r="43" spans="2:24">
      <c r="B43" s="1025"/>
      <c r="C43" s="1025"/>
      <c r="S43" s="1025"/>
      <c r="T43" s="1025"/>
      <c r="U43" s="1025"/>
      <c r="V43" s="1025"/>
      <c r="W43" s="1025"/>
      <c r="X43" s="1025"/>
    </row>
    <row r="44" spans="2:24">
      <c r="B44" s="1025"/>
      <c r="C44" s="1025"/>
      <c r="S44" s="1025"/>
      <c r="T44" s="1025"/>
      <c r="U44" s="1025"/>
      <c r="V44" s="1025"/>
      <c r="W44" s="1025"/>
      <c r="X44" s="1025"/>
    </row>
    <row r="45" spans="2:24">
      <c r="B45" s="1025"/>
      <c r="C45" s="1025"/>
      <c r="S45" s="1025"/>
      <c r="T45" s="1025"/>
      <c r="U45" s="1025"/>
      <c r="V45" s="1025"/>
      <c r="W45" s="1025"/>
      <c r="X45" s="1025"/>
    </row>
    <row r="46" spans="2:24">
      <c r="B46" s="1025"/>
      <c r="C46" s="1025"/>
      <c r="S46" s="1025"/>
      <c r="T46" s="1025"/>
      <c r="U46" s="1025"/>
      <c r="V46" s="1025"/>
      <c r="W46" s="1025"/>
      <c r="X46" s="1025"/>
    </row>
    <row r="47" spans="2:24">
      <c r="B47" s="1025"/>
      <c r="C47" s="1025"/>
      <c r="S47" s="1025"/>
      <c r="T47" s="1025"/>
      <c r="U47" s="1025"/>
      <c r="V47" s="1025"/>
      <c r="W47" s="1025"/>
      <c r="X47" s="1025"/>
    </row>
    <row r="48" spans="2:24">
      <c r="B48" s="1025"/>
      <c r="C48" s="1025"/>
      <c r="S48" s="1025"/>
      <c r="T48" s="1025"/>
      <c r="U48" s="1025"/>
      <c r="V48" s="1025"/>
      <c r="W48" s="1025"/>
      <c r="X48" s="1025"/>
    </row>
    <row r="49" spans="2:24">
      <c r="B49" s="1025"/>
      <c r="C49" s="1025"/>
      <c r="S49" s="1025"/>
      <c r="T49" s="1025"/>
      <c r="U49" s="1025"/>
      <c r="V49" s="1025"/>
      <c r="W49" s="1025"/>
      <c r="X49" s="1025"/>
    </row>
    <row r="50" spans="2:24">
      <c r="B50" s="1025"/>
      <c r="C50" s="1025"/>
      <c r="S50" s="1025"/>
      <c r="T50" s="1025"/>
      <c r="U50" s="1025"/>
      <c r="V50" s="1025"/>
      <c r="W50" s="1025"/>
      <c r="X50" s="1025"/>
    </row>
    <row r="51" spans="2:24">
      <c r="B51" s="1025"/>
      <c r="C51" s="1025"/>
      <c r="S51" s="1025"/>
      <c r="T51" s="1025"/>
      <c r="U51" s="1025"/>
      <c r="V51" s="1025"/>
      <c r="W51" s="1025"/>
      <c r="X51" s="1025"/>
    </row>
    <row r="52" spans="2:24">
      <c r="B52" s="1025"/>
      <c r="C52" s="1025"/>
      <c r="D52" s="83" t="s">
        <v>675</v>
      </c>
      <c r="S52" s="1025"/>
      <c r="T52" s="1025"/>
      <c r="U52" s="1025"/>
      <c r="V52" s="1025"/>
      <c r="W52" s="1025"/>
      <c r="X52" s="1025"/>
    </row>
    <row r="53" spans="2:24">
      <c r="B53" s="1025"/>
      <c r="C53" s="1025"/>
      <c r="S53" s="1025"/>
      <c r="T53" s="1025"/>
      <c r="U53" s="1025"/>
      <c r="V53" s="1025"/>
      <c r="W53" s="1025"/>
      <c r="X53" s="1025"/>
    </row>
    <row r="54" spans="2:24" ht="19.5" customHeight="1">
      <c r="B54" s="1025"/>
      <c r="C54" s="1025"/>
      <c r="D54" s="1030" t="str">
        <f>IF(Lang="English","Indices Tab",IF(Lang="中文","Indices 標籤","Indices タブ"))</f>
        <v>Indices Tab</v>
      </c>
      <c r="E54" s="1031"/>
      <c r="F54" s="1031"/>
      <c r="G54" s="1031"/>
      <c r="H54" s="1031"/>
      <c r="I54" s="1031"/>
      <c r="J54" s="1031"/>
      <c r="K54" s="1031"/>
      <c r="L54" s="1031"/>
      <c r="M54" s="1031"/>
      <c r="N54" s="1031"/>
      <c r="O54" s="1031"/>
      <c r="P54" s="1031"/>
      <c r="Q54" s="1031"/>
      <c r="R54" s="1032"/>
      <c r="S54" s="1025"/>
      <c r="T54" s="1025"/>
      <c r="U54" s="1025"/>
      <c r="V54" s="1025"/>
      <c r="W54" s="1025"/>
      <c r="X54" s="1025"/>
    </row>
    <row r="55" spans="2:24">
      <c r="B55" s="1025"/>
      <c r="C55" s="1025"/>
      <c r="D55" s="53"/>
      <c r="S55" s="1025"/>
      <c r="T55" s="1025"/>
      <c r="U55" s="1025"/>
      <c r="V55" s="1025"/>
      <c r="W55" s="1025"/>
      <c r="X55" s="1025"/>
    </row>
    <row r="56" spans="2:24">
      <c r="B56" s="1025"/>
      <c r="C56" s="1025"/>
      <c r="D56" s="81" t="str">
        <f>IF(Lang="English","Press button to calculate peer index",IF(Lang="中文","按下按鈕計算同行指數","ボタンを押して同業インデックス計算 "))</f>
        <v>Press button to calculate peer index</v>
      </c>
      <c r="M56" s="82" t="str">
        <f>IF(Lang="English"," Related Terminal Functions:",IF(Lang="中文"," 相關終端功能:","端末上関連機能:"))</f>
        <v xml:space="preserve"> Related Terminal Functions:</v>
      </c>
      <c r="S56" s="1025"/>
      <c r="T56" s="1025"/>
      <c r="U56" s="1025"/>
      <c r="V56" s="1025"/>
      <c r="W56" s="1025"/>
      <c r="X56" s="1025"/>
    </row>
    <row r="57" spans="2:24">
      <c r="B57" s="1025"/>
      <c r="C57" s="1025"/>
      <c r="D57" s="53"/>
      <c r="S57" s="1025"/>
      <c r="T57" s="1025"/>
      <c r="U57" s="1025"/>
      <c r="V57" s="1025"/>
      <c r="W57" s="1025"/>
      <c r="X57" s="1025"/>
    </row>
    <row r="58" spans="2:24">
      <c r="B58" s="1025"/>
      <c r="C58" s="1025"/>
      <c r="S58" s="1025"/>
      <c r="T58" s="1025"/>
      <c r="U58" s="1025"/>
      <c r="V58" s="1025"/>
      <c r="W58" s="1025"/>
      <c r="X58" s="1025"/>
    </row>
    <row r="59" spans="2:24">
      <c r="B59" s="1025"/>
      <c r="C59" s="1025"/>
      <c r="S59" s="1025"/>
      <c r="T59" s="1025"/>
      <c r="U59" s="1025"/>
      <c r="V59" s="1025"/>
      <c r="W59" s="1025"/>
      <c r="X59" s="1025"/>
    </row>
    <row r="60" spans="2:24">
      <c r="B60" s="1025"/>
      <c r="C60" s="1025"/>
      <c r="S60" s="1025"/>
      <c r="T60" s="1025"/>
      <c r="U60" s="1025"/>
      <c r="V60" s="1025"/>
      <c r="W60" s="1025"/>
      <c r="X60" s="1025"/>
    </row>
    <row r="61" spans="2:24">
      <c r="B61" s="1025"/>
      <c r="C61" s="1025"/>
      <c r="D61" s="53"/>
      <c r="S61" s="1025"/>
      <c r="T61" s="1025"/>
      <c r="U61" s="1025"/>
      <c r="V61" s="1025"/>
      <c r="W61" s="1025"/>
      <c r="X61" s="1025"/>
    </row>
    <row r="62" spans="2:24">
      <c r="B62" s="1025"/>
      <c r="C62" s="1025"/>
      <c r="D62" s="81" t="str">
        <f>IF(Lang="English","Specify start and end dates",IF(Lang="中文","指定開始和結束日期","開始日と終了日を選択"))</f>
        <v>Specify start and end dates</v>
      </c>
      <c r="S62" s="1025"/>
      <c r="T62" s="1025"/>
      <c r="U62" s="1025"/>
      <c r="V62" s="1025"/>
      <c r="W62" s="1025"/>
      <c r="X62" s="1025"/>
    </row>
    <row r="63" spans="2:24">
      <c r="B63" s="1025"/>
      <c r="C63" s="1025"/>
      <c r="S63" s="1025"/>
      <c r="T63" s="1025"/>
      <c r="U63" s="1025"/>
      <c r="V63" s="1025"/>
      <c r="W63" s="1025"/>
      <c r="X63" s="1025"/>
    </row>
    <row r="64" spans="2:24">
      <c r="B64" s="1025"/>
      <c r="C64" s="1025"/>
      <c r="D64" s="53"/>
      <c r="S64" s="1025"/>
      <c r="T64" s="1025"/>
      <c r="U64" s="1025"/>
      <c r="V64" s="1025"/>
      <c r="W64" s="1025"/>
      <c r="X64" s="1025"/>
    </row>
    <row r="65" spans="2:24">
      <c r="B65" s="1025"/>
      <c r="C65" s="1025"/>
      <c r="S65" s="1025"/>
      <c r="T65" s="1025"/>
      <c r="U65" s="1025"/>
      <c r="V65" s="1025"/>
      <c r="W65" s="1025"/>
      <c r="X65" s="1025"/>
    </row>
    <row r="66" spans="2:24">
      <c r="B66" s="1025"/>
      <c r="C66" s="1025"/>
      <c r="S66" s="1025"/>
      <c r="T66" s="1025"/>
      <c r="U66" s="1025"/>
      <c r="V66" s="1025"/>
      <c r="W66" s="1025"/>
      <c r="X66" s="1025"/>
    </row>
    <row r="67" spans="2:24">
      <c r="B67" s="1025"/>
      <c r="C67" s="1025"/>
      <c r="S67" s="1025"/>
      <c r="T67" s="1025"/>
      <c r="U67" s="1025"/>
      <c r="V67" s="1025"/>
      <c r="W67" s="1025"/>
      <c r="X67" s="1025"/>
    </row>
    <row r="68" spans="2:24">
      <c r="B68" s="1025"/>
      <c r="C68" s="1025"/>
      <c r="D68" s="53"/>
      <c r="S68" s="1025"/>
      <c r="T68" s="1025"/>
      <c r="U68" s="1025"/>
      <c r="V68" s="1025"/>
      <c r="W68" s="1025"/>
      <c r="X68" s="1025"/>
    </row>
    <row r="69" spans="2:24">
      <c r="B69" s="1025"/>
      <c r="C69" s="1025"/>
      <c r="D69" s="81" t="str">
        <f>IF(Lang="English","Specify index preference (equal weighted",IF(Lang="中文","指定指數類型 (平等加權指數,","均等加重・時価総額加重より"))</f>
        <v>Specify index preference (equal weighted</v>
      </c>
      <c r="S69" s="1025"/>
      <c r="T69" s="1025"/>
      <c r="U69" s="1025"/>
      <c r="V69" s="1025"/>
      <c r="W69" s="1025"/>
      <c r="X69" s="1025"/>
    </row>
    <row r="70" spans="2:24">
      <c r="B70" s="1025"/>
      <c r="C70" s="1025"/>
      <c r="D70" s="82" t="str">
        <f>IF(Lang="English","    or market capitalization weighted)",IF(Lang="中文","    或市值加權)"," 　同業インデックスタイプ選択"))</f>
        <v xml:space="preserve">    or market capitalization weighted)</v>
      </c>
      <c r="S70" s="1025"/>
      <c r="T70" s="1025"/>
      <c r="U70" s="1025"/>
      <c r="V70" s="1025"/>
      <c r="W70" s="1025"/>
      <c r="X70" s="1025"/>
    </row>
    <row r="71" spans="2:24">
      <c r="B71" s="1025"/>
      <c r="C71" s="1025"/>
      <c r="D71" s="53"/>
      <c r="S71" s="1025"/>
      <c r="T71" s="1025"/>
      <c r="U71" s="1025"/>
      <c r="V71" s="1025"/>
      <c r="W71" s="1025"/>
      <c r="X71" s="1025"/>
    </row>
    <row r="72" spans="2:24">
      <c r="B72" s="1025"/>
      <c r="C72" s="1025"/>
      <c r="D72" s="84" t="s">
        <v>675</v>
      </c>
      <c r="S72" s="1025"/>
      <c r="T72" s="1025"/>
      <c r="U72" s="1025"/>
      <c r="V72" s="1025"/>
      <c r="W72" s="1025"/>
      <c r="X72" s="1025"/>
    </row>
    <row r="73" spans="2:24">
      <c r="B73" s="1025"/>
      <c r="C73" s="1025"/>
      <c r="S73" s="1025"/>
      <c r="T73" s="1025"/>
      <c r="U73" s="1025"/>
      <c r="V73" s="1025"/>
      <c r="W73" s="1025"/>
      <c r="X73" s="1025"/>
    </row>
    <row r="74" spans="2:24" ht="21" customHeight="1">
      <c r="B74" s="1025"/>
      <c r="C74" s="1025"/>
      <c r="D74" s="1030" t="str">
        <f>IF(Lang="English","Financials Tab",IF(Lang="中文","Financials 標籤","Financials タブ"))</f>
        <v>Financials Tab</v>
      </c>
      <c r="E74" s="1031"/>
      <c r="F74" s="1031"/>
      <c r="G74" s="1031"/>
      <c r="H74" s="1031"/>
      <c r="I74" s="1031"/>
      <c r="J74" s="1031"/>
      <c r="K74" s="1031"/>
      <c r="L74" s="1031"/>
      <c r="M74" s="1031"/>
      <c r="N74" s="1031"/>
      <c r="O74" s="1031"/>
      <c r="P74" s="1031"/>
      <c r="Q74" s="1031"/>
      <c r="R74" s="1032"/>
      <c r="S74" s="1025"/>
      <c r="T74" s="1025"/>
      <c r="U74" s="1025"/>
      <c r="V74" s="1025"/>
      <c r="W74" s="1025"/>
      <c r="X74" s="1025"/>
    </row>
    <row r="75" spans="2:24">
      <c r="B75" s="1025"/>
      <c r="C75" s="1025"/>
      <c r="S75" s="1025"/>
      <c r="T75" s="1025"/>
      <c r="U75" s="1025"/>
      <c r="V75" s="1025"/>
      <c r="W75" s="1025"/>
      <c r="X75" s="1025"/>
    </row>
    <row r="76" spans="2:24">
      <c r="B76" s="1025"/>
      <c r="C76" s="1025"/>
      <c r="D76" s="81" t="str">
        <f>IF(Lang="English","Choose from drop-down to specify",IF(Lang="中文","從下拉選擇指定","ドロップダウンより周期を選択"))</f>
        <v>Choose from drop-down to specify</v>
      </c>
      <c r="M76" s="82" t="str">
        <f>IF(Lang="English"," Related Terminal Functions:",IF(Lang="中文"," 相關終端功能:","端末上関連機能:"))</f>
        <v xml:space="preserve"> Related Terminal Functions:</v>
      </c>
      <c r="S76" s="1025"/>
      <c r="T76" s="1025"/>
      <c r="U76" s="1025"/>
      <c r="V76" s="1025"/>
      <c r="W76" s="1025"/>
      <c r="X76" s="1025"/>
    </row>
    <row r="77" spans="2:24">
      <c r="B77" s="1025"/>
      <c r="C77" s="1025"/>
      <c r="D77" s="82" t="str">
        <f>IF(Lang="English","    desired periodicity",IF(Lang="中文","    所需的週期",""))</f>
        <v xml:space="preserve">    desired periodicity</v>
      </c>
      <c r="S77" s="1025"/>
      <c r="T77" s="1025"/>
      <c r="U77" s="1025"/>
      <c r="V77" s="1025"/>
      <c r="W77" s="1025"/>
      <c r="X77" s="1025"/>
    </row>
    <row r="78" spans="2:24">
      <c r="B78" s="1025"/>
      <c r="C78" s="1025"/>
      <c r="D78" s="53"/>
      <c r="S78" s="1025"/>
      <c r="T78" s="1025"/>
      <c r="U78" s="1025"/>
      <c r="V78" s="1025"/>
      <c r="W78" s="1025"/>
      <c r="X78" s="1025"/>
    </row>
    <row r="79" spans="2:24">
      <c r="B79" s="1025"/>
      <c r="C79" s="1025"/>
      <c r="D79" s="54"/>
      <c r="S79" s="1025"/>
      <c r="T79" s="1025"/>
      <c r="U79" s="1025"/>
      <c r="V79" s="1025"/>
      <c r="W79" s="1025"/>
      <c r="X79" s="1025"/>
    </row>
    <row r="80" spans="2:24">
      <c r="B80" s="1025"/>
      <c r="C80" s="1025"/>
      <c r="D80" s="53"/>
      <c r="S80" s="1025"/>
      <c r="T80" s="1025"/>
      <c r="U80" s="1025"/>
      <c r="V80" s="1025"/>
      <c r="W80" s="1025"/>
      <c r="X80" s="1025"/>
    </row>
    <row r="81" spans="2:24">
      <c r="B81" s="1025"/>
      <c r="C81" s="1025"/>
      <c r="D81" s="54"/>
      <c r="S81" s="1025"/>
      <c r="T81" s="1025"/>
      <c r="U81" s="1025"/>
      <c r="V81" s="1025"/>
      <c r="W81" s="1025"/>
      <c r="X81" s="1025"/>
    </row>
    <row r="82" spans="2:24">
      <c r="B82" s="1025"/>
      <c r="C82" s="1025"/>
      <c r="S82" s="1025"/>
      <c r="T82" s="1025"/>
      <c r="U82" s="1025"/>
      <c r="V82" s="1025"/>
      <c r="W82" s="1025"/>
      <c r="X82" s="1025"/>
    </row>
    <row r="83" spans="2:24">
      <c r="B83" s="1025"/>
      <c r="C83" s="1025"/>
      <c r="S83" s="1025"/>
      <c r="T83" s="1025"/>
      <c r="U83" s="1025"/>
      <c r="V83" s="1025"/>
      <c r="W83" s="1025"/>
      <c r="X83" s="1025"/>
    </row>
    <row r="84" spans="2:24">
      <c r="B84" s="1025"/>
      <c r="C84" s="1025"/>
      <c r="S84" s="1025"/>
      <c r="T84" s="1025"/>
      <c r="U84" s="1025"/>
      <c r="V84" s="1025"/>
      <c r="W84" s="1025"/>
      <c r="X84" s="1025"/>
    </row>
    <row r="85" spans="2:24">
      <c r="B85" s="1025"/>
      <c r="C85" s="1025"/>
      <c r="S85" s="1025"/>
      <c r="T85" s="1025"/>
      <c r="U85" s="1025"/>
      <c r="V85" s="1025"/>
      <c r="W85" s="1025"/>
      <c r="X85" s="1025"/>
    </row>
    <row r="86" spans="2:24">
      <c r="B86" s="1025"/>
      <c r="C86" s="1025"/>
      <c r="S86" s="1025"/>
      <c r="T86" s="1025"/>
      <c r="U86" s="1025"/>
      <c r="V86" s="1025"/>
      <c r="W86" s="1025"/>
      <c r="X86" s="1025"/>
    </row>
    <row r="87" spans="2:24">
      <c r="B87" s="1025"/>
      <c r="C87" s="1025"/>
      <c r="S87" s="1025"/>
      <c r="T87" s="1025"/>
      <c r="U87" s="1025"/>
      <c r="V87" s="1025"/>
      <c r="W87" s="1025"/>
      <c r="X87" s="1025"/>
    </row>
    <row r="88" spans="2:24">
      <c r="B88" s="1025"/>
      <c r="C88" s="1025"/>
      <c r="S88" s="1025"/>
      <c r="T88" s="1025"/>
      <c r="U88" s="1025"/>
      <c r="V88" s="1025"/>
      <c r="W88" s="1025"/>
      <c r="X88" s="1025"/>
    </row>
    <row r="89" spans="2:24">
      <c r="B89" s="1025"/>
      <c r="C89" s="1025"/>
      <c r="S89" s="1025"/>
      <c r="T89" s="1025"/>
      <c r="U89" s="1025"/>
      <c r="V89" s="1025"/>
      <c r="W89" s="1025"/>
      <c r="X89" s="1025"/>
    </row>
    <row r="90" spans="2:24">
      <c r="B90" s="1025"/>
      <c r="C90" s="1025"/>
      <c r="S90" s="1025"/>
      <c r="T90" s="1025"/>
      <c r="U90" s="1025"/>
      <c r="V90" s="1025"/>
      <c r="W90" s="1025"/>
      <c r="X90" s="1025"/>
    </row>
    <row r="91" spans="2:24">
      <c r="B91" s="1025"/>
      <c r="C91" s="1025"/>
      <c r="S91" s="1025"/>
      <c r="T91" s="1025"/>
      <c r="U91" s="1025"/>
      <c r="V91" s="1025"/>
      <c r="W91" s="1025"/>
      <c r="X91" s="1025"/>
    </row>
    <row r="92" spans="2:24">
      <c r="B92" s="1025"/>
      <c r="C92" s="1025"/>
      <c r="D92" s="83" t="s">
        <v>675</v>
      </c>
      <c r="S92" s="1025"/>
      <c r="T92" s="1025"/>
      <c r="U92" s="1025"/>
      <c r="V92" s="1025"/>
      <c r="W92" s="1025"/>
      <c r="X92" s="1025"/>
    </row>
    <row r="93" spans="2:24">
      <c r="B93" s="1025"/>
      <c r="C93" s="1025"/>
      <c r="S93" s="1025"/>
      <c r="T93" s="1025"/>
      <c r="U93" s="1025"/>
      <c r="V93" s="1025"/>
      <c r="W93" s="1025"/>
      <c r="X93" s="1025"/>
    </row>
    <row r="94" spans="2:24" ht="19.5" customHeight="1">
      <c r="B94" s="1025"/>
      <c r="C94" s="1025"/>
      <c r="D94" s="1030" t="str">
        <f>IF(Lang="English","Ratings Tab",IF(Lang="中文","Ratings 標籤","Ratings タブ"))</f>
        <v>Ratings Tab</v>
      </c>
      <c r="E94" s="1031"/>
      <c r="F94" s="1031"/>
      <c r="G94" s="1031"/>
      <c r="H94" s="1031"/>
      <c r="I94" s="1031"/>
      <c r="J94" s="1031"/>
      <c r="K94" s="1031"/>
      <c r="L94" s="1031"/>
      <c r="M94" s="1031"/>
      <c r="N94" s="1031"/>
      <c r="O94" s="1031"/>
      <c r="P94" s="1031"/>
      <c r="Q94" s="1031"/>
      <c r="R94" s="1032"/>
      <c r="S94" s="1025"/>
      <c r="T94" s="1025"/>
      <c r="U94" s="1025"/>
      <c r="V94" s="1025"/>
      <c r="W94" s="1025"/>
      <c r="X94" s="1025"/>
    </row>
    <row r="95" spans="2:24">
      <c r="B95" s="1025"/>
      <c r="C95" s="1025"/>
      <c r="D95" s="53"/>
      <c r="S95" s="1025"/>
      <c r="T95" s="1025"/>
      <c r="U95" s="1025"/>
      <c r="V95" s="1025"/>
      <c r="W95" s="1025"/>
      <c r="X95" s="1025"/>
    </row>
    <row r="96" spans="2:24">
      <c r="B96" s="1025"/>
      <c r="C96" s="1025"/>
      <c r="D96" s="53" t="str">
        <f>IF(Lang="English","Analyst recommendations, ratings and target price information",IF(Lang="中文","分析師建議，評級和目標價格信息","アナリスト推奨、格付けとターゲットプライス"))</f>
        <v>Analyst recommendations, ratings and target price information</v>
      </c>
      <c r="M96" s="82" t="str">
        <f>IF(Lang="English"," Related Terminal Functions:",IF(Lang="中文"," 相關終端功能:","端末上関連機能:"))</f>
        <v xml:space="preserve"> Related Terminal Functions:</v>
      </c>
      <c r="S96" s="1025"/>
      <c r="T96" s="1025"/>
      <c r="U96" s="1025"/>
      <c r="V96" s="1025"/>
      <c r="W96" s="1025"/>
      <c r="X96" s="1025"/>
    </row>
    <row r="97" spans="2:24">
      <c r="B97" s="1025"/>
      <c r="C97" s="1025"/>
      <c r="D97" s="54" t="str">
        <f>IF(Lang="English","    Specify ticker in ""Overview"" tab to change security",IF(Lang="中文","  在""Overview""標籤改變指定的股票","    ティッカーを変更する場合は""Overview"" タブにて行ってください。"))</f>
        <v xml:space="preserve">    Specify ticker in "Overview" tab to change security</v>
      </c>
      <c r="S97" s="1025"/>
      <c r="T97" s="1025"/>
      <c r="U97" s="1025"/>
      <c r="V97" s="1025"/>
      <c r="W97" s="1025"/>
      <c r="X97" s="1025"/>
    </row>
    <row r="98" spans="2:24">
      <c r="B98" s="1025"/>
      <c r="C98" s="1025"/>
      <c r="D98" s="53"/>
      <c r="S98" s="1025"/>
      <c r="T98" s="1025"/>
      <c r="U98" s="1025"/>
      <c r="V98" s="1025"/>
      <c r="W98" s="1025"/>
      <c r="X98" s="1025"/>
    </row>
    <row r="99" spans="2:24">
      <c r="B99" s="1025"/>
      <c r="C99" s="1025"/>
      <c r="D99" s="54"/>
      <c r="S99" s="1025"/>
      <c r="T99" s="1025"/>
      <c r="U99" s="1025"/>
      <c r="V99" s="1025"/>
      <c r="W99" s="1025"/>
      <c r="X99" s="1025"/>
    </row>
    <row r="100" spans="2:24">
      <c r="B100" s="1025"/>
      <c r="C100" s="1025"/>
      <c r="S100" s="1025"/>
      <c r="T100" s="1025"/>
      <c r="U100" s="1025"/>
      <c r="V100" s="1025"/>
      <c r="W100" s="1025"/>
      <c r="X100" s="1025"/>
    </row>
    <row r="101" spans="2:24">
      <c r="B101" s="1025"/>
      <c r="C101" s="1025"/>
      <c r="S101" s="1025"/>
      <c r="T101" s="1025"/>
      <c r="U101" s="1025"/>
      <c r="V101" s="1025"/>
      <c r="W101" s="1025"/>
      <c r="X101" s="1025"/>
    </row>
    <row r="102" spans="2:24">
      <c r="B102" s="1025"/>
      <c r="C102" s="1025"/>
      <c r="S102" s="1025"/>
      <c r="T102" s="1025"/>
      <c r="U102" s="1025"/>
      <c r="V102" s="1025"/>
      <c r="W102" s="1025"/>
      <c r="X102" s="1025"/>
    </row>
    <row r="103" spans="2:24">
      <c r="B103" s="1025"/>
      <c r="C103" s="1025"/>
      <c r="S103" s="1025"/>
      <c r="T103" s="1025"/>
      <c r="U103" s="1025"/>
      <c r="V103" s="1025"/>
      <c r="W103" s="1025"/>
      <c r="X103" s="1025"/>
    </row>
    <row r="104" spans="2:24">
      <c r="B104" s="1025"/>
      <c r="C104" s="1025"/>
      <c r="S104" s="1025"/>
      <c r="T104" s="1025"/>
      <c r="U104" s="1025"/>
      <c r="V104" s="1025"/>
      <c r="W104" s="1025"/>
      <c r="X104" s="1025"/>
    </row>
    <row r="105" spans="2:24">
      <c r="B105" s="1025"/>
      <c r="C105" s="1025"/>
      <c r="S105" s="1025"/>
      <c r="T105" s="1025"/>
      <c r="U105" s="1025"/>
      <c r="V105" s="1025"/>
      <c r="W105" s="1025"/>
      <c r="X105" s="1025"/>
    </row>
    <row r="106" spans="2:24">
      <c r="B106" s="1025"/>
      <c r="C106" s="1025"/>
      <c r="S106" s="1025"/>
      <c r="T106" s="1025"/>
      <c r="U106" s="1025"/>
      <c r="V106" s="1025"/>
      <c r="W106" s="1025"/>
      <c r="X106" s="1025"/>
    </row>
    <row r="107" spans="2:24">
      <c r="B107" s="1025"/>
      <c r="C107" s="1025"/>
      <c r="S107" s="1025"/>
      <c r="T107" s="1025"/>
      <c r="U107" s="1025"/>
      <c r="V107" s="1025"/>
      <c r="W107" s="1025"/>
      <c r="X107" s="1025"/>
    </row>
    <row r="108" spans="2:24">
      <c r="B108" s="1025"/>
      <c r="C108" s="1025"/>
      <c r="S108" s="1025"/>
      <c r="T108" s="1025"/>
      <c r="U108" s="1025"/>
      <c r="V108" s="1025"/>
      <c r="W108" s="1025"/>
      <c r="X108" s="1025"/>
    </row>
    <row r="109" spans="2:24">
      <c r="B109" s="1025"/>
      <c r="C109" s="1025"/>
      <c r="S109" s="1025"/>
      <c r="T109" s="1025"/>
      <c r="U109" s="1025"/>
      <c r="V109" s="1025"/>
      <c r="W109" s="1025"/>
      <c r="X109" s="1025"/>
    </row>
    <row r="110" spans="2:24">
      <c r="B110" s="1025"/>
      <c r="C110" s="1025"/>
      <c r="S110" s="1025"/>
      <c r="T110" s="1025"/>
      <c r="U110" s="1025"/>
      <c r="V110" s="1025"/>
      <c r="W110" s="1025"/>
      <c r="X110" s="1025"/>
    </row>
    <row r="111" spans="2:24">
      <c r="B111" s="1025"/>
      <c r="C111" s="1025"/>
      <c r="S111" s="1025"/>
      <c r="T111" s="1025"/>
      <c r="U111" s="1025"/>
      <c r="V111" s="1025"/>
      <c r="W111" s="1025"/>
      <c r="X111" s="1025"/>
    </row>
    <row r="112" spans="2:24">
      <c r="B112" s="1025"/>
      <c r="C112" s="1025"/>
      <c r="D112" s="83" t="s">
        <v>675</v>
      </c>
      <c r="S112" s="1025"/>
      <c r="T112" s="1025"/>
      <c r="U112" s="1025"/>
      <c r="V112" s="1025"/>
      <c r="W112" s="1025"/>
      <c r="X112" s="1025"/>
    </row>
    <row r="113" spans="2:24">
      <c r="B113" s="1025"/>
      <c r="C113" s="1025"/>
      <c r="D113" s="54"/>
      <c r="S113" s="1025"/>
      <c r="T113" s="1025"/>
      <c r="U113" s="1025"/>
      <c r="V113" s="1025"/>
      <c r="W113" s="1025"/>
      <c r="X113" s="1025"/>
    </row>
    <row r="114" spans="2:24" ht="20.25" customHeight="1">
      <c r="B114" s="1025"/>
      <c r="C114" s="1025"/>
      <c r="D114" s="1030" t="str">
        <f>IF(Lang="English","EST Brokers Tab",IF(Lang="中文","EST Brokers 標籤","EST Brokersタブ"))</f>
        <v>EST Brokers Tab</v>
      </c>
      <c r="E114" s="1031"/>
      <c r="F114" s="1031"/>
      <c r="G114" s="1031"/>
      <c r="H114" s="1031"/>
      <c r="I114" s="1031"/>
      <c r="J114" s="1031"/>
      <c r="K114" s="1031"/>
      <c r="L114" s="1031"/>
      <c r="M114" s="1031"/>
      <c r="N114" s="1031"/>
      <c r="O114" s="1031"/>
      <c r="P114" s="1031"/>
      <c r="Q114" s="1031"/>
      <c r="R114" s="1032"/>
      <c r="S114" s="1025"/>
      <c r="T114" s="1025"/>
      <c r="U114" s="1025"/>
      <c r="V114" s="1025"/>
      <c r="W114" s="1025"/>
      <c r="X114" s="1025"/>
    </row>
    <row r="115" spans="2:24">
      <c r="B115" s="1025"/>
      <c r="C115" s="1025"/>
      <c r="S115" s="1025"/>
      <c r="T115" s="1025"/>
      <c r="U115" s="1025"/>
      <c r="V115" s="1025"/>
      <c r="W115" s="1025"/>
      <c r="X115" s="1025"/>
    </row>
    <row r="116" spans="2:24">
      <c r="B116" s="1025"/>
      <c r="C116" s="1025"/>
      <c r="D116" s="53" t="str">
        <f>IF(Lang="English","Estimates per line item for contributing brokers",IF(Lang="中文","指定經紀商預估項","行ごとにブローカーの予想を表示します。"))</f>
        <v>Estimates per line item for contributing brokers</v>
      </c>
      <c r="M116" s="82" t="str">
        <f>IF(Lang="English"," Related Terminal Functions:",IF(Lang="中文"," 相關終端功能:","端末上関連機能:"))</f>
        <v xml:space="preserve"> Related Terminal Functions:</v>
      </c>
      <c r="S116" s="1025"/>
      <c r="T116" s="1025"/>
      <c r="U116" s="1025"/>
      <c r="V116" s="1025"/>
      <c r="W116" s="1025"/>
      <c r="X116" s="1025"/>
    </row>
    <row r="117" spans="2:24">
      <c r="B117" s="1025"/>
      <c r="C117" s="1025"/>
      <c r="D117" s="54" t="str">
        <f>IF(Lang="English","    Choose desired line items from drop-down",IF(Lang="中文","    從下拉選擇所需的項目","    ドロップダウンより項目を選択"))</f>
        <v xml:space="preserve">    Choose desired line items from drop-down</v>
      </c>
      <c r="S117" s="1025"/>
      <c r="T117" s="1025"/>
      <c r="U117" s="1025"/>
      <c r="V117" s="1025"/>
      <c r="W117" s="1025"/>
      <c r="X117" s="1025"/>
    </row>
    <row r="118" spans="2:24">
      <c r="B118" s="1025"/>
      <c r="C118" s="1025"/>
      <c r="S118" s="1025"/>
      <c r="T118" s="1025"/>
      <c r="U118" s="1025"/>
      <c r="V118" s="1025"/>
      <c r="W118" s="1025"/>
      <c r="X118" s="1025"/>
    </row>
    <row r="119" spans="2:24">
      <c r="B119" s="1025"/>
      <c r="C119" s="1025"/>
      <c r="S119" s="1025"/>
      <c r="T119" s="1025"/>
      <c r="U119" s="1025"/>
      <c r="V119" s="1025"/>
      <c r="W119" s="1025"/>
      <c r="X119" s="1025"/>
    </row>
    <row r="120" spans="2:24">
      <c r="B120" s="1025"/>
      <c r="C120" s="1025"/>
      <c r="S120" s="1025"/>
      <c r="T120" s="1025"/>
      <c r="U120" s="1025"/>
      <c r="V120" s="1025"/>
      <c r="W120" s="1025"/>
      <c r="X120" s="1025"/>
    </row>
    <row r="121" spans="2:24">
      <c r="B121" s="1025"/>
      <c r="C121" s="1025"/>
      <c r="S121" s="1025"/>
      <c r="T121" s="1025"/>
      <c r="U121" s="1025"/>
      <c r="V121" s="1025"/>
      <c r="W121" s="1025"/>
      <c r="X121" s="1025"/>
    </row>
    <row r="122" spans="2:24">
      <c r="B122" s="1025"/>
      <c r="C122" s="1025"/>
      <c r="S122" s="1025"/>
      <c r="T122" s="1025"/>
      <c r="U122" s="1025"/>
      <c r="V122" s="1025"/>
      <c r="W122" s="1025"/>
      <c r="X122" s="1025"/>
    </row>
    <row r="123" spans="2:24">
      <c r="B123" s="1025"/>
      <c r="C123" s="1025"/>
      <c r="S123" s="1025"/>
      <c r="T123" s="1025"/>
      <c r="U123" s="1025"/>
      <c r="V123" s="1025"/>
      <c r="W123" s="1025"/>
      <c r="X123" s="1025"/>
    </row>
    <row r="124" spans="2:24">
      <c r="B124" s="1025"/>
      <c r="C124" s="1025"/>
      <c r="S124" s="1025"/>
      <c r="T124" s="1025"/>
      <c r="U124" s="1025"/>
      <c r="V124" s="1025"/>
      <c r="W124" s="1025"/>
      <c r="X124" s="1025"/>
    </row>
    <row r="125" spans="2:24">
      <c r="B125" s="1025"/>
      <c r="C125" s="1025"/>
      <c r="S125" s="1025"/>
      <c r="T125" s="1025"/>
      <c r="U125" s="1025"/>
      <c r="V125" s="1025"/>
      <c r="W125" s="1025"/>
      <c r="X125" s="1025"/>
    </row>
    <row r="126" spans="2:24">
      <c r="B126" s="1025"/>
      <c r="C126" s="1025"/>
      <c r="S126" s="1025"/>
      <c r="T126" s="1025"/>
      <c r="U126" s="1025"/>
      <c r="V126" s="1025"/>
      <c r="W126" s="1025"/>
      <c r="X126" s="1025"/>
    </row>
    <row r="127" spans="2:24">
      <c r="B127" s="1025"/>
      <c r="C127" s="1025"/>
      <c r="S127" s="1025"/>
      <c r="T127" s="1025"/>
      <c r="U127" s="1025"/>
      <c r="V127" s="1025"/>
      <c r="W127" s="1025"/>
      <c r="X127" s="1025"/>
    </row>
    <row r="128" spans="2:24">
      <c r="B128" s="1025"/>
      <c r="C128" s="1025"/>
      <c r="S128" s="1025"/>
      <c r="T128" s="1025"/>
      <c r="U128" s="1025"/>
      <c r="V128" s="1025"/>
      <c r="W128" s="1025"/>
      <c r="X128" s="1025"/>
    </row>
    <row r="129" spans="2:24">
      <c r="B129" s="1025"/>
      <c r="C129" s="1025"/>
      <c r="S129" s="1025"/>
      <c r="T129" s="1025"/>
      <c r="U129" s="1025"/>
      <c r="V129" s="1025"/>
      <c r="W129" s="1025"/>
      <c r="X129" s="1025"/>
    </row>
    <row r="130" spans="2:24">
      <c r="B130" s="1025"/>
      <c r="C130" s="1025"/>
      <c r="S130" s="1025"/>
      <c r="T130" s="1025"/>
      <c r="U130" s="1025"/>
      <c r="V130" s="1025"/>
      <c r="W130" s="1025"/>
      <c r="X130" s="1025"/>
    </row>
    <row r="131" spans="2:24">
      <c r="B131" s="1025"/>
      <c r="C131" s="1025"/>
      <c r="S131" s="1025"/>
      <c r="T131" s="1025"/>
      <c r="U131" s="1025"/>
      <c r="V131" s="1025"/>
      <c r="W131" s="1025"/>
      <c r="X131" s="1025"/>
    </row>
    <row r="132" spans="2:24">
      <c r="B132" s="1025"/>
      <c r="C132" s="1025"/>
      <c r="D132" s="83" t="s">
        <v>675</v>
      </c>
      <c r="S132" s="1025"/>
      <c r="T132" s="1025"/>
      <c r="U132" s="1025"/>
      <c r="V132" s="1025"/>
      <c r="W132" s="1025"/>
      <c r="X132" s="1025"/>
    </row>
    <row r="133" spans="2:24">
      <c r="B133" s="1025"/>
      <c r="C133" s="1025"/>
      <c r="D133" s="53"/>
      <c r="S133" s="1025"/>
      <c r="T133" s="1025"/>
      <c r="U133" s="1025"/>
      <c r="V133" s="1025"/>
      <c r="W133" s="1025"/>
      <c r="X133" s="1025"/>
    </row>
    <row r="134" spans="2:24" ht="19.5" customHeight="1">
      <c r="B134" s="1025"/>
      <c r="C134" s="1025"/>
      <c r="D134" s="1030" t="str">
        <f>IF(Lang="English","EST Detail Tab",IF(Lang="中文","EST Detail 標籤","EST Detail タブ"))</f>
        <v>EST Detail Tab</v>
      </c>
      <c r="E134" s="1031"/>
      <c r="F134" s="1031"/>
      <c r="G134" s="1031"/>
      <c r="H134" s="1031"/>
      <c r="I134" s="1031"/>
      <c r="J134" s="1031"/>
      <c r="K134" s="1031"/>
      <c r="L134" s="1031"/>
      <c r="M134" s="1031"/>
      <c r="N134" s="1031"/>
      <c r="O134" s="1031"/>
      <c r="P134" s="1031"/>
      <c r="Q134" s="1031"/>
      <c r="R134" s="1032"/>
      <c r="S134" s="1025"/>
      <c r="T134" s="1025"/>
      <c r="U134" s="1025"/>
      <c r="V134" s="1025"/>
      <c r="W134" s="1025"/>
      <c r="X134" s="1025"/>
    </row>
    <row r="135" spans="2:24">
      <c r="B135" s="1025"/>
      <c r="C135" s="1025"/>
      <c r="S135" s="1025"/>
      <c r="T135" s="1025"/>
      <c r="U135" s="1025"/>
      <c r="V135" s="1025"/>
      <c r="W135" s="1025"/>
      <c r="X135" s="1025"/>
    </row>
    <row r="136" spans="2:24">
      <c r="B136" s="1025"/>
      <c r="C136" s="1025"/>
      <c r="D136" s="81" t="str">
        <f>IF(Lang="English","Estimates per broker for contributed line items",IF(Lang="中文","選擇預估項經紀商","コラム別にブローカー予想を表示します。"))</f>
        <v>Estimates per broker for contributed line items</v>
      </c>
      <c r="M136" s="82" t="str">
        <f>IF(Lang="English"," Related Terminal Functions:",IF(Lang="中文"," 相關終端功能:","端末上関連機能:"))</f>
        <v xml:space="preserve"> Related Terminal Functions:</v>
      </c>
      <c r="S136" s="1025"/>
      <c r="T136" s="1025"/>
      <c r="U136" s="1025"/>
      <c r="V136" s="1025"/>
      <c r="W136" s="1025"/>
      <c r="X136" s="1025"/>
    </row>
    <row r="137" spans="2:24">
      <c r="B137" s="1025"/>
      <c r="C137" s="1025"/>
      <c r="D137" s="82" t="str">
        <f>IF(Lang="English","    Choose desired line items from drop-down",IF(Lang="中文","    從下拉選擇所需的項目","    ドロップダウンよりブローカーを選択"))</f>
        <v xml:space="preserve">    Choose desired line items from drop-down</v>
      </c>
      <c r="S137" s="1025"/>
      <c r="T137" s="1025"/>
      <c r="U137" s="1025"/>
      <c r="V137" s="1025"/>
      <c r="W137" s="1025"/>
      <c r="X137" s="1025"/>
    </row>
    <row r="138" spans="2:24">
      <c r="B138" s="1025"/>
      <c r="C138" s="1025"/>
      <c r="D138" s="54"/>
      <c r="S138" s="1025"/>
      <c r="T138" s="1025"/>
      <c r="U138" s="1025"/>
      <c r="V138" s="1025"/>
      <c r="W138" s="1025"/>
      <c r="X138" s="1025"/>
    </row>
    <row r="139" spans="2:24">
      <c r="B139" s="1025"/>
      <c r="C139" s="1025"/>
      <c r="S139" s="1025"/>
      <c r="T139" s="1025"/>
      <c r="U139" s="1025"/>
      <c r="V139" s="1025"/>
      <c r="W139" s="1025"/>
      <c r="X139" s="1025"/>
    </row>
    <row r="140" spans="2:24">
      <c r="B140" s="1025"/>
      <c r="C140" s="1025"/>
      <c r="S140" s="1025"/>
      <c r="T140" s="1025"/>
      <c r="U140" s="1025"/>
      <c r="V140" s="1025"/>
      <c r="W140" s="1025"/>
      <c r="X140" s="1025"/>
    </row>
    <row r="141" spans="2:24">
      <c r="B141" s="1025"/>
      <c r="C141" s="1025"/>
      <c r="S141" s="1025"/>
      <c r="T141" s="1025"/>
      <c r="U141" s="1025"/>
      <c r="V141" s="1025"/>
      <c r="W141" s="1025"/>
      <c r="X141" s="1025"/>
    </row>
    <row r="142" spans="2:24">
      <c r="B142" s="1025"/>
      <c r="C142" s="1025"/>
      <c r="S142" s="1025"/>
      <c r="T142" s="1025"/>
      <c r="U142" s="1025"/>
      <c r="V142" s="1025"/>
      <c r="W142" s="1025"/>
      <c r="X142" s="1025"/>
    </row>
    <row r="143" spans="2:24">
      <c r="B143" s="1025"/>
      <c r="C143" s="1025"/>
      <c r="S143" s="1025"/>
      <c r="T143" s="1025"/>
      <c r="U143" s="1025"/>
      <c r="V143" s="1025"/>
      <c r="W143" s="1025"/>
      <c r="X143" s="1025"/>
    </row>
    <row r="144" spans="2:24">
      <c r="B144" s="1025"/>
      <c r="C144" s="1025"/>
      <c r="S144" s="1025"/>
      <c r="T144" s="1025"/>
      <c r="U144" s="1025"/>
      <c r="V144" s="1025"/>
      <c r="W144" s="1025"/>
      <c r="X144" s="1025"/>
    </row>
    <row r="145" spans="2:24">
      <c r="B145" s="1025"/>
      <c r="C145" s="1025"/>
      <c r="S145" s="1025"/>
      <c r="T145" s="1025"/>
      <c r="U145" s="1025"/>
      <c r="V145" s="1025"/>
      <c r="W145" s="1025"/>
      <c r="X145" s="1025"/>
    </row>
    <row r="146" spans="2:24">
      <c r="B146" s="1025"/>
      <c r="C146" s="1025"/>
      <c r="S146" s="1025"/>
      <c r="T146" s="1025"/>
      <c r="U146" s="1025"/>
      <c r="V146" s="1025"/>
      <c r="W146" s="1025"/>
      <c r="X146" s="1025"/>
    </row>
    <row r="147" spans="2:24">
      <c r="B147" s="1025"/>
      <c r="C147" s="1025"/>
      <c r="S147" s="1025"/>
      <c r="T147" s="1025"/>
      <c r="U147" s="1025"/>
      <c r="V147" s="1025"/>
      <c r="W147" s="1025"/>
      <c r="X147" s="1025"/>
    </row>
    <row r="148" spans="2:24">
      <c r="B148" s="1025"/>
      <c r="C148" s="1025"/>
      <c r="S148" s="1025"/>
      <c r="T148" s="1025"/>
      <c r="U148" s="1025"/>
      <c r="V148" s="1025"/>
      <c r="W148" s="1025"/>
      <c r="X148" s="1025"/>
    </row>
    <row r="149" spans="2:24">
      <c r="B149" s="1025"/>
      <c r="C149" s="1025"/>
      <c r="S149" s="1025"/>
      <c r="T149" s="1025"/>
      <c r="U149" s="1025"/>
      <c r="V149" s="1025"/>
      <c r="W149" s="1025"/>
      <c r="X149" s="1025"/>
    </row>
    <row r="150" spans="2:24">
      <c r="B150" s="1025"/>
      <c r="C150" s="1025"/>
      <c r="D150" s="53"/>
      <c r="S150" s="1025"/>
      <c r="T150" s="1025"/>
      <c r="U150" s="1025"/>
      <c r="V150" s="1025"/>
      <c r="W150" s="1025"/>
      <c r="X150" s="1025"/>
    </row>
    <row r="151" spans="2:24">
      <c r="B151" s="1025"/>
      <c r="C151" s="1025"/>
      <c r="S151" s="1025"/>
      <c r="T151" s="1025"/>
      <c r="U151" s="1025"/>
      <c r="V151" s="1025"/>
      <c r="W151" s="1025"/>
      <c r="X151" s="1025"/>
    </row>
    <row r="152" spans="2:24">
      <c r="B152" s="1025"/>
      <c r="C152" s="1025"/>
      <c r="D152" s="83" t="s">
        <v>675</v>
      </c>
      <c r="S152" s="1025"/>
      <c r="T152" s="1025"/>
      <c r="U152" s="1025"/>
      <c r="V152" s="1025"/>
      <c r="W152" s="1025"/>
      <c r="X152" s="1025"/>
    </row>
    <row r="153" spans="2:24">
      <c r="B153" s="1025"/>
      <c r="C153" s="1025"/>
      <c r="S153" s="1025"/>
      <c r="T153" s="1025"/>
      <c r="U153" s="1025"/>
      <c r="V153" s="1025"/>
      <c r="W153" s="1025"/>
      <c r="X153" s="1025"/>
    </row>
    <row r="154" spans="2:24" ht="21" customHeight="1">
      <c r="B154" s="1025"/>
      <c r="C154" s="1025"/>
      <c r="D154" s="1030" t="str">
        <f>IF(Lang="English","VAL Graphs Tab",IF(Lang="中文","VAL Graphs 標籤","VAL Graphs タブ"))</f>
        <v>VAL Graphs Tab</v>
      </c>
      <c r="E154" s="1031"/>
      <c r="F154" s="1031"/>
      <c r="G154" s="1031"/>
      <c r="H154" s="1031"/>
      <c r="I154" s="1031"/>
      <c r="J154" s="1031"/>
      <c r="K154" s="1031"/>
      <c r="L154" s="1031"/>
      <c r="M154" s="1031"/>
      <c r="N154" s="1031"/>
      <c r="O154" s="1031"/>
      <c r="P154" s="1031"/>
      <c r="Q154" s="1031"/>
      <c r="R154" s="1032"/>
      <c r="S154" s="1025"/>
      <c r="T154" s="1025"/>
      <c r="U154" s="1025"/>
      <c r="V154" s="1025"/>
      <c r="W154" s="1025"/>
      <c r="X154" s="1025"/>
    </row>
    <row r="155" spans="2:24">
      <c r="B155" s="1025"/>
      <c r="C155" s="1025"/>
      <c r="D155" s="53"/>
      <c r="S155" s="1025"/>
      <c r="T155" s="1025"/>
      <c r="U155" s="1025"/>
      <c r="V155" s="1025"/>
      <c r="W155" s="1025"/>
      <c r="X155" s="1025"/>
    </row>
    <row r="156" spans="2:24">
      <c r="B156" s="1025"/>
      <c r="C156" s="1025"/>
      <c r="D156" s="81" t="str">
        <f>IF(Lang="English","Press buttons to scale charts or revert back to auto scale",IF(Lang="中文","按下按鈕變更圖之刻度或恢復到自動刻度","ボタンを押してゼロベースと自動スケールの切り替えをして下さい。"))</f>
        <v>Press buttons to scale charts or revert back to auto scale</v>
      </c>
      <c r="M156" s="82" t="str">
        <f>IF(Lang="English"," Related Terminal Functions:",IF(Lang="中文"," 相關終端功能:"," 端末上関連機能:"))</f>
        <v xml:space="preserve"> Related Terminal Functions:</v>
      </c>
      <c r="S156" s="1025"/>
      <c r="T156" s="1025"/>
      <c r="U156" s="1025"/>
      <c r="V156" s="1025"/>
      <c r="W156" s="1025"/>
      <c r="X156" s="1025"/>
    </row>
    <row r="157" spans="2:24">
      <c r="B157" s="1025"/>
      <c r="C157" s="1025"/>
      <c r="S157" s="1025"/>
      <c r="T157" s="1025"/>
      <c r="U157" s="1025"/>
      <c r="V157" s="1025"/>
      <c r="W157" s="1025"/>
      <c r="X157" s="1025"/>
    </row>
    <row r="158" spans="2:24">
      <c r="B158" s="1025"/>
      <c r="C158" s="1025"/>
      <c r="S158" s="1025"/>
      <c r="T158" s="1025"/>
      <c r="U158" s="1025"/>
      <c r="V158" s="1025"/>
      <c r="W158" s="1025"/>
      <c r="X158" s="1025"/>
    </row>
    <row r="159" spans="2:24">
      <c r="B159" s="1025"/>
      <c r="C159" s="1025"/>
      <c r="S159" s="1025"/>
      <c r="T159" s="1025"/>
      <c r="U159" s="1025"/>
      <c r="V159" s="1025"/>
      <c r="W159" s="1025"/>
      <c r="X159" s="1025"/>
    </row>
    <row r="160" spans="2:24">
      <c r="B160" s="1025"/>
      <c r="C160" s="1025"/>
      <c r="S160" s="1025"/>
      <c r="T160" s="1025"/>
      <c r="U160" s="1025"/>
      <c r="V160" s="1025"/>
      <c r="W160" s="1025"/>
      <c r="X160" s="1025"/>
    </row>
    <row r="161" spans="2:24">
      <c r="B161" s="1025"/>
      <c r="C161" s="1025"/>
      <c r="D161" s="81" t="str">
        <f>IF(Lang="English","Choose from drop-down to specify valuation ratio",IF(Lang="中文","從下拉選擇指定的估值比","ドロップダウンより評価比率を選択"))</f>
        <v>Choose from drop-down to specify valuation ratio</v>
      </c>
      <c r="S161" s="1025"/>
      <c r="T161" s="1025"/>
      <c r="U161" s="1025"/>
      <c r="V161" s="1025"/>
      <c r="W161" s="1025"/>
      <c r="X161" s="1025"/>
    </row>
    <row r="162" spans="2:24">
      <c r="B162" s="1025"/>
      <c r="C162" s="1025"/>
      <c r="S162" s="1025"/>
      <c r="T162" s="1025"/>
      <c r="U162" s="1025"/>
      <c r="V162" s="1025"/>
      <c r="W162" s="1025"/>
      <c r="X162" s="1025"/>
    </row>
    <row r="163" spans="2:24">
      <c r="B163" s="1025"/>
      <c r="C163" s="1025"/>
      <c r="S163" s="1025"/>
      <c r="T163" s="1025"/>
      <c r="U163" s="1025"/>
      <c r="V163" s="1025"/>
      <c r="W163" s="1025"/>
      <c r="X163" s="1025"/>
    </row>
    <row r="164" spans="2:24">
      <c r="B164" s="1025"/>
      <c r="C164" s="1025"/>
      <c r="S164" s="1025"/>
      <c r="T164" s="1025"/>
      <c r="U164" s="1025"/>
      <c r="V164" s="1025"/>
      <c r="W164" s="1025"/>
      <c r="X164" s="1025"/>
    </row>
    <row r="165" spans="2:24">
      <c r="B165" s="1025"/>
      <c r="C165" s="1025"/>
      <c r="S165" s="1025"/>
      <c r="T165" s="1025"/>
      <c r="U165" s="1025"/>
      <c r="V165" s="1025"/>
      <c r="W165" s="1025"/>
      <c r="X165" s="1025"/>
    </row>
    <row r="166" spans="2:24">
      <c r="B166" s="1025"/>
      <c r="C166" s="1025"/>
      <c r="S166" s="1025"/>
      <c r="T166" s="1025"/>
      <c r="U166" s="1025"/>
      <c r="V166" s="1025"/>
      <c r="W166" s="1025"/>
      <c r="X166" s="1025"/>
    </row>
    <row r="167" spans="2:24">
      <c r="B167" s="1025"/>
      <c r="C167" s="1025"/>
      <c r="S167" s="1025"/>
      <c r="T167" s="1025"/>
      <c r="U167" s="1025"/>
      <c r="V167" s="1025"/>
      <c r="W167" s="1025"/>
      <c r="X167" s="1025"/>
    </row>
    <row r="168" spans="2:24">
      <c r="B168" s="1025"/>
      <c r="C168" s="1025"/>
      <c r="S168" s="1025"/>
      <c r="T168" s="1025"/>
      <c r="U168" s="1025"/>
      <c r="V168" s="1025"/>
      <c r="W168" s="1025"/>
      <c r="X168" s="1025"/>
    </row>
    <row r="169" spans="2:24">
      <c r="B169" s="1025"/>
      <c r="C169" s="1025"/>
      <c r="S169" s="1025"/>
      <c r="T169" s="1025"/>
      <c r="U169" s="1025"/>
      <c r="V169" s="1025"/>
      <c r="W169" s="1025"/>
      <c r="X169" s="1025"/>
    </row>
    <row r="170" spans="2:24">
      <c r="B170" s="1025"/>
      <c r="C170" s="1025"/>
      <c r="S170" s="1025"/>
      <c r="T170" s="1025"/>
      <c r="U170" s="1025"/>
      <c r="V170" s="1025"/>
      <c r="W170" s="1025"/>
      <c r="X170" s="1025"/>
    </row>
    <row r="171" spans="2:24">
      <c r="B171" s="1025"/>
      <c r="C171" s="1025"/>
      <c r="S171" s="1025"/>
      <c r="T171" s="1025"/>
      <c r="U171" s="1025"/>
      <c r="V171" s="1025"/>
      <c r="W171" s="1025"/>
      <c r="X171" s="1025"/>
    </row>
    <row r="172" spans="2:24">
      <c r="B172" s="1025"/>
      <c r="C172" s="1025"/>
      <c r="D172" s="83" t="s">
        <v>675</v>
      </c>
      <c r="S172" s="1025"/>
      <c r="T172" s="1025"/>
      <c r="U172" s="1025"/>
      <c r="V172" s="1025"/>
      <c r="W172" s="1025"/>
      <c r="X172" s="1025"/>
    </row>
    <row r="173" spans="2:24">
      <c r="B173" s="1025"/>
      <c r="C173" s="1025"/>
      <c r="S173" s="1025"/>
      <c r="T173" s="1025"/>
      <c r="U173" s="1025"/>
      <c r="V173" s="1025"/>
      <c r="W173" s="1025"/>
      <c r="X173" s="1025"/>
    </row>
    <row r="174" spans="2:24" ht="21" customHeight="1">
      <c r="B174" s="1025"/>
      <c r="C174" s="1025"/>
      <c r="D174" s="1030" t="str">
        <f>IF(Lang="English","Owners Tab",IF(Lang="中文","Owners 標籤","Ownersタブ"))</f>
        <v>Owners Tab</v>
      </c>
      <c r="E174" s="1031"/>
      <c r="F174" s="1031"/>
      <c r="G174" s="1031"/>
      <c r="H174" s="1031"/>
      <c r="I174" s="1031"/>
      <c r="J174" s="1031"/>
      <c r="K174" s="1031"/>
      <c r="L174" s="1031"/>
      <c r="M174" s="1031"/>
      <c r="N174" s="1031"/>
      <c r="O174" s="1031"/>
      <c r="P174" s="1031"/>
      <c r="Q174" s="1031"/>
      <c r="R174" s="1032"/>
      <c r="S174" s="1025"/>
      <c r="T174" s="1025"/>
      <c r="U174" s="1025"/>
      <c r="V174" s="1025"/>
      <c r="W174" s="1025"/>
      <c r="X174" s="1025"/>
    </row>
    <row r="175" spans="2:24">
      <c r="B175" s="1025"/>
      <c r="C175" s="1025"/>
      <c r="D175" s="53"/>
      <c r="S175" s="1025"/>
      <c r="T175" s="1025"/>
      <c r="U175" s="1025"/>
      <c r="V175" s="1025"/>
      <c r="W175" s="1025"/>
      <c r="X175" s="1025"/>
    </row>
    <row r="176" spans="2:24">
      <c r="B176" s="1025"/>
      <c r="C176" s="1025"/>
      <c r="D176" s="53"/>
      <c r="M176" s="82" t="str">
        <f>IF(Lang="English"," Related Terminal Functions:",IF(Lang="中文"," 相關終端功能:"," 端末上関連機能:"))</f>
        <v xml:space="preserve"> Related Terminal Functions:</v>
      </c>
      <c r="S176" s="1025"/>
      <c r="T176" s="1025"/>
      <c r="U176" s="1025"/>
      <c r="V176" s="1025"/>
      <c r="W176" s="1025"/>
      <c r="X176" s="1025"/>
    </row>
    <row r="177" spans="2:24">
      <c r="B177" s="1025"/>
      <c r="C177" s="1025"/>
      <c r="D177" s="81" t="str">
        <f>IF(Lang="English","Choose from drop-down",IF(Lang="中文","從下拉選擇","ドロップダウンより選択"))</f>
        <v>Choose from drop-down</v>
      </c>
      <c r="S177" s="1025"/>
      <c r="T177" s="1025"/>
      <c r="U177" s="1025"/>
      <c r="V177" s="1025"/>
      <c r="W177" s="1025"/>
      <c r="X177" s="1025"/>
    </row>
    <row r="178" spans="2:24">
      <c r="B178" s="1025"/>
      <c r="C178" s="1025"/>
      <c r="D178" s="82" t="str">
        <f>IF(Lang="English","    to specify institution type",IF(Lang="中文","    指定機構的類型","    機関タイプの選択"))</f>
        <v xml:space="preserve">    to specify institution type</v>
      </c>
      <c r="S178" s="1025"/>
      <c r="T178" s="1025"/>
      <c r="U178" s="1025"/>
      <c r="V178" s="1025"/>
      <c r="W178" s="1025"/>
      <c r="X178" s="1025"/>
    </row>
    <row r="179" spans="2:24">
      <c r="B179" s="1025"/>
      <c r="C179" s="1025"/>
      <c r="D179" s="54"/>
      <c r="S179" s="1025"/>
      <c r="T179" s="1025"/>
      <c r="U179" s="1025"/>
      <c r="V179" s="1025"/>
      <c r="W179" s="1025"/>
      <c r="X179" s="1025"/>
    </row>
    <row r="180" spans="2:24">
      <c r="B180" s="1025"/>
      <c r="C180" s="1025"/>
      <c r="S180" s="1025"/>
      <c r="T180" s="1025"/>
      <c r="U180" s="1025"/>
      <c r="V180" s="1025"/>
      <c r="W180" s="1025"/>
      <c r="X180" s="1025"/>
    </row>
    <row r="181" spans="2:24">
      <c r="B181" s="1025"/>
      <c r="C181" s="1025"/>
      <c r="S181" s="1025"/>
      <c r="T181" s="1025"/>
      <c r="U181" s="1025"/>
      <c r="V181" s="1025"/>
      <c r="W181" s="1025"/>
      <c r="X181" s="1025"/>
    </row>
    <row r="182" spans="2:24">
      <c r="B182" s="1025"/>
      <c r="C182" s="1025"/>
      <c r="S182" s="1025"/>
      <c r="T182" s="1025"/>
      <c r="U182" s="1025"/>
      <c r="V182" s="1025"/>
      <c r="W182" s="1025"/>
      <c r="X182" s="1025"/>
    </row>
    <row r="183" spans="2:24">
      <c r="B183" s="1025"/>
      <c r="C183" s="1025"/>
      <c r="S183" s="1025"/>
      <c r="T183" s="1025"/>
      <c r="U183" s="1025"/>
      <c r="V183" s="1025"/>
      <c r="W183" s="1025"/>
      <c r="X183" s="1025"/>
    </row>
    <row r="184" spans="2:24">
      <c r="B184" s="1025"/>
      <c r="C184" s="1025"/>
      <c r="S184" s="1025"/>
      <c r="T184" s="1025"/>
      <c r="U184" s="1025"/>
      <c r="V184" s="1025"/>
      <c r="W184" s="1025"/>
      <c r="X184" s="1025"/>
    </row>
    <row r="185" spans="2:24">
      <c r="B185" s="1025"/>
      <c r="C185" s="1025"/>
      <c r="S185" s="1025"/>
      <c r="T185" s="1025"/>
      <c r="U185" s="1025"/>
      <c r="V185" s="1025"/>
      <c r="W185" s="1025"/>
      <c r="X185" s="1025"/>
    </row>
    <row r="186" spans="2:24">
      <c r="B186" s="1025"/>
      <c r="C186" s="1025"/>
      <c r="S186" s="1025"/>
      <c r="T186" s="1025"/>
      <c r="U186" s="1025"/>
      <c r="V186" s="1025"/>
      <c r="W186" s="1025"/>
      <c r="X186" s="1025"/>
    </row>
    <row r="187" spans="2:24">
      <c r="B187" s="1025"/>
      <c r="C187" s="1025"/>
      <c r="S187" s="1025"/>
      <c r="T187" s="1025"/>
      <c r="U187" s="1025"/>
      <c r="V187" s="1025"/>
      <c r="W187" s="1025"/>
      <c r="X187" s="1025"/>
    </row>
    <row r="188" spans="2:24">
      <c r="B188" s="1025"/>
      <c r="C188" s="1025"/>
      <c r="S188" s="1025"/>
      <c r="T188" s="1025"/>
      <c r="U188" s="1025"/>
      <c r="V188" s="1025"/>
      <c r="W188" s="1025"/>
      <c r="X188" s="1025"/>
    </row>
    <row r="189" spans="2:24">
      <c r="B189" s="1025"/>
      <c r="C189" s="1025"/>
      <c r="S189" s="1025"/>
      <c r="T189" s="1025"/>
      <c r="U189" s="1025"/>
      <c r="V189" s="1025"/>
      <c r="W189" s="1025"/>
      <c r="X189" s="1025"/>
    </row>
    <row r="190" spans="2:24">
      <c r="B190" s="1025"/>
      <c r="C190" s="1025"/>
      <c r="S190" s="1025"/>
      <c r="T190" s="1025"/>
      <c r="U190" s="1025"/>
      <c r="V190" s="1025"/>
      <c r="W190" s="1025"/>
      <c r="X190" s="1025"/>
    </row>
    <row r="191" spans="2:24">
      <c r="B191" s="1025"/>
      <c r="C191" s="1025"/>
      <c r="S191" s="1025"/>
      <c r="T191" s="1025"/>
      <c r="U191" s="1025"/>
      <c r="V191" s="1025"/>
      <c r="W191" s="1025"/>
      <c r="X191" s="1025"/>
    </row>
    <row r="192" spans="2:24">
      <c r="B192" s="1025"/>
      <c r="C192" s="1025"/>
      <c r="S192" s="1025"/>
      <c r="T192" s="1025"/>
      <c r="U192" s="1025"/>
      <c r="V192" s="1025"/>
      <c r="W192" s="1025"/>
      <c r="X192" s="1025"/>
    </row>
    <row r="193" spans="2:24">
      <c r="B193" s="1025"/>
      <c r="C193" s="1025"/>
      <c r="S193" s="1025"/>
      <c r="T193" s="1025"/>
      <c r="U193" s="1025"/>
      <c r="V193" s="1025"/>
      <c r="W193" s="1025"/>
      <c r="X193" s="1025"/>
    </row>
    <row r="194" spans="2:24">
      <c r="B194" s="1025"/>
      <c r="C194" s="1025"/>
      <c r="D194" s="83" t="s">
        <v>675</v>
      </c>
      <c r="S194" s="1025"/>
      <c r="T194" s="1025"/>
      <c r="U194" s="1025"/>
      <c r="V194" s="1025"/>
      <c r="W194" s="1025"/>
      <c r="X194" s="1025"/>
    </row>
    <row r="195" spans="2:24">
      <c r="B195" s="1025"/>
      <c r="C195" s="1025"/>
      <c r="S195" s="1025"/>
      <c r="T195" s="1025"/>
      <c r="U195" s="1025"/>
      <c r="V195" s="1025"/>
      <c r="W195" s="1025"/>
      <c r="X195" s="1025"/>
    </row>
    <row r="196" spans="2:24">
      <c r="B196" s="1025"/>
      <c r="C196" s="1025"/>
      <c r="S196" s="1025"/>
      <c r="T196" s="1025"/>
      <c r="U196" s="1025"/>
      <c r="V196" s="1025"/>
      <c r="W196" s="1025"/>
      <c r="X196" s="1025"/>
    </row>
    <row r="197" spans="2:24">
      <c r="B197" s="1038"/>
      <c r="C197" s="1025"/>
      <c r="D197" s="1037"/>
      <c r="E197" s="1025"/>
      <c r="F197" s="1025"/>
      <c r="G197" s="1025"/>
      <c r="H197" s="1025"/>
      <c r="I197" s="1025"/>
      <c r="J197" s="1025"/>
      <c r="K197" s="1025"/>
      <c r="L197" s="1025"/>
      <c r="M197" s="1025"/>
      <c r="N197" s="1025"/>
      <c r="O197" s="1025"/>
      <c r="P197" s="1025"/>
      <c r="Q197" s="1025"/>
      <c r="R197" s="1025"/>
      <c r="S197" s="1033"/>
      <c r="T197" s="1025"/>
      <c r="U197" s="1025"/>
      <c r="V197" s="1025"/>
      <c r="W197" s="1025"/>
      <c r="X197" s="1025"/>
    </row>
    <row r="198" spans="2:24">
      <c r="B198" s="1025"/>
      <c r="C198" s="1025"/>
      <c r="D198" s="1025"/>
      <c r="E198" s="1025"/>
      <c r="F198" s="1025"/>
      <c r="G198" s="1025"/>
      <c r="H198" s="1025"/>
      <c r="I198" s="1025"/>
      <c r="J198" s="1025"/>
      <c r="K198" s="1025"/>
      <c r="L198" s="1025"/>
      <c r="M198" s="1025"/>
      <c r="N198" s="1025"/>
      <c r="O198" s="1025"/>
      <c r="P198" s="1025"/>
      <c r="Q198" s="1025"/>
      <c r="R198" s="1025"/>
      <c r="S198" s="1025"/>
      <c r="T198" s="1025"/>
      <c r="U198" s="1025"/>
      <c r="V198" s="1025"/>
      <c r="W198" s="1025"/>
      <c r="X198" s="1025"/>
    </row>
    <row r="199" spans="2:24">
      <c r="B199" s="1025"/>
      <c r="C199" s="1025"/>
      <c r="D199" s="1025"/>
      <c r="E199" s="1025"/>
      <c r="F199" s="1025"/>
      <c r="G199" s="1025"/>
      <c r="H199" s="1025"/>
      <c r="I199" s="1025"/>
      <c r="J199" s="1025"/>
      <c r="K199" s="1025"/>
      <c r="L199" s="1025"/>
      <c r="M199" s="1025"/>
      <c r="N199" s="1025"/>
      <c r="O199" s="1025"/>
      <c r="P199" s="1025"/>
      <c r="Q199" s="1025"/>
      <c r="R199" s="1025"/>
      <c r="S199" s="1025"/>
      <c r="T199" s="1025"/>
      <c r="U199" s="1025"/>
      <c r="V199" s="1025"/>
      <c r="W199" s="1025"/>
      <c r="X199" s="1025"/>
    </row>
    <row r="200" spans="2:24">
      <c r="B200" s="1025"/>
      <c r="C200" s="1025"/>
      <c r="D200" s="1025"/>
      <c r="E200" s="1025"/>
      <c r="F200" s="1025"/>
      <c r="G200" s="1025"/>
      <c r="H200" s="1025"/>
      <c r="I200" s="1025"/>
      <c r="J200" s="1025"/>
      <c r="K200" s="1025"/>
      <c r="L200" s="1025"/>
      <c r="M200" s="1025"/>
      <c r="N200" s="1025"/>
      <c r="O200" s="1025"/>
      <c r="P200" s="1025"/>
      <c r="Q200" s="1025"/>
      <c r="R200" s="1025"/>
      <c r="S200" s="1025"/>
      <c r="T200" s="1025"/>
      <c r="U200" s="1025"/>
      <c r="V200" s="1025"/>
      <c r="W200" s="1025"/>
      <c r="X200" s="1025"/>
    </row>
    <row r="201" spans="2:24">
      <c r="B201" s="1027"/>
      <c r="C201" s="1025"/>
      <c r="D201" s="1025"/>
      <c r="E201" s="1025"/>
      <c r="F201" s="1025"/>
      <c r="G201" s="1025"/>
      <c r="H201" s="1025"/>
      <c r="I201" s="1025"/>
      <c r="J201" s="1025"/>
      <c r="K201" s="1025"/>
      <c r="L201" s="1025"/>
      <c r="M201" s="1025"/>
      <c r="N201" s="1025"/>
      <c r="O201" s="1025"/>
      <c r="P201" s="1025"/>
      <c r="Q201" s="1025"/>
      <c r="R201" s="1025"/>
      <c r="S201" s="1025"/>
      <c r="T201" s="1025"/>
      <c r="U201" s="1024"/>
      <c r="V201" s="1025"/>
      <c r="W201" s="1025"/>
      <c r="X201" s="1025"/>
    </row>
    <row r="202" spans="2:24">
      <c r="B202" s="1025"/>
      <c r="C202" s="1025"/>
      <c r="D202" s="1025"/>
      <c r="E202" s="1025"/>
      <c r="F202" s="1025"/>
      <c r="G202" s="1025"/>
      <c r="H202" s="1025"/>
      <c r="I202" s="1025"/>
      <c r="J202" s="1025"/>
      <c r="K202" s="1025"/>
      <c r="L202" s="1025"/>
      <c r="M202" s="1025"/>
      <c r="N202" s="1025"/>
      <c r="O202" s="1025"/>
      <c r="P202" s="1025"/>
      <c r="Q202" s="1025"/>
      <c r="R202" s="1025"/>
      <c r="S202" s="1025"/>
      <c r="T202" s="1025"/>
      <c r="U202" s="1025"/>
      <c r="V202" s="1025"/>
      <c r="W202" s="1025"/>
      <c r="X202" s="1025"/>
    </row>
    <row r="203" spans="2:24">
      <c r="B203" s="1025"/>
      <c r="C203" s="1025"/>
      <c r="D203" s="1025"/>
      <c r="E203" s="1025"/>
      <c r="F203" s="1025"/>
      <c r="G203" s="1025"/>
      <c r="H203" s="1025"/>
      <c r="I203" s="1025"/>
      <c r="J203" s="1025"/>
      <c r="K203" s="1025"/>
      <c r="L203" s="1025"/>
      <c r="M203" s="1025"/>
      <c r="N203" s="1025"/>
      <c r="O203" s="1025"/>
      <c r="P203" s="1025"/>
      <c r="Q203" s="1025"/>
      <c r="R203" s="1025"/>
      <c r="S203" s="1025"/>
      <c r="T203" s="1025"/>
      <c r="U203" s="1025"/>
      <c r="V203" s="1025"/>
      <c r="W203" s="1025"/>
      <c r="X203" s="1025"/>
    </row>
    <row r="204" spans="2:24">
      <c r="B204" s="1025"/>
      <c r="C204" s="1025"/>
      <c r="D204" s="1025"/>
      <c r="E204" s="1025"/>
      <c r="F204" s="1025"/>
      <c r="G204" s="1025"/>
      <c r="H204" s="1025"/>
      <c r="I204" s="1025"/>
      <c r="J204" s="1025"/>
      <c r="K204" s="1025"/>
      <c r="L204" s="1025"/>
      <c r="M204" s="1025"/>
      <c r="N204" s="1025"/>
      <c r="O204" s="1025"/>
      <c r="P204" s="1025"/>
      <c r="Q204" s="1025"/>
      <c r="R204" s="1025"/>
      <c r="S204" s="1025"/>
      <c r="T204" s="1025"/>
      <c r="U204" s="1025"/>
      <c r="V204" s="1025"/>
      <c r="W204" s="1025"/>
      <c r="X204" s="1025"/>
    </row>
    <row r="205" spans="2:24">
      <c r="B205" s="1025"/>
      <c r="C205" s="1025"/>
      <c r="D205" s="1025"/>
      <c r="E205" s="1025"/>
      <c r="F205" s="1025"/>
      <c r="G205" s="1025"/>
      <c r="H205" s="1025"/>
      <c r="I205" s="1025"/>
      <c r="J205" s="1025"/>
      <c r="K205" s="1025"/>
      <c r="L205" s="1025"/>
      <c r="M205" s="1025"/>
      <c r="N205" s="1025"/>
      <c r="O205" s="1025"/>
      <c r="P205" s="1025"/>
      <c r="Q205" s="1025"/>
      <c r="R205" s="1025"/>
      <c r="S205" s="1025"/>
      <c r="T205" s="1025"/>
      <c r="U205" s="1025"/>
      <c r="V205" s="1025"/>
      <c r="W205" s="1025"/>
      <c r="X205" s="1025"/>
    </row>
    <row r="206" spans="2:24">
      <c r="B206" s="1025"/>
      <c r="C206" s="1025"/>
      <c r="D206" s="1025"/>
      <c r="E206" s="1025"/>
      <c r="F206" s="1025"/>
      <c r="G206" s="1025"/>
      <c r="H206" s="1025"/>
      <c r="I206" s="1025"/>
      <c r="J206" s="1025"/>
      <c r="K206" s="1025"/>
      <c r="L206" s="1025"/>
      <c r="M206" s="1025"/>
      <c r="N206" s="1025"/>
      <c r="O206" s="1025"/>
      <c r="P206" s="1025"/>
      <c r="Q206" s="1025"/>
      <c r="R206" s="1025"/>
      <c r="S206" s="1025"/>
      <c r="T206" s="1025"/>
      <c r="U206" s="1025"/>
      <c r="V206" s="1025"/>
      <c r="W206" s="1025"/>
      <c r="X206" s="1025"/>
    </row>
    <row r="207" spans="2:24">
      <c r="B207" s="1025"/>
      <c r="C207" s="1025"/>
      <c r="D207" s="1025"/>
      <c r="E207" s="1025"/>
      <c r="F207" s="1025"/>
      <c r="G207" s="1025"/>
      <c r="H207" s="1025"/>
      <c r="I207" s="1025"/>
      <c r="J207" s="1025"/>
      <c r="K207" s="1025"/>
      <c r="L207" s="1025"/>
      <c r="M207" s="1025"/>
      <c r="N207" s="1025"/>
      <c r="O207" s="1025"/>
      <c r="P207" s="1025"/>
      <c r="Q207" s="1025"/>
      <c r="R207" s="1025"/>
      <c r="S207" s="1025"/>
      <c r="T207" s="1025"/>
      <c r="U207" s="1025"/>
      <c r="V207" s="1025"/>
      <c r="W207" s="1025"/>
      <c r="X207" s="1025"/>
    </row>
    <row r="208" spans="2:24">
      <c r="B208" s="1025"/>
      <c r="C208" s="1025"/>
      <c r="D208" s="1025"/>
      <c r="E208" s="1025"/>
      <c r="F208" s="1025"/>
      <c r="G208" s="1025"/>
      <c r="H208" s="1025"/>
      <c r="I208" s="1025"/>
      <c r="J208" s="1025"/>
      <c r="K208" s="1025"/>
      <c r="L208" s="1025"/>
      <c r="M208" s="1025"/>
      <c r="N208" s="1025"/>
      <c r="O208" s="1025"/>
      <c r="P208" s="1025"/>
      <c r="Q208" s="1025"/>
      <c r="R208" s="1025"/>
      <c r="S208" s="1025"/>
      <c r="T208" s="1025"/>
      <c r="U208" s="1025"/>
      <c r="V208" s="1025"/>
      <c r="W208" s="1025"/>
      <c r="X208" s="1025"/>
    </row>
    <row r="209" spans="2:24">
      <c r="B209" s="1025"/>
      <c r="C209" s="1025"/>
      <c r="D209" s="1025"/>
      <c r="E209" s="1025"/>
      <c r="F209" s="1025"/>
      <c r="G209" s="1025"/>
      <c r="H209" s="1025"/>
      <c r="I209" s="1025"/>
      <c r="J209" s="1025"/>
      <c r="K209" s="1025"/>
      <c r="L209" s="1025"/>
      <c r="M209" s="1025"/>
      <c r="N209" s="1025"/>
      <c r="O209" s="1025"/>
      <c r="P209" s="1025"/>
      <c r="Q209" s="1025"/>
      <c r="R209" s="1025"/>
      <c r="S209" s="1025"/>
      <c r="T209" s="1025"/>
      <c r="U209" s="1025"/>
      <c r="V209" s="1025"/>
      <c r="W209" s="1025"/>
      <c r="X209" s="1025"/>
    </row>
  </sheetData>
  <mergeCells count="22">
    <mergeCell ref="D94:R94"/>
    <mergeCell ref="D154:R154"/>
    <mergeCell ref="S6:T9"/>
    <mergeCell ref="D114:R114"/>
    <mergeCell ref="D11:R11"/>
    <mergeCell ref="D10:R10"/>
    <mergeCell ref="U201:X209"/>
    <mergeCell ref="U6:X200"/>
    <mergeCell ref="B201:T209"/>
    <mergeCell ref="B10:C196"/>
    <mergeCell ref="S10:T196"/>
    <mergeCell ref="D134:R134"/>
    <mergeCell ref="S197:T200"/>
    <mergeCell ref="D174:R174"/>
    <mergeCell ref="D14:R14"/>
    <mergeCell ref="D197:R200"/>
    <mergeCell ref="D34:R34"/>
    <mergeCell ref="D74:R74"/>
    <mergeCell ref="B197:C200"/>
    <mergeCell ref="D54:R54"/>
    <mergeCell ref="B6:C9"/>
    <mergeCell ref="D6:R9"/>
  </mergeCells>
  <phoneticPr fontId="16" type="noConversion"/>
  <hyperlinks>
    <hyperlink ref="D32" location="Help!D10" display="Back to top"/>
    <hyperlink ref="D52" location="Help!D10" display="Back to top"/>
    <hyperlink ref="D72" location="Help!D10" display="Back to top"/>
    <hyperlink ref="D92" location="Help!D10" display="Back to top"/>
    <hyperlink ref="D112" location="Help!D10" display="Back to top"/>
    <hyperlink ref="D132" location="Help!D10" display="Back to top"/>
    <hyperlink ref="D152" location="Help!D10" display="Back to top"/>
    <hyperlink ref="D172" location="Help!D10" display="Back to top"/>
    <hyperlink ref="D194" location="Help!D10" display="Back to top"/>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5433" r:id="rId4" name="cmdButtonDES">
          <controlPr defaultSize="0" autoLine="0" r:id="rId5">
            <anchor moveWithCells="1">
              <from>
                <xdr:col>12</xdr:col>
                <xdr:colOff>47625</xdr:colOff>
                <xdr:row>16</xdr:row>
                <xdr:rowOff>142875</xdr:rowOff>
              </from>
              <to>
                <xdr:col>13</xdr:col>
                <xdr:colOff>95250</xdr:colOff>
                <xdr:row>18</xdr:row>
                <xdr:rowOff>38100</xdr:rowOff>
              </to>
            </anchor>
          </controlPr>
        </control>
      </mc:Choice>
      <mc:Fallback>
        <control shapeId="15433" r:id="rId4" name="cmdButtonDES"/>
      </mc:Fallback>
    </mc:AlternateContent>
    <mc:AlternateContent xmlns:mc="http://schemas.openxmlformats.org/markup-compatibility/2006">
      <mc:Choice Requires="x14">
        <control shapeId="15434" r:id="rId6" name="cmdButtonISSD">
          <controlPr defaultSize="0" autoLine="0" r:id="rId7">
            <anchor moveWithCells="1">
              <from>
                <xdr:col>13</xdr:col>
                <xdr:colOff>85725</xdr:colOff>
                <xdr:row>16</xdr:row>
                <xdr:rowOff>142875</xdr:rowOff>
              </from>
              <to>
                <xdr:col>14</xdr:col>
                <xdr:colOff>142875</xdr:colOff>
                <xdr:row>18</xdr:row>
                <xdr:rowOff>38100</xdr:rowOff>
              </to>
            </anchor>
          </controlPr>
        </control>
      </mc:Choice>
      <mc:Fallback>
        <control shapeId="15434" r:id="rId6" name="cmdButtonISSD"/>
      </mc:Fallback>
    </mc:AlternateContent>
    <mc:AlternateContent xmlns:mc="http://schemas.openxmlformats.org/markup-compatibility/2006">
      <mc:Choice Requires="x14">
        <control shapeId="15435" r:id="rId8" name="cmdButtonCRPR">
          <controlPr defaultSize="0" autoLine="0" r:id="rId9">
            <anchor moveWithCells="1">
              <from>
                <xdr:col>14</xdr:col>
                <xdr:colOff>133350</xdr:colOff>
                <xdr:row>16</xdr:row>
                <xdr:rowOff>142875</xdr:rowOff>
              </from>
              <to>
                <xdr:col>15</xdr:col>
                <xdr:colOff>228600</xdr:colOff>
                <xdr:row>18</xdr:row>
                <xdr:rowOff>38100</xdr:rowOff>
              </to>
            </anchor>
          </controlPr>
        </control>
      </mc:Choice>
      <mc:Fallback>
        <control shapeId="15435" r:id="rId8" name="cmdButtonCRPR"/>
      </mc:Fallback>
    </mc:AlternateContent>
    <mc:AlternateContent xmlns:mc="http://schemas.openxmlformats.org/markup-compatibility/2006">
      <mc:Choice Requires="x14">
        <control shapeId="15436" r:id="rId10" name="cmdButtonFAPROD">
          <controlPr defaultSize="0" autoLine="0" r:id="rId11">
            <anchor moveWithCells="1">
              <from>
                <xdr:col>15</xdr:col>
                <xdr:colOff>219075</xdr:colOff>
                <xdr:row>16</xdr:row>
                <xdr:rowOff>142875</xdr:rowOff>
              </from>
              <to>
                <xdr:col>16</xdr:col>
                <xdr:colOff>495300</xdr:colOff>
                <xdr:row>18</xdr:row>
                <xdr:rowOff>38100</xdr:rowOff>
              </to>
            </anchor>
          </controlPr>
        </control>
      </mc:Choice>
      <mc:Fallback>
        <control shapeId="15436" r:id="rId10" name="cmdButtonFAPROD"/>
      </mc:Fallback>
    </mc:AlternateContent>
    <mc:AlternateContent xmlns:mc="http://schemas.openxmlformats.org/markup-compatibility/2006">
      <mc:Choice Requires="x14">
        <control shapeId="15437" r:id="rId12" name="cmdButtonFAGEO">
          <controlPr defaultSize="0" autoLine="0" r:id="rId13">
            <anchor moveWithCells="1">
              <from>
                <xdr:col>16</xdr:col>
                <xdr:colOff>485775</xdr:colOff>
                <xdr:row>16</xdr:row>
                <xdr:rowOff>142875</xdr:rowOff>
              </from>
              <to>
                <xdr:col>18</xdr:col>
                <xdr:colOff>47625</xdr:colOff>
                <xdr:row>18</xdr:row>
                <xdr:rowOff>38100</xdr:rowOff>
              </to>
            </anchor>
          </controlPr>
        </control>
      </mc:Choice>
      <mc:Fallback>
        <control shapeId="15437" r:id="rId12" name="cmdButtonFAGEO"/>
      </mc:Fallback>
    </mc:AlternateContent>
    <mc:AlternateContent xmlns:mc="http://schemas.openxmlformats.org/markup-compatibility/2006">
      <mc:Choice Requires="x14">
        <control shapeId="15438" r:id="rId14" name="cmdButtonRV">
          <controlPr defaultSize="0" autoLine="0" r:id="rId15">
            <anchor moveWithCells="1">
              <from>
                <xdr:col>12</xdr:col>
                <xdr:colOff>95250</xdr:colOff>
                <xdr:row>36</xdr:row>
                <xdr:rowOff>66675</xdr:rowOff>
              </from>
              <to>
                <xdr:col>13</xdr:col>
                <xdr:colOff>142875</xdr:colOff>
                <xdr:row>37</xdr:row>
                <xdr:rowOff>152400</xdr:rowOff>
              </to>
            </anchor>
          </controlPr>
        </control>
      </mc:Choice>
      <mc:Fallback>
        <control shapeId="15438" r:id="rId14" name="cmdButtonRV"/>
      </mc:Fallback>
    </mc:AlternateContent>
    <mc:AlternateContent xmlns:mc="http://schemas.openxmlformats.org/markup-compatibility/2006">
      <mc:Choice Requires="x14">
        <control shapeId="15439" r:id="rId16" name="cmdButtonRVG">
          <controlPr defaultSize="0" autoLine="0" r:id="rId17">
            <anchor moveWithCells="1">
              <from>
                <xdr:col>13</xdr:col>
                <xdr:colOff>133350</xdr:colOff>
                <xdr:row>36</xdr:row>
                <xdr:rowOff>66675</xdr:rowOff>
              </from>
              <to>
                <xdr:col>14</xdr:col>
                <xdr:colOff>190500</xdr:colOff>
                <xdr:row>37</xdr:row>
                <xdr:rowOff>152400</xdr:rowOff>
              </to>
            </anchor>
          </controlPr>
        </control>
      </mc:Choice>
      <mc:Fallback>
        <control shapeId="15439" r:id="rId16" name="cmdButtonRVG"/>
      </mc:Fallback>
    </mc:AlternateContent>
    <mc:AlternateContent xmlns:mc="http://schemas.openxmlformats.org/markup-compatibility/2006">
      <mc:Choice Requires="x14">
        <control shapeId="15440" r:id="rId18" name="cmdButtonRVC">
          <controlPr defaultSize="0" autoLine="0" r:id="rId19">
            <anchor moveWithCells="1">
              <from>
                <xdr:col>14</xdr:col>
                <xdr:colOff>180975</xdr:colOff>
                <xdr:row>36</xdr:row>
                <xdr:rowOff>66675</xdr:rowOff>
              </from>
              <to>
                <xdr:col>15</xdr:col>
                <xdr:colOff>238125</xdr:colOff>
                <xdr:row>37</xdr:row>
                <xdr:rowOff>152400</xdr:rowOff>
              </to>
            </anchor>
          </controlPr>
        </control>
      </mc:Choice>
      <mc:Fallback>
        <control shapeId="15440" r:id="rId18" name="cmdButtonRVC"/>
      </mc:Fallback>
    </mc:AlternateContent>
    <mc:AlternateContent xmlns:mc="http://schemas.openxmlformats.org/markup-compatibility/2006">
      <mc:Choice Requires="x14">
        <control shapeId="15441" r:id="rId20" name="cmdButtonGRAPH">
          <controlPr defaultSize="0" autoLine="0" r:id="rId21">
            <anchor moveWithCells="1">
              <from>
                <xdr:col>12</xdr:col>
                <xdr:colOff>104775</xdr:colOff>
                <xdr:row>56</xdr:row>
                <xdr:rowOff>85725</xdr:rowOff>
              </from>
              <to>
                <xdr:col>13</xdr:col>
                <xdr:colOff>276225</xdr:colOff>
                <xdr:row>57</xdr:row>
                <xdr:rowOff>171450</xdr:rowOff>
              </to>
            </anchor>
          </controlPr>
        </control>
      </mc:Choice>
      <mc:Fallback>
        <control shapeId="15441" r:id="rId20" name="cmdButtonGRAPH"/>
      </mc:Fallback>
    </mc:AlternateContent>
    <mc:AlternateContent xmlns:mc="http://schemas.openxmlformats.org/markup-compatibility/2006">
      <mc:Choice Requires="x14">
        <control shapeId="15442" r:id="rId22" name="cmdButtonRSI">
          <controlPr defaultSize="0" autoLine="0" r:id="rId23">
            <anchor moveWithCells="1">
              <from>
                <xdr:col>13</xdr:col>
                <xdr:colOff>257175</xdr:colOff>
                <xdr:row>56</xdr:row>
                <xdr:rowOff>85725</xdr:rowOff>
              </from>
              <to>
                <xdr:col>14</xdr:col>
                <xdr:colOff>276225</xdr:colOff>
                <xdr:row>57</xdr:row>
                <xdr:rowOff>171450</xdr:rowOff>
              </to>
            </anchor>
          </controlPr>
        </control>
      </mc:Choice>
      <mc:Fallback>
        <control shapeId="15442" r:id="rId22" name="cmdButtonRSI"/>
      </mc:Fallback>
    </mc:AlternateContent>
    <mc:AlternateContent xmlns:mc="http://schemas.openxmlformats.org/markup-compatibility/2006">
      <mc:Choice Requires="x14">
        <control shapeId="15443" r:id="rId24" name="cmdButtonFA">
          <controlPr defaultSize="0" autoLine="0" r:id="rId25">
            <anchor moveWithCells="1">
              <from>
                <xdr:col>12</xdr:col>
                <xdr:colOff>85725</xdr:colOff>
                <xdr:row>76</xdr:row>
                <xdr:rowOff>95250</xdr:rowOff>
              </from>
              <to>
                <xdr:col>13</xdr:col>
                <xdr:colOff>95250</xdr:colOff>
                <xdr:row>77</xdr:row>
                <xdr:rowOff>180975</xdr:rowOff>
              </to>
            </anchor>
          </controlPr>
        </control>
      </mc:Choice>
      <mc:Fallback>
        <control shapeId="15443" r:id="rId24" name="cmdButtonFA"/>
      </mc:Fallback>
    </mc:AlternateContent>
    <mc:AlternateContent xmlns:mc="http://schemas.openxmlformats.org/markup-compatibility/2006">
      <mc:Choice Requires="x14">
        <control shapeId="15444" r:id="rId26" name="cmdButtonCF">
          <controlPr defaultSize="0" autoLine="0" r:id="rId27">
            <anchor moveWithCells="1">
              <from>
                <xdr:col>13</xdr:col>
                <xdr:colOff>85725</xdr:colOff>
                <xdr:row>76</xdr:row>
                <xdr:rowOff>95250</xdr:rowOff>
              </from>
              <to>
                <xdr:col>14</xdr:col>
                <xdr:colOff>104775</xdr:colOff>
                <xdr:row>77</xdr:row>
                <xdr:rowOff>180975</xdr:rowOff>
              </to>
            </anchor>
          </controlPr>
        </control>
      </mc:Choice>
      <mc:Fallback>
        <control shapeId="15444" r:id="rId26" name="cmdButtonCF"/>
      </mc:Fallback>
    </mc:AlternateContent>
    <mc:AlternateContent xmlns:mc="http://schemas.openxmlformats.org/markup-compatibility/2006">
      <mc:Choice Requires="x14">
        <control shapeId="15445" r:id="rId28" name="cmdButtonANR">
          <controlPr defaultSize="0" autoLine="0" r:id="rId29">
            <anchor moveWithCells="1">
              <from>
                <xdr:col>12</xdr:col>
                <xdr:colOff>95250</xdr:colOff>
                <xdr:row>96</xdr:row>
                <xdr:rowOff>85725</xdr:rowOff>
              </from>
              <to>
                <xdr:col>13</xdr:col>
                <xdr:colOff>104775</xdr:colOff>
                <xdr:row>97</xdr:row>
                <xdr:rowOff>171450</xdr:rowOff>
              </to>
            </anchor>
          </controlPr>
        </control>
      </mc:Choice>
      <mc:Fallback>
        <control shapeId="15445" r:id="rId28" name="cmdButtonANR"/>
      </mc:Fallback>
    </mc:AlternateContent>
    <mc:AlternateContent xmlns:mc="http://schemas.openxmlformats.org/markup-compatibility/2006">
      <mc:Choice Requires="x14">
        <control shapeId="15446" r:id="rId30" name="cmdButtonANRP">
          <controlPr defaultSize="0" autoLine="0" r:id="rId31">
            <anchor moveWithCells="1">
              <from>
                <xdr:col>13</xdr:col>
                <xdr:colOff>95250</xdr:colOff>
                <xdr:row>96</xdr:row>
                <xdr:rowOff>85725</xdr:rowOff>
              </from>
              <to>
                <xdr:col>14</xdr:col>
                <xdr:colOff>171450</xdr:colOff>
                <xdr:row>97</xdr:row>
                <xdr:rowOff>171450</xdr:rowOff>
              </to>
            </anchor>
          </controlPr>
        </control>
      </mc:Choice>
      <mc:Fallback>
        <control shapeId="15446" r:id="rId30" name="cmdButtonANRP"/>
      </mc:Fallback>
    </mc:AlternateContent>
    <mc:AlternateContent xmlns:mc="http://schemas.openxmlformats.org/markup-compatibility/2006">
      <mc:Choice Requires="x14">
        <control shapeId="15447" r:id="rId32" name="cmdButtonEE">
          <controlPr defaultSize="0" autoLine="0" r:id="rId33">
            <anchor moveWithCells="1">
              <from>
                <xdr:col>12</xdr:col>
                <xdr:colOff>142875</xdr:colOff>
                <xdr:row>116</xdr:row>
                <xdr:rowOff>57150</xdr:rowOff>
              </from>
              <to>
                <xdr:col>13</xdr:col>
                <xdr:colOff>171450</xdr:colOff>
                <xdr:row>117</xdr:row>
                <xdr:rowOff>142875</xdr:rowOff>
              </to>
            </anchor>
          </controlPr>
        </control>
      </mc:Choice>
      <mc:Fallback>
        <control shapeId="15447" r:id="rId32" name="cmdButtonEE"/>
      </mc:Fallback>
    </mc:AlternateContent>
    <mc:AlternateContent xmlns:mc="http://schemas.openxmlformats.org/markup-compatibility/2006">
      <mc:Choice Requires="x14">
        <control shapeId="15448" r:id="rId34" name="cmdButtonEEG">
          <controlPr defaultSize="0" autoLine="0" r:id="rId35">
            <anchor moveWithCells="1">
              <from>
                <xdr:col>14</xdr:col>
                <xdr:colOff>161925</xdr:colOff>
                <xdr:row>96</xdr:row>
                <xdr:rowOff>85725</xdr:rowOff>
              </from>
              <to>
                <xdr:col>15</xdr:col>
                <xdr:colOff>238125</xdr:colOff>
                <xdr:row>97</xdr:row>
                <xdr:rowOff>171450</xdr:rowOff>
              </to>
            </anchor>
          </controlPr>
        </control>
      </mc:Choice>
      <mc:Fallback>
        <control shapeId="15448" r:id="rId34" name="cmdButtonEEG"/>
      </mc:Fallback>
    </mc:AlternateContent>
    <mc:AlternateContent xmlns:mc="http://schemas.openxmlformats.org/markup-compatibility/2006">
      <mc:Choice Requires="x14">
        <control shapeId="15449" r:id="rId36" name="cmdButtonEEO">
          <controlPr defaultSize="0" autoLine="0" r:id="rId37">
            <anchor moveWithCells="1">
              <from>
                <xdr:col>13</xdr:col>
                <xdr:colOff>161925</xdr:colOff>
                <xdr:row>116</xdr:row>
                <xdr:rowOff>57150</xdr:rowOff>
              </from>
              <to>
                <xdr:col>14</xdr:col>
                <xdr:colOff>200025</xdr:colOff>
                <xdr:row>117</xdr:row>
                <xdr:rowOff>142875</xdr:rowOff>
              </to>
            </anchor>
          </controlPr>
        </control>
      </mc:Choice>
      <mc:Fallback>
        <control shapeId="15449" r:id="rId36" name="cmdButtonEEO"/>
      </mc:Fallback>
    </mc:AlternateContent>
    <mc:AlternateContent xmlns:mc="http://schemas.openxmlformats.org/markup-compatibility/2006">
      <mc:Choice Requires="x14">
        <control shapeId="15450" r:id="rId38" name="cmdButtonERN">
          <controlPr defaultSize="0" autoLine="0" r:id="rId39">
            <anchor moveWithCells="1">
              <from>
                <xdr:col>14</xdr:col>
                <xdr:colOff>190500</xdr:colOff>
                <xdr:row>116</xdr:row>
                <xdr:rowOff>57150</xdr:rowOff>
              </from>
              <to>
                <xdr:col>15</xdr:col>
                <xdr:colOff>228600</xdr:colOff>
                <xdr:row>117</xdr:row>
                <xdr:rowOff>142875</xdr:rowOff>
              </to>
            </anchor>
          </controlPr>
        </control>
      </mc:Choice>
      <mc:Fallback>
        <control shapeId="15450" r:id="rId38" name="cmdButtonERN"/>
      </mc:Fallback>
    </mc:AlternateContent>
    <mc:AlternateContent xmlns:mc="http://schemas.openxmlformats.org/markup-compatibility/2006">
      <mc:Choice Requires="x14">
        <control shapeId="15451" r:id="rId40" name="cmdButtonEEB">
          <controlPr defaultSize="0" autoLine="0" r:id="rId41">
            <anchor moveWithCells="1">
              <from>
                <xdr:col>12</xdr:col>
                <xdr:colOff>104775</xdr:colOff>
                <xdr:row>136</xdr:row>
                <xdr:rowOff>85725</xdr:rowOff>
              </from>
              <to>
                <xdr:col>13</xdr:col>
                <xdr:colOff>133350</xdr:colOff>
                <xdr:row>137</xdr:row>
                <xdr:rowOff>171450</xdr:rowOff>
              </to>
            </anchor>
          </controlPr>
        </control>
      </mc:Choice>
      <mc:Fallback>
        <control shapeId="15451" r:id="rId40" name="cmdButtonEEB"/>
      </mc:Fallback>
    </mc:AlternateContent>
    <mc:AlternateContent xmlns:mc="http://schemas.openxmlformats.org/markup-compatibility/2006">
      <mc:Choice Requires="x14">
        <control shapeId="15452" r:id="rId42" name="cmdButtonGF">
          <controlPr defaultSize="0" autoLine="0" r:id="rId43">
            <anchor moveWithCells="1">
              <from>
                <xdr:col>12</xdr:col>
                <xdr:colOff>142875</xdr:colOff>
                <xdr:row>156</xdr:row>
                <xdr:rowOff>76200</xdr:rowOff>
              </from>
              <to>
                <xdr:col>13</xdr:col>
                <xdr:colOff>171450</xdr:colOff>
                <xdr:row>157</xdr:row>
                <xdr:rowOff>161925</xdr:rowOff>
              </to>
            </anchor>
          </controlPr>
        </control>
      </mc:Choice>
      <mc:Fallback>
        <control shapeId="15452" r:id="rId42" name="cmdButtonGF"/>
      </mc:Fallback>
    </mc:AlternateContent>
    <mc:AlternateContent xmlns:mc="http://schemas.openxmlformats.org/markup-compatibility/2006">
      <mc:Choice Requires="x14">
        <control shapeId="15453" r:id="rId44" name="cmdButtonOWN">
          <controlPr defaultSize="0" autoLine="0" r:id="rId45">
            <anchor moveWithCells="1">
              <from>
                <xdr:col>12</xdr:col>
                <xdr:colOff>85725</xdr:colOff>
                <xdr:row>176</xdr:row>
                <xdr:rowOff>76200</xdr:rowOff>
              </from>
              <to>
                <xdr:col>13</xdr:col>
                <xdr:colOff>114300</xdr:colOff>
                <xdr:row>177</xdr:row>
                <xdr:rowOff>161925</xdr:rowOff>
              </to>
            </anchor>
          </controlPr>
        </control>
      </mc:Choice>
      <mc:Fallback>
        <control shapeId="15453" r:id="rId44" name="cmdButtonOWN"/>
      </mc:Fallback>
    </mc:AlternateContent>
    <mc:AlternateContent xmlns:mc="http://schemas.openxmlformats.org/markup-compatibility/2006">
      <mc:Choice Requires="x14">
        <control shapeId="15454" r:id="rId46" name="cmdButtonHDS">
          <controlPr defaultSize="0" autoLine="0" r:id="rId47">
            <anchor moveWithCells="1">
              <from>
                <xdr:col>13</xdr:col>
                <xdr:colOff>104775</xdr:colOff>
                <xdr:row>176</xdr:row>
                <xdr:rowOff>76200</xdr:rowOff>
              </from>
              <to>
                <xdr:col>14</xdr:col>
                <xdr:colOff>142875</xdr:colOff>
                <xdr:row>177</xdr:row>
                <xdr:rowOff>161925</xdr:rowOff>
              </to>
            </anchor>
          </controlPr>
        </control>
      </mc:Choice>
      <mc:Fallback>
        <control shapeId="15454" r:id="rId46" name="cmdButtonHDS"/>
      </mc:Fallback>
    </mc:AlternateContent>
    <mc:AlternateContent xmlns:mc="http://schemas.openxmlformats.org/markup-compatibility/2006">
      <mc:Choice Requires="x14">
        <control shapeId="15455" r:id="rId48" name="cmdButtonFLNG">
          <controlPr defaultSize="0" autoLine="0" r:id="rId49">
            <anchor moveWithCells="1">
              <from>
                <xdr:col>14</xdr:col>
                <xdr:colOff>133350</xdr:colOff>
                <xdr:row>176</xdr:row>
                <xdr:rowOff>76200</xdr:rowOff>
              </from>
              <to>
                <xdr:col>15</xdr:col>
                <xdr:colOff>190500</xdr:colOff>
                <xdr:row>177</xdr:row>
                <xdr:rowOff>161925</xdr:rowOff>
              </to>
            </anchor>
          </controlPr>
        </control>
      </mc:Choice>
      <mc:Fallback>
        <control shapeId="15455" r:id="rId48" name="cmdButtonFLNG"/>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70</vt:i4>
      </vt:variant>
    </vt:vector>
  </HeadingPairs>
  <TitlesOfParts>
    <vt:vector size="84" baseType="lpstr">
      <vt:lpstr>MarketCapH</vt:lpstr>
      <vt:lpstr>PricesH</vt:lpstr>
      <vt:lpstr>ControlsH</vt:lpstr>
      <vt:lpstr>DataH</vt:lpstr>
      <vt:lpstr>Overview</vt:lpstr>
      <vt:lpstr>Peers</vt:lpstr>
      <vt:lpstr>Indices</vt:lpstr>
      <vt:lpstr>Financials</vt:lpstr>
      <vt:lpstr>Ratings</vt:lpstr>
      <vt:lpstr>EST Brokers</vt:lpstr>
      <vt:lpstr>EST Detail</vt:lpstr>
      <vt:lpstr>VAL Graphs</vt:lpstr>
      <vt:lpstr>Owners</vt:lpstr>
      <vt:lpstr>Help</vt:lpstr>
      <vt:lpstr>Benchmark</vt:lpstr>
      <vt:lpstr>BestConsOv</vt:lpstr>
      <vt:lpstr>calCODE</vt:lpstr>
      <vt:lpstr>compNAME</vt:lpstr>
      <vt:lpstr>CURRENCY</vt:lpstr>
      <vt:lpstr>currPRICE</vt:lpstr>
      <vt:lpstr>custBenchmark</vt:lpstr>
      <vt:lpstr>custED</vt:lpstr>
      <vt:lpstr>custSD</vt:lpstr>
      <vt:lpstr>dayCODE</vt:lpstr>
      <vt:lpstr>defaultED</vt:lpstr>
      <vt:lpstr>defaultSD</vt:lpstr>
      <vt:lpstr>ED</vt:lpstr>
      <vt:lpstr>ESTBrokersItem</vt:lpstr>
      <vt:lpstr>ESTBrokersPeriod</vt:lpstr>
      <vt:lpstr>ESTDetailBroker</vt:lpstr>
      <vt:lpstr>ESTDetailBroker2</vt:lpstr>
      <vt:lpstr>ESTDetailPeriod</vt:lpstr>
      <vt:lpstr>EstDetPerO</vt:lpstr>
      <vt:lpstr>EstDetPerT</vt:lpstr>
      <vt:lpstr>FinancialsPeriod</vt:lpstr>
      <vt:lpstr>firstTD</vt:lpstr>
      <vt:lpstr>fundTICKER</vt:lpstr>
      <vt:lpstr>GraphValRatio1</vt:lpstr>
      <vt:lpstr>GraphValRatio2</vt:lpstr>
      <vt:lpstr>HLPBRD_IB</vt:lpstr>
      <vt:lpstr>HLPBRD_IR</vt:lpstr>
      <vt:lpstr>HLPBRD_OBR</vt:lpstr>
      <vt:lpstr>Index1</vt:lpstr>
      <vt:lpstr>Lang</vt:lpstr>
      <vt:lpstr>locCURR</vt:lpstr>
      <vt:lpstr>newCrncy</vt:lpstr>
      <vt:lpstr>newEstBrokerPeriod</vt:lpstr>
      <vt:lpstr>newEstBrokersItem</vt:lpstr>
      <vt:lpstr>newEstDetailBroker</vt:lpstr>
      <vt:lpstr>newEstDetailBroker2</vt:lpstr>
      <vt:lpstr>newEstDetailPeriod</vt:lpstr>
      <vt:lpstr>newFinancialsPeriod</vt:lpstr>
      <vt:lpstr>newIndicesSD</vt:lpstr>
      <vt:lpstr>newOverviewCon</vt:lpstr>
      <vt:lpstr>newOverviewYear</vt:lpstr>
      <vt:lpstr>newOwners</vt:lpstr>
      <vt:lpstr>newPeersRatio</vt:lpstr>
      <vt:lpstr>newPeriod</vt:lpstr>
      <vt:lpstr>newValRatio1</vt:lpstr>
      <vt:lpstr>newValRatio2</vt:lpstr>
      <vt:lpstr>outED</vt:lpstr>
      <vt:lpstr>outSD</vt:lpstr>
      <vt:lpstr>OverviewValRatioPeriod</vt:lpstr>
      <vt:lpstr>Peer1</vt:lpstr>
      <vt:lpstr>PeerDate1</vt:lpstr>
      <vt:lpstr>peerHist1</vt:lpstr>
      <vt:lpstr>PeerIndex</vt:lpstr>
      <vt:lpstr>Peers</vt:lpstr>
      <vt:lpstr>peersWEIGHT</vt:lpstr>
      <vt:lpstr>PERIODICITY</vt:lpstr>
      <vt:lpstr>SD</vt:lpstr>
      <vt:lpstr>shBroker1</vt:lpstr>
      <vt:lpstr>shBrokerRange</vt:lpstr>
      <vt:lpstr>shOverviewYear</vt:lpstr>
      <vt:lpstr>shPeer1</vt:lpstr>
      <vt:lpstr>shPeerRange</vt:lpstr>
      <vt:lpstr>shPeerRangeD</vt:lpstr>
      <vt:lpstr>shPeersDate1</vt:lpstr>
      <vt:lpstr>startingDate</vt:lpstr>
      <vt:lpstr>TICKER</vt:lpstr>
      <vt:lpstr>Top20OwnerType</vt:lpstr>
      <vt:lpstr>ValuationRatioType</vt:lpstr>
      <vt:lpstr>ViewConsolidatedOrParent</vt:lpstr>
      <vt:lpstr>ViewYear</vt:lpstr>
    </vt:vector>
  </TitlesOfParts>
  <Company>Bloomberg L.P.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Bloomberg User</dc:creator>
  <cp:lastModifiedBy>AgentUser</cp:lastModifiedBy>
  <dcterms:created xsi:type="dcterms:W3CDTF">2010-12-13T20:56:49Z</dcterms:created>
  <dcterms:modified xsi:type="dcterms:W3CDTF">2015-08-25T02:50:17Z</dcterms:modified>
</cp:coreProperties>
</file>